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LA LANDE DE FRONSAC - QUERAUX\"/>
    </mc:Choice>
  </mc:AlternateContent>
  <xr:revisionPtr revIDLastSave="0" documentId="13_ncr:1_{82940E8A-FE19-4EC3-978F-6664C5A088CD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A155" i="2"/>
  <c r="ED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ED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EA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Y161" i="2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X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B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W185" i="2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Y200" i="2"/>
  <c r="ED200" i="2"/>
  <c r="EB201" i="2"/>
  <c r="EA201" i="2"/>
  <c r="HH201" i="2"/>
  <c r="HG201" i="2"/>
  <c r="HI201" i="2"/>
  <c r="EX201" i="2"/>
  <c r="AI5" i="2"/>
  <c r="EW201" i="2"/>
  <c r="EY201" i="2" s="1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199" i="2" a="1"/>
  <c r="AH19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64" i="2" a="1"/>
  <c r="BC164" i="2" s="1"/>
  <c r="BC31" i="2" a="1"/>
  <c r="BC31" i="2" s="1"/>
  <c r="BC185" i="2" a="1"/>
  <c r="BC185" i="2" s="1"/>
  <c r="BC7" i="2" a="1"/>
  <c r="BC7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FD82" i="2" a="1"/>
  <c r="FD82" i="2" s="1"/>
  <c r="DN187" i="2" a="1"/>
  <c r="DN187" i="2" s="1"/>
  <c r="HJ202" i="2"/>
  <c r="EY202" i="2"/>
  <c r="AX200" i="2"/>
  <c r="BX107" i="2" l="1" a="1"/>
  <c r="BX107" i="2" s="1"/>
  <c r="BC55" i="2" a="1"/>
  <c r="BC55" i="2" s="1"/>
  <c r="BC65" i="2" a="1"/>
  <c r="BC65" i="2" s="1"/>
  <c r="BC130" i="2" a="1"/>
  <c r="BC130" i="2" s="1"/>
  <c r="BC114" i="2" a="1"/>
  <c r="BC114" i="2" s="1"/>
  <c r="BC83" i="2" a="1"/>
  <c r="BC83" i="2" s="1"/>
  <c r="BC126" i="2" a="1"/>
  <c r="BC126" i="2" s="1"/>
  <c r="BC151" i="2" a="1"/>
  <c r="BC151" i="2" s="1"/>
  <c r="BC82" i="2" a="1"/>
  <c r="BC82" i="2" s="1"/>
  <c r="BC143" i="2" a="1"/>
  <c r="BC143" i="2" s="1"/>
  <c r="BC58" i="2" a="1"/>
  <c r="BC58" i="2" s="1"/>
  <c r="BC34" i="2" a="1"/>
  <c r="BC34" i="2" s="1"/>
  <c r="BC84" i="2" a="1"/>
  <c r="BC84" i="2" s="1"/>
  <c r="BC32" i="2" a="1"/>
  <c r="BC32" i="2" s="1"/>
  <c r="CS38" i="2" a="1"/>
  <c r="CS38" i="2" s="1"/>
  <c r="CS134" i="2" a="1"/>
  <c r="CS134" i="2" s="1"/>
  <c r="CS105" i="2" a="1"/>
  <c r="CS105" i="2" s="1"/>
  <c r="CS161" i="2" a="1"/>
  <c r="CS161" i="2" s="1"/>
  <c r="CS120" i="2" a="1"/>
  <c r="CS120" i="2" s="1"/>
  <c r="CS77" i="2" a="1"/>
  <c r="CS77" i="2" s="1"/>
  <c r="CS56" i="2" a="1"/>
  <c r="CS56" i="2" s="1"/>
  <c r="CS72" i="2" a="1"/>
  <c r="CS72" i="2" s="1"/>
  <c r="CS137" i="2" a="1"/>
  <c r="CS137" i="2" s="1"/>
  <c r="CS129" i="2" a="1"/>
  <c r="CS129" i="2" s="1"/>
  <c r="CS185" i="2" a="1"/>
  <c r="CS185" i="2" s="1"/>
  <c r="CS52" i="2" a="1"/>
  <c r="CS52" i="2" s="1"/>
  <c r="EI166" i="2" a="1"/>
  <c r="EI166" i="2" s="1"/>
  <c r="EI198" i="2" a="1"/>
  <c r="EI198" i="2" s="1"/>
  <c r="EI109" i="2" a="1"/>
  <c r="EI10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<sst xmlns="http://schemas.openxmlformats.org/spreadsheetml/2006/main" count="1175" uniqueCount="324">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</sst>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3.2640808700839465</c:v>
                </c:pt>
                <c:pt idx="2">
                  <c:v>3.8473884380647303</c:v>
                </c:pt>
                <c:pt idx="3">
                  <c:v>4.5353145013371234</c:v>
                </c:pt>
                <c:pt idx="4">
                  <c:v>5.3466868240750793</c:v>
                </c:pt>
                <c:pt idx="5">
                  <c:v>6.3037323177501152</c:v>
                </c:pt>
                <c:pt idx="6">
                  <c:v>7.4326925326737205</c:v>
                </c:pt>
                <c:pt idx="7">
                  <c:v>8.764550901525082</c:v>
                </c:pt>
                <c:pt idx="8">
                  <c:v>10.335892075827095</c:v>
                </c:pt>
                <c:pt idx="9">
                  <c:v>12.189917407206755</c:v>
                </c:pt>
                <c:pt idx="10">
                  <c:v>14.377645014537597</c:v>
                </c:pt>
                <c:pt idx="11">
                  <c:v>16.959328069960929</c:v>
                </c:pt>
                <c:pt idx="12">
                  <c:v>20.006131078363016</c:v>
                </c:pt>
                <c:pt idx="13">
                  <c:v>23.60211119017487</c:v>
                </c:pt>
                <c:pt idx="14">
                  <c:v>27.846560182328759</c:v>
                </c:pt>
                <c:pt idx="15">
                  <c:v>32.856772910635023</c:v>
                </c:pt>
                <c:pt idx="16">
                  <c:v>38.771320067284059</c:v>
                </c:pt>
                <c:pt idx="17">
                  <c:v>45.753917311177169</c:v>
                </c:pt>
                <c:pt idx="18">
                  <c:v>53.997999680643453</c:v>
                </c:pt>
                <c:pt idx="19">
                  <c:v>63.732130126385506</c:v>
                </c:pt>
                <c:pt idx="20">
                  <c:v>75.226394583760239</c:v>
                </c:pt>
                <c:pt idx="21">
                  <c:v>88.799963908422725</c:v>
                </c:pt>
                <c:pt idx="22">
                  <c:v>104.83003602194374</c:v>
                </c:pt>
                <c:pt idx="23">
                  <c:v>123.76241069427073</c:v>
                </c:pt>
                <c:pt idx="24">
                  <c:v>146.12399564075659</c:v>
                </c:pt>
                <c:pt idx="25">
                  <c:v>172.53759735059677</c:v>
                </c:pt>
                <c:pt idx="26">
                  <c:v>170.16858903875504</c:v>
                </c:pt>
                <c:pt idx="27">
                  <c:v>186.73598138519097</c:v>
                </c:pt>
                <c:pt idx="28">
                  <c:v>203.26907123098991</c:v>
                </c:pt>
                <c:pt idx="29">
                  <c:v>219.7710421086791</c:v>
                </c:pt>
                <c:pt idx="30">
                  <c:v>236.24455995422258</c:v>
                </c:pt>
                <c:pt idx="31">
                  <c:v>205.15653155887526</c:v>
                </c:pt>
                <c:pt idx="32">
                  <c:v>223.53883865086948</c:v>
                </c:pt>
                <c:pt idx="33">
                  <c:v>241.88649024382281</c:v>
                </c:pt>
                <c:pt idx="34">
                  <c:v>260.20248480859658</c:v>
                </c:pt>
                <c:pt idx="35">
                  <c:v>278.48936400091264</c:v>
                </c:pt>
                <c:pt idx="36">
                  <c:v>248.93470217300015</c:v>
                </c:pt>
                <c:pt idx="37">
                  <c:v>268.64606128457052</c:v>
                </c:pt>
                <c:pt idx="38">
                  <c:v>288.32486214429105</c:v>
                </c:pt>
                <c:pt idx="39">
                  <c:v>307.97363884700081</c:v>
                </c:pt>
                <c:pt idx="40">
                  <c:v>327.59457571710396</c:v>
                </c:pt>
                <c:pt idx="41">
                  <c:v>298.15285967061311</c:v>
                </c:pt>
                <c:pt idx="42">
                  <c:v>317.78746245668026</c:v>
                </c:pt>
                <c:pt idx="43">
                  <c:v>337.39520795625032</c:v>
                </c:pt>
                <c:pt idx="44">
                  <c:v>356.97787588797138</c:v>
                </c:pt>
                <c:pt idx="45">
                  <c:v>376.53703482084643</c:v>
                </c:pt>
                <c:pt idx="46">
                  <c:v>347.18957408387132</c:v>
                </c:pt>
                <c:pt idx="47">
                  <c:v>366.7603031815986</c:v>
                </c:pt>
                <c:pt idx="48">
                  <c:v>386.30823961156813</c:v>
                </c:pt>
                <c:pt idx="49">
                  <c:v>405.83469839649644</c:v>
                </c:pt>
                <c:pt idx="50">
                  <c:v>425.34085774511055</c:v>
                </c:pt>
                <c:pt idx="51">
                  <c:v>395.14422440751974</c:v>
                </c:pt>
                <c:pt idx="52">
                  <c:v>413.73243167051174</c:v>
                </c:pt>
                <c:pt idx="53">
                  <c:v>432.30262904622128</c:v>
                </c:pt>
                <c:pt idx="54">
                  <c:v>450.85569864825902</c:v>
                </c:pt>
                <c:pt idx="55">
                  <c:v>469.39244410483224</c:v>
                </c:pt>
                <c:pt idx="56">
                  <c:v>437.87031035511905</c:v>
                </c:pt>
                <c:pt idx="57">
                  <c:v>455.02786244873755</c:v>
                </c:pt>
                <c:pt idx="58">
                  <c:v>472.17159422788433</c:v>
                </c:pt>
                <c:pt idx="59">
                  <c:v>489.30207788857643</c:v>
                </c:pt>
                <c:pt idx="60">
                  <c:v>506.41984231344054</c:v>
                </c:pt>
                <c:pt idx="61">
                  <c:v>474.48728651141619</c:v>
                </c:pt>
                <c:pt idx="62">
                  <c:v>491.15325117467387</c:v>
                </c:pt>
                <c:pt idx="63">
                  <c:v>507.80722686130639</c:v>
                </c:pt>
                <c:pt idx="64">
                  <c:v>524.44966192682341</c:v>
                </c:pt>
                <c:pt idx="65">
                  <c:v>541.08097396557207</c:v>
                </c:pt>
                <c:pt idx="66">
                  <c:v>508.26967055923751</c:v>
                </c:pt>
                <c:pt idx="67">
                  <c:v>523.98752412500369</c:v>
                </c:pt>
                <c:pt idx="68">
                  <c:v>539.69544644774476</c:v>
                </c:pt>
                <c:pt idx="69">
                  <c:v>555.39376714784134</c:v>
                </c:pt>
                <c:pt idx="70">
                  <c:v>571.08279570212301</c:v>
                </c:pt>
                <c:pt idx="71">
                  <c:v>537.38606772027094</c:v>
                </c:pt>
                <c:pt idx="72">
                  <c:v>552.16252944113296</c:v>
                </c:pt>
                <c:pt idx="73">
                  <c:v>566.93070515400962</c:v>
                </c:pt>
                <c:pt idx="74">
                  <c:v>581.69084101063834</c:v>
                </c:pt>
                <c:pt idx="75">
                  <c:v>596.44316965824521</c:v>
                </c:pt>
                <c:pt idx="76">
                  <c:v>561.85506373443229</c:v>
                </c:pt>
                <c:pt idx="77">
                  <c:v>575.69549027219546</c:v>
                </c:pt>
                <c:pt idx="78">
                  <c:v>589.52897342041706</c:v>
                </c:pt>
                <c:pt idx="79">
                  <c:v>603.3556989939525</c:v>
                </c:pt>
                <c:pt idx="80">
                  <c:v>617.17584360068338</c:v>
                </c:pt>
                <c:pt idx="81">
                  <c:v>581.69084101063834</c:v>
                </c:pt>
                <c:pt idx="82">
                  <c:v>594.59954789334006</c:v>
                </c:pt>
                <c:pt idx="83">
                  <c:v>607.50242557106083</c:v>
                </c:pt>
                <c:pt idx="84">
                  <c:v>620.39961525018305</c:v>
                </c:pt>
                <c:pt idx="85">
                  <c:v>633.29125178984293</c:v>
                </c:pt>
                <c:pt idx="86">
                  <c:v>597.36493606498743</c:v>
                </c:pt>
                <c:pt idx="87">
                  <c:v>609.80590835837836</c:v>
                </c:pt>
                <c:pt idx="88">
                  <c:v>622.24161453170791</c:v>
                </c:pt>
                <c:pt idx="89">
                  <c:v>634.672174622233</c:v>
                </c:pt>
                <c:pt idx="90">
                  <c:v>647.0977035836421</c:v>
                </c:pt>
                <c:pt idx="91">
                  <c:v>610.26658322144294</c:v>
                </c:pt>
                <c:pt idx="92">
                  <c:v>621.78112531404167</c:v>
                </c:pt>
                <c:pt idx="93">
                  <c:v>633.2912517898427</c:v>
                </c:pt>
                <c:pt idx="94">
                  <c:v>644.79705418857907</c:v>
                </c:pt>
                <c:pt idx="95">
                  <c:v>656.29862051784391</c:v>
                </c:pt>
                <c:pt idx="96">
                  <c:v>619.01804144415848</c:v>
                </c:pt>
                <c:pt idx="97">
                  <c:v>630.06885611347434</c:v>
                </c:pt>
                <c:pt idx="98">
                  <c:v>641.11566244960977</c:v>
                </c:pt>
                <c:pt idx="99">
                  <c:v>652.15853923289092</c:v>
                </c:pt>
                <c:pt idx="100">
                  <c:v>663.19756235900888</c:v>
                </c:pt>
                <c:pt idx="101">
                  <c:v>625.00440181709939</c:v>
                </c:pt>
                <c:pt idx="102">
                  <c:v>635.13246842366596</c:v>
                </c:pt>
                <c:pt idx="103">
                  <c:v>645.25719760007814</c:v>
                </c:pt>
                <c:pt idx="104">
                  <c:v>655.37864908413997</c:v>
                </c:pt>
                <c:pt idx="105">
                  <c:v>665.496880618516</c:v>
                </c:pt>
                <c:pt idx="106">
                  <c:v>629.14810909509595</c:v>
                </c:pt>
                <c:pt idx="107">
                  <c:v>638.81457108732468</c:v>
                </c:pt>
                <c:pt idx="108">
                  <c:v>648.47801217956487</c:v>
                </c:pt>
                <c:pt idx="109">
                  <c:v>658.13848372589803</c:v>
                </c:pt>
                <c:pt idx="110">
                  <c:v>667.79603545019597</c:v>
                </c:pt>
                <c:pt idx="111">
                  <c:v>632.8309303505863</c:v>
                </c:pt>
                <c:pt idx="112">
                  <c:v>641.57586023448448</c:v>
                </c:pt>
                <c:pt idx="113">
                  <c:v>650.31832939913795</c:v>
                </c:pt>
                <c:pt idx="114">
                  <c:v>659.05837558503674</c:v>
                </c:pt>
                <c:pt idx="115">
                  <c:v>667.7960354501962</c:v>
                </c:pt>
                <c:pt idx="116">
                  <c:v>634.67217462223289</c:v>
                </c:pt>
                <c:pt idx="117">
                  <c:v>642.95641271459499</c:v>
                </c:pt>
                <c:pt idx="118">
                  <c:v>651.2384477175716</c:v>
                </c:pt>
                <c:pt idx="119">
                  <c:v>659.51831159686878</c:v>
                </c:pt>
                <c:pt idx="120">
                  <c:v>667.79603545019643</c:v>
                </c:pt>
                <c:pt idx="121">
                  <c:v>3.3837175350986671E-12</c:v>
                </c:pt>
                <c:pt idx="122">
                  <c:v>3.3837175350986671E-12</c:v>
                </c:pt>
                <c:pt idx="123">
                  <c:v>3.3837175350986671E-12</c:v>
                </c:pt>
                <c:pt idx="124">
                  <c:v>3.3837175350986671E-12</c:v>
                </c:pt>
                <c:pt idx="125">
                  <c:v>3.3837175350986671E-12</c:v>
                </c:pt>
                <c:pt idx="126">
                  <c:v>3.3837175350986671E-12</c:v>
                </c:pt>
                <c:pt idx="127">
                  <c:v>3.3837175350986671E-12</c:v>
                </c:pt>
                <c:pt idx="128">
                  <c:v>3.3837175350986671E-12</c:v>
                </c:pt>
                <c:pt idx="129">
                  <c:v>3.3837175350986671E-12</c:v>
                </c:pt>
                <c:pt idx="130">
                  <c:v>3.3837175350986671E-12</c:v>
                </c:pt>
                <c:pt idx="131">
                  <c:v>3.3837175350986671E-12</c:v>
                </c:pt>
                <c:pt idx="132">
                  <c:v>3.3837175350986671E-12</c:v>
                </c:pt>
                <c:pt idx="133">
                  <c:v>3.3837175350986671E-12</c:v>
                </c:pt>
                <c:pt idx="134">
                  <c:v>3.3837175350986671E-12</c:v>
                </c:pt>
                <c:pt idx="135">
                  <c:v>3.3837175350986671E-12</c:v>
                </c:pt>
                <c:pt idx="136">
                  <c:v>3.3837175350986671E-12</c:v>
                </c:pt>
                <c:pt idx="137">
                  <c:v>3.3837175350986671E-12</c:v>
                </c:pt>
                <c:pt idx="138">
                  <c:v>3.3837175350986671E-12</c:v>
                </c:pt>
                <c:pt idx="139">
                  <c:v>3.3837175350986671E-12</c:v>
                </c:pt>
                <c:pt idx="140">
                  <c:v>3.3837175350986671E-12</c:v>
                </c:pt>
                <c:pt idx="141">
                  <c:v>3.3837175350986671E-12</c:v>
                </c:pt>
                <c:pt idx="142">
                  <c:v>3.3837175350986671E-12</c:v>
                </c:pt>
                <c:pt idx="143">
                  <c:v>3.3837175350986671E-12</c:v>
                </c:pt>
                <c:pt idx="144">
                  <c:v>3.3837175350986671E-12</c:v>
                </c:pt>
                <c:pt idx="145">
                  <c:v>3.3837175350986671E-12</c:v>
                </c:pt>
                <c:pt idx="146">
                  <c:v>3.3837175350986671E-12</c:v>
                </c:pt>
                <c:pt idx="147">
                  <c:v>3.3837175350986671E-12</c:v>
                </c:pt>
                <c:pt idx="148">
                  <c:v>3.3837175350986671E-12</c:v>
                </c:pt>
                <c:pt idx="149">
                  <c:v>3.3837175350986671E-12</c:v>
                </c:pt>
                <c:pt idx="150">
                  <c:v>3.3837175350986671E-12</c:v>
                </c:pt>
                <c:pt idx="151">
                  <c:v>3.3837175350986671E-12</c:v>
                </c:pt>
                <c:pt idx="152">
                  <c:v>3.3837175350986671E-12</c:v>
                </c:pt>
                <c:pt idx="153">
                  <c:v>3.3837175350986671E-12</c:v>
                </c:pt>
                <c:pt idx="154">
                  <c:v>3.3837175350986671E-12</c:v>
                </c:pt>
                <c:pt idx="155">
                  <c:v>3.3837175350986671E-12</c:v>
                </c:pt>
                <c:pt idx="156">
                  <c:v>3.3837175350986671E-12</c:v>
                </c:pt>
                <c:pt idx="157">
                  <c:v>3.3837175350986671E-12</c:v>
                </c:pt>
                <c:pt idx="158">
                  <c:v>3.3837175350986671E-12</c:v>
                </c:pt>
                <c:pt idx="159">
                  <c:v>3.3837175350986671E-12</c:v>
                </c:pt>
                <c:pt idx="160">
                  <c:v>3.3837175350986671E-12</c:v>
                </c:pt>
                <c:pt idx="161">
                  <c:v>3.3837175350986671E-12</c:v>
                </c:pt>
                <c:pt idx="162">
                  <c:v>3.3837175350986671E-12</c:v>
                </c:pt>
                <c:pt idx="163">
                  <c:v>3.3837175350986671E-12</c:v>
                </c:pt>
                <c:pt idx="164">
                  <c:v>3.3837175350986671E-12</c:v>
                </c:pt>
                <c:pt idx="165">
                  <c:v>3.3837175350986671E-12</c:v>
                </c:pt>
                <c:pt idx="166">
                  <c:v>3.3837175350986671E-12</c:v>
                </c:pt>
                <c:pt idx="167">
                  <c:v>3.3837175350986671E-12</c:v>
                </c:pt>
                <c:pt idx="168">
                  <c:v>3.3837175350986671E-12</c:v>
                </c:pt>
                <c:pt idx="169">
                  <c:v>3.3837175350986671E-12</c:v>
                </c:pt>
                <c:pt idx="170">
                  <c:v>3.3837175350986671E-12</c:v>
                </c:pt>
                <c:pt idx="171">
                  <c:v>3.3837175350986671E-12</c:v>
                </c:pt>
                <c:pt idx="172">
                  <c:v>3.3837175350986671E-12</c:v>
                </c:pt>
                <c:pt idx="173">
                  <c:v>3.3837175350986671E-12</c:v>
                </c:pt>
                <c:pt idx="174">
                  <c:v>3.3837175350986671E-12</c:v>
                </c:pt>
                <c:pt idx="175">
                  <c:v>3.3837175350986671E-12</c:v>
                </c:pt>
                <c:pt idx="176">
                  <c:v>3.3837175350986671E-12</c:v>
                </c:pt>
                <c:pt idx="177">
                  <c:v>3.3837175350986671E-12</c:v>
                </c:pt>
                <c:pt idx="178">
                  <c:v>3.3837175350986671E-12</c:v>
                </c:pt>
                <c:pt idx="179">
                  <c:v>3.3837175350986671E-12</c:v>
                </c:pt>
                <c:pt idx="180">
                  <c:v>3.3837175350986671E-12</c:v>
                </c:pt>
                <c:pt idx="181">
                  <c:v>3.3837175350986671E-12</c:v>
                </c:pt>
                <c:pt idx="182">
                  <c:v>3.3837175350986671E-12</c:v>
                </c:pt>
                <c:pt idx="183">
                  <c:v>3.3837175350986671E-12</c:v>
                </c:pt>
                <c:pt idx="184">
                  <c:v>3.3837175350986671E-12</c:v>
                </c:pt>
                <c:pt idx="185">
                  <c:v>3.3837175350986671E-12</c:v>
                </c:pt>
                <c:pt idx="186">
                  <c:v>3.3837175350986671E-12</c:v>
                </c:pt>
                <c:pt idx="187">
                  <c:v>3.3837175350986671E-12</c:v>
                </c:pt>
                <c:pt idx="188">
                  <c:v>3.3837175350986671E-12</c:v>
                </c:pt>
                <c:pt idx="189">
                  <c:v>3.3837175350986671E-12</c:v>
                </c:pt>
                <c:pt idx="190">
                  <c:v>3.3837175350986671E-12</c:v>
                </c:pt>
                <c:pt idx="191">
                  <c:v>3.3837175350986671E-12</c:v>
                </c:pt>
                <c:pt idx="192">
                  <c:v>3.3837175350986671E-12</c:v>
                </c:pt>
                <c:pt idx="193">
                  <c:v>3.3837175350986671E-12</c:v>
                </c:pt>
                <c:pt idx="194">
                  <c:v>3.3837175350986671E-12</c:v>
                </c:pt>
                <c:pt idx="195">
                  <c:v>3.3837175350986671E-12</c:v>
                </c:pt>
                <c:pt idx="196">
                  <c:v>3.3837175350986671E-12</c:v>
                </c:pt>
                <c:pt idx="197">
                  <c:v>3.3837175350986671E-12</c:v>
                </c:pt>
                <c:pt idx="198">
                  <c:v>3.3837175350986671E-12</c:v>
                </c:pt>
                <c:pt idx="199">
                  <c:v>3.3837175350986671E-12</c:v>
                </c:pt>
                <c:pt idx="200">
                  <c:v>3.3837175350986671E-12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254.47610699585906</c:v>
                </c:pt>
                <c:pt idx="27">
                  <c:v>279.23900597474056</c:v>
                </c:pt>
                <c:pt idx="28">
                  <c:v>303.95265143464229</c:v>
                </c:pt>
                <c:pt idx="29">
                  <c:v>328.62160871118198</c:v>
                </c:pt>
                <c:pt idx="30">
                  <c:v>353.24970174806896</c:v>
                </c:pt>
                <c:pt idx="31">
                  <c:v>293.47377793906497</c:v>
                </c:pt>
                <c:pt idx="32">
                  <c:v>315.91868734548365</c:v>
                </c:pt>
                <c:pt idx="33">
                  <c:v>338.32827143043045</c:v>
                </c:pt>
                <c:pt idx="34">
                  <c:v>360.70519760433905</c:v>
                </c:pt>
                <c:pt idx="35">
                  <c:v>383.05177541071208</c:v>
                </c:pt>
                <c:pt idx="36">
                  <c:v>325.26014493454323</c:v>
                </c:pt>
                <c:pt idx="37">
                  <c:v>345.79075477962851</c:v>
                </c:pt>
                <c:pt idx="38">
                  <c:v>366.29460383970854</c:v>
                </c:pt>
                <c:pt idx="39">
                  <c:v>386.77339997206701</c:v>
                </c:pt>
                <c:pt idx="40">
                  <c:v>407.22865549260905</c:v>
                </c:pt>
                <c:pt idx="41">
                  <c:v>352.87683705646697</c:v>
                </c:pt>
                <c:pt idx="42">
                  <c:v>371.1372483365563</c:v>
                </c:pt>
                <c:pt idx="43">
                  <c:v>389.37807388667096</c:v>
                </c:pt>
                <c:pt idx="44">
                  <c:v>407.60035995338376</c:v>
                </c:pt>
                <c:pt idx="45">
                  <c:v>425.80505163704925</c:v>
                </c:pt>
                <c:pt idx="46">
                  <c:v>374.8614207616456</c:v>
                </c:pt>
                <c:pt idx="47">
                  <c:v>390.86628899650532</c:v>
                </c:pt>
                <c:pt idx="48">
                  <c:v>406.85694369927228</c:v>
                </c:pt>
                <c:pt idx="49">
                  <c:v>422.83402201018413</c:v>
                </c:pt>
                <c:pt idx="50">
                  <c:v>438.79810900392067</c:v>
                </c:pt>
                <c:pt idx="51">
                  <c:v>391.9823696123172</c:v>
                </c:pt>
                <c:pt idx="52">
                  <c:v>406.4852245657151</c:v>
                </c:pt>
                <c:pt idx="53">
                  <c:v>420.97690043878225</c:v>
                </c:pt>
                <c:pt idx="54">
                  <c:v>435.45783620208476</c:v>
                </c:pt>
                <c:pt idx="55">
                  <c:v>449.92843925372966</c:v>
                </c:pt>
                <c:pt idx="56">
                  <c:v>408.71542941668866</c:v>
                </c:pt>
                <c:pt idx="57">
                  <c:v>421.34833884363525</c:v>
                </c:pt>
                <c:pt idx="58">
                  <c:v>433.97309421022027</c:v>
                </c:pt>
                <c:pt idx="59">
                  <c:v>446.58996615169781</c:v>
                </c:pt>
                <c:pt idx="60">
                  <c:v>459.19920876443302</c:v>
                </c:pt>
                <c:pt idx="61">
                  <c:v>422.09119450330439</c:v>
                </c:pt>
                <c:pt idx="62">
                  <c:v>433.2306823305874</c:v>
                </c:pt>
                <c:pt idx="63">
                  <c:v>444.36402075569362</c:v>
                </c:pt>
                <c:pt idx="64">
                  <c:v>455.49138558575561</c:v>
                </c:pt>
                <c:pt idx="65">
                  <c:v>466.61294333655451</c:v>
                </c:pt>
                <c:pt idx="66">
                  <c:v>433.60189168293101</c:v>
                </c:pt>
                <c:pt idx="67">
                  <c:v>443.25095855050785</c:v>
                </c:pt>
                <c:pt idx="68">
                  <c:v>452.89552584845813</c:v>
                </c:pt>
                <c:pt idx="69">
                  <c:v>462.53570293273191</c:v>
                </c:pt>
                <c:pt idx="70">
                  <c:v>472.17159422788433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2.0678771828415159</c:v>
                </c:pt>
                <c:pt idx="2">
                  <c:v>2.8681970477070542</c:v>
                </c:pt>
                <c:pt idx="3">
                  <c:v>3.9795965713754424</c:v>
                </c:pt>
                <c:pt idx="4">
                  <c:v>5.5234793720576008</c:v>
                </c:pt>
                <c:pt idx="5">
                  <c:v>7.6688067459399774</c:v>
                </c:pt>
                <c:pt idx="6">
                  <c:v>10.650792128926563</c:v>
                </c:pt>
                <c:pt idx="7">
                  <c:v>14.796967519614372</c:v>
                </c:pt>
                <c:pt idx="8">
                  <c:v>20.563537328376153</c:v>
                </c:pt>
                <c:pt idx="9">
                  <c:v>28.586091146131412</c:v>
                </c:pt>
                <c:pt idx="10">
                  <c:v>39.750362420321537</c:v>
                </c:pt>
                <c:pt idx="11">
                  <c:v>55.290977985974564</c:v>
                </c:pt>
                <c:pt idx="12">
                  <c:v>76.929299853182087</c:v>
                </c:pt>
                <c:pt idx="13">
                  <c:v>107.06587384008525</c:v>
                </c:pt>
                <c:pt idx="14">
                  <c:v>149.04917089236434</c:v>
                </c:pt>
                <c:pt idx="15">
                  <c:v>207.55093790668323</c:v>
                </c:pt>
                <c:pt idx="16">
                  <c:v>289.09054774118363</c:v>
                </c:pt>
                <c:pt idx="17">
                  <c:v>402.76762782233135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G19" sqref="G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9.1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0.04</v>
      </c>
      <c r="D9" s="36">
        <f t="shared" ref="D9:D18" si="0">C9*$C$5</f>
        <v>0.36399999999999999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0.04</v>
      </c>
      <c r="D10" s="36">
        <f t="shared" si="0"/>
        <v>0.36399999999999999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10</v>
      </c>
      <c r="C11" s="35">
        <v>0.01</v>
      </c>
      <c r="D11" s="36">
        <f t="shared" si="0"/>
        <v>9.0999999999999998E-2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13</v>
      </c>
      <c r="C12" s="35">
        <v>0.14000000000000001</v>
      </c>
      <c r="D12" s="36">
        <f t="shared" si="0"/>
        <v>1.274</v>
      </c>
      <c r="E12" s="37">
        <v>70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14</v>
      </c>
      <c r="C13" s="35">
        <v>0.27</v>
      </c>
      <c r="D13" s="36">
        <f t="shared" si="0"/>
        <v>2.4569999999999999</v>
      </c>
      <c r="E13" s="37">
        <v>115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118</v>
      </c>
      <c r="C14" s="35">
        <v>0.12</v>
      </c>
      <c r="D14" s="36">
        <f t="shared" si="0"/>
        <v>1.0919999999999999</v>
      </c>
      <c r="E14" s="37">
        <v>17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138</v>
      </c>
      <c r="C15" s="35">
        <v>0.38</v>
      </c>
      <c r="D15" s="36">
        <f t="shared" si="0"/>
        <v>3.4579999999999997</v>
      </c>
      <c r="E15" s="37">
        <v>34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195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6.5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35</v>
      </c>
      <c r="B37" s="63">
        <v>280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17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42</v>
      </c>
      <c r="B38" s="63">
        <v>417</v>
      </c>
      <c r="C38" s="63">
        <v>3</v>
      </c>
      <c r="D38" s="63">
        <v>182</v>
      </c>
      <c r="E38" s="54"/>
      <c r="F38" s="54"/>
      <c r="G38" s="54"/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43</v>
      </c>
      <c r="B39" s="63">
        <v>256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21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3">
        <v>361</v>
      </c>
      <c r="C40" s="63">
        <v>5</v>
      </c>
      <c r="D40" s="63">
        <v>100</v>
      </c>
      <c r="E40" s="54"/>
      <c r="F40" s="54"/>
      <c r="G40" s="54"/>
      <c r="H40" s="54"/>
      <c r="I40" s="52">
        <f t="shared" si="1"/>
        <v>17.5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278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380</v>
      </c>
      <c r="C42" s="63">
        <v>7</v>
      </c>
      <c r="D42" s="63">
        <v>79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57</v>
      </c>
      <c r="B43" s="63">
        <v>316</v>
      </c>
      <c r="C43" s="63">
        <v>8</v>
      </c>
      <c r="D43" s="63">
        <v>0</v>
      </c>
      <c r="E43" s="54"/>
      <c r="F43" s="54"/>
      <c r="G43" s="54"/>
      <c r="H43" s="54"/>
      <c r="I43" s="52">
        <f t="shared" si="1"/>
        <v>15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63</v>
      </c>
      <c r="B44" s="63">
        <v>416</v>
      </c>
      <c r="C44" s="63">
        <v>9</v>
      </c>
      <c r="D44" s="63">
        <v>79</v>
      </c>
      <c r="E44" s="54"/>
      <c r="F44" s="54"/>
      <c r="G44" s="54"/>
      <c r="H44" s="54"/>
      <c r="I44" s="52">
        <f t="shared" si="1"/>
        <v>16.666666666666668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64</v>
      </c>
      <c r="B45" s="63">
        <v>353</v>
      </c>
      <c r="C45" s="63">
        <v>10</v>
      </c>
      <c r="D45" s="63">
        <v>0</v>
      </c>
      <c r="E45" s="54"/>
      <c r="F45" s="54"/>
      <c r="G45" s="54"/>
      <c r="H45" s="54"/>
      <c r="I45" s="52">
        <f t="shared" si="1"/>
        <v>16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71</v>
      </c>
      <c r="B46" s="63">
        <v>466</v>
      </c>
      <c r="C46" s="63">
        <v>11</v>
      </c>
      <c r="D46" s="63">
        <v>91</v>
      </c>
      <c r="E46" s="54"/>
      <c r="F46" s="54"/>
      <c r="G46" s="54"/>
      <c r="H46" s="54"/>
      <c r="I46" s="52">
        <f t="shared" si="1"/>
        <v>16.142857142857142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72</v>
      </c>
      <c r="B47" s="63">
        <v>390</v>
      </c>
      <c r="C47" s="63">
        <v>12</v>
      </c>
      <c r="D47" s="63">
        <v>0</v>
      </c>
      <c r="E47" s="54"/>
      <c r="F47" s="54"/>
      <c r="G47" s="54"/>
      <c r="H47" s="54"/>
      <c r="I47" s="52">
        <f t="shared" si="1"/>
        <v>15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79</v>
      </c>
      <c r="B48" s="63">
        <v>496</v>
      </c>
      <c r="C48" s="63">
        <v>13</v>
      </c>
      <c r="D48" s="63">
        <v>88</v>
      </c>
      <c r="E48" s="54"/>
      <c r="F48" s="54"/>
      <c r="G48" s="54"/>
      <c r="H48" s="54"/>
      <c r="I48" s="52">
        <f t="shared" si="1"/>
        <v>15.142857142857142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80</v>
      </c>
      <c r="B49" s="63">
        <v>423</v>
      </c>
      <c r="C49" s="63">
        <v>14</v>
      </c>
      <c r="D49" s="63">
        <v>0</v>
      </c>
      <c r="E49" s="54"/>
      <c r="F49" s="54"/>
      <c r="G49" s="54"/>
      <c r="H49" s="54"/>
      <c r="I49" s="52">
        <f t="shared" si="1"/>
        <v>15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87</v>
      </c>
      <c r="B50" s="53">
        <v>522</v>
      </c>
      <c r="C50" s="53">
        <v>15</v>
      </c>
      <c r="D50" s="53">
        <v>89</v>
      </c>
      <c r="E50" s="54"/>
      <c r="F50" s="54"/>
      <c r="G50" s="54"/>
      <c r="H50" s="54"/>
      <c r="I50" s="52">
        <f t="shared" si="1"/>
        <v>14.142857142857142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88</v>
      </c>
      <c r="B51" s="53">
        <v>447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14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94</v>
      </c>
      <c r="B52" s="53">
        <v>525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13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95</v>
      </c>
      <c r="B53" s="53">
        <v>538</v>
      </c>
      <c r="C53" s="53">
        <v>18</v>
      </c>
      <c r="D53" s="53">
        <v>269</v>
      </c>
      <c r="E53" s="54"/>
      <c r="F53" s="54"/>
      <c r="G53" s="54"/>
      <c r="H53" s="54"/>
      <c r="I53" s="52">
        <f t="shared" si="1"/>
        <v>13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96</v>
      </c>
      <c r="B54" s="53">
        <v>280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11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105</v>
      </c>
      <c r="B55" s="53">
        <v>357</v>
      </c>
      <c r="C55" s="53">
        <v>20</v>
      </c>
      <c r="D55" s="53">
        <v>357</v>
      </c>
      <c r="E55" s="54"/>
      <c r="F55" s="54"/>
      <c r="G55" s="54"/>
      <c r="H55" s="54"/>
      <c r="I55" s="52">
        <f t="shared" si="1"/>
        <v>8.5555555555555554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Chêne-liège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/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rouge d'Amérique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87</v>
      </c>
      <c r="C114" s="53">
        <v>1</v>
      </c>
      <c r="D114" s="63">
        <v>21</v>
      </c>
      <c r="E114" s="54"/>
      <c r="F114" s="54"/>
      <c r="G114" s="54"/>
      <c r="H114" s="54">
        <v>1</v>
      </c>
      <c r="I114" s="56">
        <f>IFERROR(B114/A114,"")</f>
        <v>5.8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137</v>
      </c>
      <c r="C115" s="53">
        <v>2</v>
      </c>
      <c r="D115" s="63">
        <v>43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14.2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163</v>
      </c>
      <c r="C116" s="53">
        <v>3</v>
      </c>
      <c r="D116" s="63">
        <v>44</v>
      </c>
      <c r="E116" s="54"/>
      <c r="F116" s="54">
        <v>0.2</v>
      </c>
      <c r="G116" s="54"/>
      <c r="H116" s="54">
        <v>0.8</v>
      </c>
      <c r="I116" s="56">
        <f t="shared" si="4"/>
        <v>13.8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185</v>
      </c>
      <c r="C117" s="53">
        <v>4</v>
      </c>
      <c r="D117" s="63">
        <v>44</v>
      </c>
      <c r="E117" s="54"/>
      <c r="F117" s="54">
        <v>0.4</v>
      </c>
      <c r="G117" s="54"/>
      <c r="H117" s="54">
        <v>0.6</v>
      </c>
      <c r="I117" s="56">
        <f t="shared" si="4"/>
        <v>13.2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201</v>
      </c>
      <c r="C118" s="53">
        <v>5</v>
      </c>
      <c r="D118" s="63">
        <v>42</v>
      </c>
      <c r="E118" s="54"/>
      <c r="F118" s="54"/>
      <c r="G118" s="54"/>
      <c r="H118" s="54"/>
      <c r="I118" s="56">
        <f t="shared" si="4"/>
        <v>12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214</v>
      </c>
      <c r="C119" s="53">
        <v>6</v>
      </c>
      <c r="D119" s="63">
        <v>39</v>
      </c>
      <c r="E119" s="54"/>
      <c r="F119" s="54"/>
      <c r="G119" s="54"/>
      <c r="H119" s="54"/>
      <c r="I119" s="56">
        <f t="shared" si="4"/>
        <v>11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v>224</v>
      </c>
      <c r="C120" s="63">
        <v>7</v>
      </c>
      <c r="D120" s="63">
        <v>36</v>
      </c>
      <c r="E120" s="93"/>
      <c r="F120" s="93"/>
      <c r="G120" s="93"/>
      <c r="H120" s="93"/>
      <c r="I120" s="56">
        <f t="shared" si="4"/>
        <v>9.8000000000000007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231</v>
      </c>
      <c r="C121" s="63">
        <v>8</v>
      </c>
      <c r="D121" s="63">
        <v>33</v>
      </c>
      <c r="E121" s="93"/>
      <c r="F121" s="93"/>
      <c r="G121" s="93"/>
      <c r="H121" s="93"/>
      <c r="I121" s="56">
        <f t="shared" si="4"/>
        <v>8.6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237</v>
      </c>
      <c r="C122" s="63">
        <v>9</v>
      </c>
      <c r="D122" s="63">
        <v>29</v>
      </c>
      <c r="E122" s="93"/>
      <c r="F122" s="93"/>
      <c r="G122" s="93"/>
      <c r="H122" s="93"/>
      <c r="I122" s="56">
        <f t="shared" si="4"/>
        <v>7.8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242</v>
      </c>
      <c r="C123" s="63">
        <v>10</v>
      </c>
      <c r="D123" s="63">
        <v>26</v>
      </c>
      <c r="E123" s="93"/>
      <c r="F123" s="93"/>
      <c r="G123" s="93"/>
      <c r="H123" s="93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246</v>
      </c>
      <c r="C124" s="63">
        <v>11</v>
      </c>
      <c r="D124" s="63">
        <v>23</v>
      </c>
      <c r="E124" s="93"/>
      <c r="F124" s="93"/>
      <c r="G124" s="93"/>
      <c r="H124" s="93"/>
      <c r="I124" s="56">
        <f t="shared" si="4"/>
        <v>6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v>249</v>
      </c>
      <c r="C125" s="63">
        <v>12</v>
      </c>
      <c r="D125" s="63">
        <v>249</v>
      </c>
      <c r="E125" s="93"/>
      <c r="F125" s="93"/>
      <c r="G125" s="93"/>
      <c r="H125" s="93"/>
      <c r="I125" s="56">
        <f t="shared" si="4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sessile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73</v>
      </c>
      <c r="C140" s="5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103</v>
      </c>
      <c r="C141" s="53">
        <v>2</v>
      </c>
      <c r="D141" s="63">
        <v>28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121</v>
      </c>
      <c r="C142" s="53">
        <v>3</v>
      </c>
      <c r="D142" s="63">
        <v>28</v>
      </c>
      <c r="E142" s="54"/>
      <c r="F142" s="54">
        <v>0.2</v>
      </c>
      <c r="G142" s="54"/>
      <c r="H142" s="54">
        <v>0.8</v>
      </c>
      <c r="I142" s="60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147</v>
      </c>
      <c r="C143" s="53">
        <v>4</v>
      </c>
      <c r="D143" s="63">
        <v>28</v>
      </c>
      <c r="E143" s="54"/>
      <c r="F143" s="54"/>
      <c r="G143" s="54"/>
      <c r="H143" s="54"/>
      <c r="I143" s="60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175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204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231</v>
      </c>
      <c r="C146" s="53">
        <v>7</v>
      </c>
      <c r="D146" s="63">
        <v>28</v>
      </c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254</v>
      </c>
      <c r="C147" s="53">
        <v>8</v>
      </c>
      <c r="D147" s="63">
        <v>28</v>
      </c>
      <c r="E147" s="54"/>
      <c r="F147" s="54"/>
      <c r="G147" s="54"/>
      <c r="H147" s="54"/>
      <c r="I147" s="60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273</v>
      </c>
      <c r="C148" s="53">
        <v>9</v>
      </c>
      <c r="D148" s="63">
        <v>28</v>
      </c>
      <c r="E148" s="54"/>
      <c r="F148" s="54"/>
      <c r="G148" s="54"/>
      <c r="H148" s="54"/>
      <c r="I148" s="60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v>289</v>
      </c>
      <c r="C149" s="53">
        <v>10</v>
      </c>
      <c r="D149" s="63">
        <v>28</v>
      </c>
      <c r="E149" s="54"/>
      <c r="F149" s="54"/>
      <c r="G149" s="54"/>
      <c r="H149" s="54"/>
      <c r="I149" s="60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302</v>
      </c>
      <c r="C150" s="53">
        <v>11</v>
      </c>
      <c r="D150" s="63">
        <v>28</v>
      </c>
      <c r="E150" s="54"/>
      <c r="F150" s="54"/>
      <c r="G150" s="54"/>
      <c r="H150" s="54"/>
      <c r="I150" s="60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v>312</v>
      </c>
      <c r="C151" s="53">
        <v>12</v>
      </c>
      <c r="D151" s="63">
        <v>28</v>
      </c>
      <c r="E151" s="54"/>
      <c r="F151" s="54"/>
      <c r="G151" s="54"/>
      <c r="H151" s="54"/>
      <c r="I151" s="60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3">
        <v>320</v>
      </c>
      <c r="C152" s="53">
        <v>13</v>
      </c>
      <c r="D152" s="63">
        <v>28</v>
      </c>
      <c r="E152" s="57"/>
      <c r="F152" s="57"/>
      <c r="G152" s="57"/>
      <c r="H152" s="57"/>
      <c r="I152" s="60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85</v>
      </c>
      <c r="B153" s="63">
        <v>326</v>
      </c>
      <c r="C153" s="53">
        <v>14</v>
      </c>
      <c r="D153" s="63">
        <v>28</v>
      </c>
      <c r="E153" s="57"/>
      <c r="F153" s="57"/>
      <c r="G153" s="57"/>
      <c r="H153" s="57"/>
      <c r="I153" s="60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90</v>
      </c>
      <c r="B154" s="59">
        <v>330</v>
      </c>
      <c r="C154" s="53">
        <v>15</v>
      </c>
      <c r="D154" s="53">
        <v>28</v>
      </c>
      <c r="E154" s="57"/>
      <c r="F154" s="57"/>
      <c r="G154" s="57"/>
      <c r="H154" s="57"/>
      <c r="I154" s="60">
        <f t="shared" si="5"/>
        <v>6.4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95</v>
      </c>
      <c r="B155" s="59">
        <v>332</v>
      </c>
      <c r="C155" s="53">
        <v>16</v>
      </c>
      <c r="D155" s="53">
        <v>28</v>
      </c>
      <c r="E155" s="57"/>
      <c r="F155" s="57"/>
      <c r="G155" s="57"/>
      <c r="H155" s="57"/>
      <c r="I155" s="60">
        <f t="shared" si="5"/>
        <v>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100</v>
      </c>
      <c r="B156" s="59">
        <v>333</v>
      </c>
      <c r="C156" s="53">
        <v>17</v>
      </c>
      <c r="D156" s="53">
        <v>27</v>
      </c>
      <c r="E156" s="57"/>
      <c r="F156" s="57"/>
      <c r="G156" s="57"/>
      <c r="H156" s="57"/>
      <c r="I156" s="60">
        <f t="shared" si="5"/>
        <v>5.8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105</v>
      </c>
      <c r="B157" s="59">
        <v>333</v>
      </c>
      <c r="C157" s="53">
        <v>18</v>
      </c>
      <c r="D157" s="53">
        <v>26</v>
      </c>
      <c r="E157" s="57"/>
      <c r="F157" s="57"/>
      <c r="G157" s="57"/>
      <c r="H157" s="57"/>
      <c r="I157" s="60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v>332</v>
      </c>
      <c r="C158" s="53">
        <v>19</v>
      </c>
      <c r="D158" s="53">
        <v>25</v>
      </c>
      <c r="E158" s="57"/>
      <c r="F158" s="57"/>
      <c r="G158" s="57"/>
      <c r="H158" s="57"/>
      <c r="I158" s="60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115</v>
      </c>
      <c r="B159" s="59">
        <v>330</v>
      </c>
      <c r="C159" s="53">
        <v>20</v>
      </c>
      <c r="D159" s="61">
        <v>330</v>
      </c>
      <c r="E159" s="57"/>
      <c r="F159" s="57"/>
      <c r="G159" s="57"/>
      <c r="H159" s="57"/>
      <c r="I159" s="60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Peuplier Taro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17</v>
      </c>
      <c r="B166" s="63">
        <v>322</v>
      </c>
      <c r="C166" s="63">
        <v>1</v>
      </c>
      <c r="D166" s="63">
        <v>322</v>
      </c>
      <c r="E166" s="54">
        <v>0.7</v>
      </c>
      <c r="F166" s="54">
        <v>0.21</v>
      </c>
      <c r="G166" s="54"/>
      <c r="H166" s="54"/>
      <c r="I166" s="52">
        <f>IFERROR(B166/A166,"")</f>
        <v>18.941176470588236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Pin taeda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13</v>
      </c>
      <c r="B192" s="63">
        <v>101</v>
      </c>
      <c r="C192" s="63">
        <v>1</v>
      </c>
      <c r="D192" s="63">
        <v>28</v>
      </c>
      <c r="E192" s="54"/>
      <c r="F192" s="54"/>
      <c r="G192" s="54">
        <v>1</v>
      </c>
      <c r="H192" s="54"/>
      <c r="I192" s="52">
        <f>IFERROR(B192/A192,"")</f>
        <v>7.7692307692307692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18</v>
      </c>
      <c r="B193" s="63">
        <v>166</v>
      </c>
      <c r="C193" s="63">
        <v>2</v>
      </c>
      <c r="D193" s="63">
        <v>40</v>
      </c>
      <c r="E193" s="54">
        <v>0.25</v>
      </c>
      <c r="F193" s="54"/>
      <c r="G193" s="54">
        <v>0.75</v>
      </c>
      <c r="H193" s="54"/>
      <c r="I193" s="52">
        <f t="shared" ref="I193:I211" si="7">IF(A193&lt;&gt;0,(B193-(B192-D192))/(A193-A192),"")</f>
        <v>18.600000000000001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23</v>
      </c>
      <c r="B194" s="63">
        <v>215</v>
      </c>
      <c r="C194" s="63">
        <v>3</v>
      </c>
      <c r="D194" s="63">
        <v>52</v>
      </c>
      <c r="E194" s="54">
        <v>0.5</v>
      </c>
      <c r="F194" s="54"/>
      <c r="G194" s="54">
        <v>0.5</v>
      </c>
      <c r="H194" s="54"/>
      <c r="I194" s="52">
        <f t="shared" si="7"/>
        <v>17.8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v>269</v>
      </c>
      <c r="C195" s="63">
        <v>4</v>
      </c>
      <c r="D195" s="63">
        <v>0</v>
      </c>
      <c r="E195" s="54"/>
      <c r="F195" s="54"/>
      <c r="G195" s="54"/>
      <c r="H195" s="54"/>
      <c r="I195" s="52">
        <f t="shared" si="7"/>
        <v>15.142857142857142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34</v>
      </c>
      <c r="B196" s="63">
        <v>325</v>
      </c>
      <c r="C196" s="63">
        <v>5</v>
      </c>
      <c r="D196" s="63">
        <v>325</v>
      </c>
      <c r="E196" s="54">
        <v>0.7</v>
      </c>
      <c r="F196" s="54"/>
      <c r="G196" s="54">
        <v>0.3</v>
      </c>
      <c r="H196" s="54"/>
      <c r="I196" s="52">
        <f t="shared" si="7"/>
        <v>14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D20" sqref="D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0.44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0.56000000000000005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Cèdre de l'Atlas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pubescent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Chêne-liège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Chêne rouge d'Amérique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Chêne sessile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Peuplier Taro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>Pin taeda</v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2.8000000000000003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10.266666666666667</v>
      </c>
      <c r="H3" s="70">
        <f>(B3+E3+F3)*44/12+(C3+D3)*0.475*44/12</f>
        <v>188.90666666666664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178.64</v>
      </c>
      <c r="S3" s="62">
        <f ca="1">AVERAGE(OFFSET($R$3,0,0,'Données projet'!$E$9+1,1))-AVERAGE(OFFSET($H$3,0,0,'Données projet'!$E$9+1,1))</f>
        <v>349.50936264852089</v>
      </c>
      <c r="T3" s="62">
        <f>IF('Données projet'!E9&gt;30,$R$33-$H$33,LOOKUP('Données projet'!$E$9,$A$3:$A$203,R3:R203)-LOOKUP('Données projet'!$E$9,$A$3:$A$203,$H$3:$H$203))</f>
        <v>260.52733851266106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178.64</v>
      </c>
      <c r="AN3" s="62">
        <f ca="1">AVERAGE(OFFSET($AM$3,0,0,'Données projet'!$E$10+1,1))-AVERAGE(OFFSET($H$3,0,0,'Données projet'!$E$10+1,1))</f>
        <v>447.04988989014134</v>
      </c>
      <c r="AO3" s="62">
        <f>IF('Données projet'!E10&gt;30,$AM$33-$H$33,LOOKUP('Données projet'!$E$10,$A$3:$A$203,AM3:AM203)-LOOKUP('Données projet'!$E$10,$A$3:$A$203,$H$3:$H$203))</f>
        <v>278.04061554501783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178.64</v>
      </c>
      <c r="BI3" s="62">
        <f ca="1">AVERAGE(OFFSET($BH$3,0,0,'Données projet'!$E$11+1,1))-AVERAGE(OFFSET($H$3,0,0,'Données projet'!$E$11+1,1))</f>
        <v>475.58735584427552</v>
      </c>
      <c r="BJ3" s="62">
        <f>IF('Données projet'!E11&gt;30,$BH$33-$H$33,LOOKUP('Données projet'!$E$11,$A$3:$A$203,BH3:BH203)-LOOKUP('Données projet'!$E$11,$A$3:$A$203,$H$3:$H$203))</f>
        <v>294.51413339056131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178.64</v>
      </c>
      <c r="CD3" s="62">
        <f ca="1">AVERAGE(OFFSET($CC$3,0,0,'Données projet'!$E$12+1,1))-AVERAGE(OFFSET($H$3,0,0,'Données projet'!$E$12+1,1))</f>
        <v>344.32696811748974</v>
      </c>
      <c r="CE3" s="62">
        <f>IF('Données projet'!E12&gt;30,$CC$33-$H$33,LOOKUP('Données projet'!$E$12,$A$3:$A$203,CC3:CC203)-LOOKUP('Données projet'!$E$12,$A$3:$A$203,$H$3:$H$203))</f>
        <v>411.51927518440766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178.64</v>
      </c>
      <c r="CY3" s="62">
        <f ca="1">AVERAGE(OFFSET($CX$3,0,0,'Données projet'!$E$13+1,1))-AVERAGE(OFFSET($H$3,0,0,'Données projet'!$E$13+1,1))</f>
        <v>473.14533251757302</v>
      </c>
      <c r="CZ3" s="62">
        <f>IF('Données projet'!E13&gt;30,$CX$33-$H$33,LOOKUP('Données projet'!$E$13,$A$3:$A$203,CX3:CX203)-LOOKUP('Données projet'!$E$13,$A$3:$A$203,$H$3:$H$203))</f>
        <v>299.82031908667142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178.64</v>
      </c>
      <c r="DT3" s="62">
        <f ca="1">AVERAGE(OFFSET($DS$3,0,0,'Données projet'!$E$14+1,1))-AVERAGE(OFFSET($H$3,0,0,'Données projet'!$E$14+1,1))</f>
        <v>89.751456703373435</v>
      </c>
      <c r="DU3" s="62">
        <f>IF('Données projet'!E14&gt;30,$DS$33-$H$33,LOOKUP('Données projet'!$E$14,$A$3:$A$203,DS3:DS203)-LOOKUP('Données projet'!$E$14,$A$3:$A$203,$H$3:$H$203))</f>
        <v>433.35713950666889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178.64</v>
      </c>
      <c r="EO3" s="62">
        <f ca="1">AVERAGE(OFFSET($EN$3,0,0,'Données projet'!$E$15+1,1))-AVERAGE(OFFSET($H$3,0,0,'Données projet'!$E$15+1,1))</f>
        <v>204.71144247550794</v>
      </c>
      <c r="EP3" s="62">
        <f>IF('Données projet'!E15&gt;30,$EN$33-$H$33,LOOKUP('Données projet'!$E$15,$A$3:$A$203,EN3:EN203)-LOOKUP('Données projet'!$E$15,$A$3:$A$203,$H$3:$H$203))</f>
        <v>409.91012463636184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48.72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2.8000000000000003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10.266666666666667</v>
      </c>
      <c r="H4" s="70">
        <f t="shared" ref="H4:H67" si="1">(B4+E4+F4)*44/12+(C4+D4)*0.475*44/12</f>
        <v>188.90666666666664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6.5</v>
      </c>
      <c r="N4" s="14">
        <f>IF('Données projet'!$A$36&gt;35,N3+M4-V3,IF(A4&lt;'Données projet'!$A$36,$K$205^A4,IF(A4='Données projet'!$A$36,'Données projet'!$B$36,N3+M4-V3)))</f>
        <v>1.1921598380198544</v>
      </c>
      <c r="O4" s="14">
        <f>N4*VLOOKUP('Données projet'!$B$9,Paramètres!$A$1:$I$89,3,0)*VLOOKUP('Données projet'!$B$9,Paramètres!$A$1:$I$89,5,0)</f>
        <v>0.55793080419329188</v>
      </c>
      <c r="P4" s="14">
        <f>EXP(-1.0587+0.8836*LN(O4)+0.284)</f>
        <v>0.27518860925423011</v>
      </c>
      <c r="Q4" s="22">
        <f t="shared" ref="Q4:Q34" si="2">(O4+P4)*0.475*44/12</f>
        <v>1.4510163117544339</v>
      </c>
      <c r="R4" s="62">
        <f t="shared" si="0"/>
        <v>182.6668267591499</v>
      </c>
      <c r="S4" s="62">
        <f ca="1">AVERAGE(OFFSET($R$3,0,0,'Données projet'!$E$9+1,1))-AVERAGE(OFFSET($H$3,0,0,'Données projet'!$E$9+1,1))</f>
        <v>349.50936264852089</v>
      </c>
      <c r="T4" s="62">
        <f>$T$3</f>
        <v>260.52733851266106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1.2025088711792926</v>
      </c>
      <c r="AK4" s="14">
        <f>EXP(-1.0587+0.8836*LN(AJ4)+0.284)</f>
        <v>0.54239799688655566</v>
      </c>
      <c r="AL4" s="22">
        <f t="shared" ref="AL4:AL67" si="4">(AJ4+AK4)*0.475*44/12</f>
        <v>3.0390461285480193</v>
      </c>
      <c r="AM4" s="62">
        <f t="shared" ref="AM4:AM67" si="5">AL4+(AD4+AE4)*44/12</f>
        <v>184.25485657594348</v>
      </c>
      <c r="AN4" s="62">
        <f ca="1">AVERAGE(OFFSET($AM$3,0,0,'Données projet'!$E$10+1,1))-AVERAGE(OFFSET($H$3,0,0,'Données projet'!$E$10+1,1))</f>
        <v>447.04988989014134</v>
      </c>
      <c r="AO4" s="62">
        <f>$AO$3</f>
        <v>278.04061554501783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1.2950095535776995</v>
      </c>
      <c r="BF4" s="14">
        <f>EXP(-1.0587+0.8836*LN(BE4)+0.284)</f>
        <v>0.57910386465231778</v>
      </c>
      <c r="BG4" s="22">
        <f t="shared" ref="BG4:BG67" si="7">(BE4+BF4)*0.475*44/12</f>
        <v>3.2640808700839465</v>
      </c>
      <c r="BH4" s="62">
        <f t="shared" ref="BH4:BH67" si="8">BG4+(AY4+AZ4)*44/12</f>
        <v>184.4798913174794</v>
      </c>
      <c r="BI4" s="62">
        <f ca="1">AVERAGE(OFFSET($BH$3,0,0,'Données projet'!$E$11+1,1))-AVERAGE(OFFSET($H$3,0,0,'Données projet'!$E$11+1,1))</f>
        <v>475.58735584427552</v>
      </c>
      <c r="BJ4" s="62">
        <f>$BJ$3</f>
        <v>294.51413339056131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5.8</v>
      </c>
      <c r="BY4" s="13">
        <f>IF('Données projet'!$A$114&gt;35,BY3+BX4-CG3,IF(A4&lt;'Données projet'!$A$114,$BV$205^A4,IF(A4='Données projet'!$A$114,'Données projet'!$B$114,BY3+BX4-CG3)))</f>
        <v>1.3467943429205997</v>
      </c>
      <c r="BZ4" s="14">
        <f>BY4*VLOOKUP('Données projet'!$B$12,Paramètres!$A$1:$I$89,3,0)*VLOOKUP('Données projet'!$B$12,Paramètres!$A$1:$I$89,5,0)</f>
        <v>1.1765595379754361</v>
      </c>
      <c r="CA4" s="14">
        <f>EXP(-1.0587+0.8836*LN(BZ4)+0.284)</f>
        <v>0.53204273185561757</v>
      </c>
      <c r="CB4" s="22">
        <f t="shared" ref="CB4:CB67" si="10">(BZ4+CA4)*0.475*44/12</f>
        <v>2.9758156199557515</v>
      </c>
      <c r="CC4" s="62">
        <f t="shared" ref="CC4:CC67" si="11">CB4+(BT4+BU4)*44/12</f>
        <v>184.19162606735119</v>
      </c>
      <c r="CD4" s="62">
        <f ca="1">AVERAGE(OFFSET($CC$3,0,0,'Données projet'!$E$12+1,1))-AVERAGE(OFFSET($H$3,0,0,'Données projet'!$E$12+1,1))</f>
        <v>344.32696811748974</v>
      </c>
      <c r="CE4" s="62">
        <f>$CE$3</f>
        <v>411.51927518440766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1.1212920291467359</v>
      </c>
      <c r="CV4" s="14">
        <f>EXP(-1.0587+0.8836*LN(CU4)+0.284)</f>
        <v>0.50989827066551541</v>
      </c>
      <c r="CW4" s="22">
        <f t="shared" ref="CW4:CW67" si="13">(CU4+CV4)*0.475*44/12</f>
        <v>2.8409897721730037</v>
      </c>
      <c r="CX4" s="62">
        <f t="shared" ref="CX4:CX67" si="14">CW4+(CO4+CP4)*44/12</f>
        <v>184.05680021956846</v>
      </c>
      <c r="CY4" s="62">
        <f ca="1">AVERAGE(OFFSET($CX$3,0,0,'Données projet'!$E$13+1,1))-AVERAGE(OFFSET($H$3,0,0,'Données projet'!$E$13+1,1))</f>
        <v>473.14533251757302</v>
      </c>
      <c r="CZ4" s="62">
        <f>$CZ$3</f>
        <v>299.82031908667142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18.941176470588236</v>
      </c>
      <c r="DO4" s="13">
        <f>IF('Données projet'!$A$166&gt;35,DO3+DN4-DW3,IF(A4&lt;'Données projet'!$A$166,$DL$205^A4,IF(A4='Données projet'!$A$166,'Données projet'!$B$166,DO3+DN4-DW3)))</f>
        <v>1.4044973807741585</v>
      </c>
      <c r="DP4" s="18">
        <f>DO4*VLOOKUP('Données projet'!$B$14,Paramètres!$A$1:$I$89,3,0)*VLOOKUP('Données projet'!$B$14,Paramètres!$A$1:$I$89,5,0)</f>
        <v>0.80629385635482897</v>
      </c>
      <c r="DQ4" s="14">
        <f>EXP(-1.0587+0.8836*LN(DP4)+0.284)</f>
        <v>0.38100404766900792</v>
      </c>
      <c r="DR4" s="22">
        <f t="shared" ref="DR4:DR67" si="16">(DP4+DQ4)*0.475*44/12</f>
        <v>2.0678771828415159</v>
      </c>
      <c r="DS4" s="62">
        <f t="shared" ref="DS4:DS67" si="17">DR4+(DJ4+DK4)*44/12</f>
        <v>183.28368763023698</v>
      </c>
      <c r="DT4" s="62">
        <f ca="1">AVERAGE(OFFSET($DS$3,0,0,'Données projet'!$E$14+1,1))-AVERAGE(OFFSET($H$3,0,0,'Données projet'!$E$14+1,1))</f>
        <v>89.751456703373435</v>
      </c>
      <c r="DU4" s="62">
        <f>$DU$3</f>
        <v>433.35713950666889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7.7692307692307692</v>
      </c>
      <c r="EJ4" s="13">
        <f>IF('Données projet'!$A$192&gt;35,EJ3+EI4-ER3,IF(A4&lt;'Données projet'!$A$192,$EG$205^A4,IF(A4='Données projet'!$A$192,'Données projet'!$B$192,EJ3+EI4-ER3)))</f>
        <v>1.4261938757879591</v>
      </c>
      <c r="EK4" s="18">
        <f>EJ4*VLOOKUP('Données projet'!$B$15,Paramètres!$A$1:$I$89,3,0)*VLOOKUP('Données projet'!$B$15,Paramètres!$A$1:$I$89,5,0)</f>
        <v>0.85286393772119951</v>
      </c>
      <c r="EL4" s="14">
        <f>EXP(-1.0587+0.8836*LN(EK4)+0.284)</f>
        <v>0.40038464441801103</v>
      </c>
      <c r="EM4" s="22">
        <f t="shared" ref="EM4:EM67" si="19">(EK4+EL4)*0.475*44/12</f>
        <v>2.1827412805591249</v>
      </c>
      <c r="EN4" s="62">
        <f t="shared" ref="EN4:EN67" si="20">EM4+(EE4+EF4)*44/12</f>
        <v>183.39855172795458</v>
      </c>
      <c r="EO4" s="62">
        <f ca="1">AVERAGE(OFFSET($EN$3,0,0,'Données projet'!$E$15+1,1))-AVERAGE(OFFSET($H$3,0,0,'Données projet'!$E$15+1,1))</f>
        <v>204.71144247550794</v>
      </c>
      <c r="EP4" s="62">
        <f>$EP$3</f>
        <v>409.91012463636184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49.08916042504724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2.8000000000000003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10.266666666666667</v>
      </c>
      <c r="H5" s="70">
        <f t="shared" si="1"/>
        <v>188.90666666666664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6.5</v>
      </c>
      <c r="N5" s="14">
        <f>IF('Données projet'!$A$36&gt;35,N4+M5-V4,IF(A5&lt;'Données projet'!$A$36,$K$205^A5,IF(A5='Données projet'!$A$36,'Données projet'!$B$36,N4+M5-V4)))</f>
        <v>1.4212450793875253</v>
      </c>
      <c r="O5" s="14">
        <f>N5*VLOOKUP('Données projet'!$B$9,Paramètres!$A$1:$I$89,3,0)*VLOOKUP('Données projet'!$B$9,Paramètres!$A$1:$I$89,5,0)</f>
        <v>0.66514269715336183</v>
      </c>
      <c r="P5" s="14">
        <f t="shared" ref="P5:P68" si="33">EXP(-1.0587+0.8836*LN(O5)+0.284)</f>
        <v>0.3214249656415451</v>
      </c>
      <c r="Q5" s="22">
        <f t="shared" si="2"/>
        <v>1.7182720127011295</v>
      </c>
      <c r="R5" s="62">
        <f t="shared" si="0"/>
        <v>185.4864111779552</v>
      </c>
      <c r="S5" s="62">
        <f ca="1">AVERAGE(OFFSET($R$3,0,0,'Données projet'!$E$9+1,1))-AVERAGE(OFFSET($H$3,0,0,'Données projet'!$E$9+1,1))</f>
        <v>349.50936264852089</v>
      </c>
      <c r="T5" s="62">
        <f t="shared" ref="T5:T68" si="34">$T$3</f>
        <v>260.52733851266106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1.4260627073618306</v>
      </c>
      <c r="AK5" s="14">
        <f t="shared" ref="AK5:AK68" si="35">EXP(-1.0587+0.8836*LN(AJ5)+0.284)</f>
        <v>0.63059271915132864</v>
      </c>
      <c r="AL5" s="22">
        <f t="shared" si="4"/>
        <v>3.5820082011770853</v>
      </c>
      <c r="AM5" s="62">
        <f t="shared" si="5"/>
        <v>187.35014736643114</v>
      </c>
      <c r="AN5" s="62">
        <f ca="1">AVERAGE(OFFSET($AM$3,0,0,'Données projet'!$E$10+1,1))-AVERAGE(OFFSET($H$3,0,0,'Données projet'!$E$10+1,1))</f>
        <v>447.04988989014134</v>
      </c>
      <c r="AO5" s="62">
        <f t="shared" ref="AO5:AO68" si="36">$AO$3</f>
        <v>278.04061554501783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1.5357598386973559</v>
      </c>
      <c r="BF5" s="14">
        <f t="shared" ref="BF5:BF68" si="37">EXP(-1.0587+0.8836*LN(BE5)+0.284)</f>
        <v>0.67326701569387692</v>
      </c>
      <c r="BG5" s="22">
        <f t="shared" si="7"/>
        <v>3.8473884380647303</v>
      </c>
      <c r="BH5" s="62">
        <f t="shared" si="8"/>
        <v>187.61552760331881</v>
      </c>
      <c r="BI5" s="62">
        <f ca="1">AVERAGE(OFFSET($BH$3,0,0,'Données projet'!$E$11+1,1))-AVERAGE(OFFSET($H$3,0,0,'Données projet'!$E$11+1,1))</f>
        <v>475.58735584427552</v>
      </c>
      <c r="BJ5" s="62">
        <f t="shared" ref="BJ5:BJ68" si="38">$BJ$3</f>
        <v>294.51413339056131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5.8</v>
      </c>
      <c r="BY5" s="13">
        <f>IF('Données projet'!$A$114&gt;35,BY4+BX5-CG4,IF(A5&lt;'Données projet'!$A$114,$BV$205^A5,IF(A5='Données projet'!$A$114,'Données projet'!$B$114,BY4+BX5-CG4)))</f>
        <v>1.81385500212293</v>
      </c>
      <c r="BZ5" s="14">
        <f>BY5*VLOOKUP('Données projet'!$B$12,Paramètres!$A$1:$I$89,3,0)*VLOOKUP('Données projet'!$B$12,Paramètres!$A$1:$I$89,5,0)</f>
        <v>1.5845837298545919</v>
      </c>
      <c r="CA5" s="14">
        <f t="shared" ref="CA5:CA68" si="39">EXP(-1.0587+0.8836*LN(BZ5)+0.284)</f>
        <v>0.69214506839939893</v>
      </c>
      <c r="CB5" s="22">
        <f t="shared" si="10"/>
        <v>3.9653026569590337</v>
      </c>
      <c r="CC5" s="62">
        <f t="shared" si="11"/>
        <v>187.73344182221311</v>
      </c>
      <c r="CD5" s="62">
        <f ca="1">AVERAGE(OFFSET($CC$3,0,0,'Données projet'!$E$12+1,1))-AVERAGE(OFFSET($H$3,0,0,'Données projet'!$E$12+1,1))</f>
        <v>344.32696811748974</v>
      </c>
      <c r="CE5" s="62">
        <f t="shared" ref="CE5:CE68" si="40">$CE$3</f>
        <v>411.51927518440766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1.3895842336737447</v>
      </c>
      <c r="CV5" s="14">
        <f t="shared" ref="CV5:CV68" si="41">EXP(-1.0587+0.8836*LN(CU5)+0.284)</f>
        <v>0.61631841327304715</v>
      </c>
      <c r="CW5" s="22">
        <f t="shared" si="13"/>
        <v>3.4936137767656628</v>
      </c>
      <c r="CX5" s="62">
        <f t="shared" si="14"/>
        <v>187.26175294201974</v>
      </c>
      <c r="CY5" s="62">
        <f ca="1">AVERAGE(OFFSET($CX$3,0,0,'Données projet'!$E$13+1,1))-AVERAGE(OFFSET($H$3,0,0,'Données projet'!$E$13+1,1))</f>
        <v>473.14533251757302</v>
      </c>
      <c r="CZ5" s="62">
        <f t="shared" ref="CZ5:CZ68" si="42">$CZ$3</f>
        <v>299.82031908667142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18.941176470588236</v>
      </c>
      <c r="DO5" s="13">
        <f>IF('Données projet'!$A$166&gt;35,DO4+DN5-DW4,IF(A5&lt;'Données projet'!$A$166,$DL$205^A5,IF(A5='Données projet'!$A$166,'Données projet'!$B$166,DO4+DN5-DW4)))</f>
        <v>1.9726128926014717</v>
      </c>
      <c r="DP5" s="18">
        <f>DO5*VLOOKUP('Données projet'!$B$14,Paramètres!$A$1:$I$89,3,0)*VLOOKUP('Données projet'!$B$14,Paramètres!$A$1:$I$89,5,0)</f>
        <v>1.1324376093846529</v>
      </c>
      <c r="DQ5" s="14">
        <f t="shared" ref="DQ5:DQ68" si="43">EXP(-1.0587+0.8836*LN(DP5)+0.284)</f>
        <v>0.51437409264810585</v>
      </c>
      <c r="DR5" s="22">
        <f t="shared" si="16"/>
        <v>2.8681970477070542</v>
      </c>
      <c r="DS5" s="62">
        <f t="shared" si="17"/>
        <v>186.63633621296111</v>
      </c>
      <c r="DT5" s="62">
        <f ca="1">AVERAGE(OFFSET($DS$3,0,0,'Données projet'!$E$14+1,1))-AVERAGE(OFFSET($H$3,0,0,'Données projet'!$E$14+1,1))</f>
        <v>89.751456703373435</v>
      </c>
      <c r="DU5" s="62">
        <f t="shared" ref="DU5:DU68" si="44">$DU$3</f>
        <v>433.35713950666889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7.7692307692307692</v>
      </c>
      <c r="EJ5" s="13">
        <f>IF('Données projet'!$A$192&gt;35,EJ4+EI5-ER4,IF(A5&lt;'Données projet'!$A$192,$EG$205^A5,IF(A5='Données projet'!$A$192,'Données projet'!$B$192,EJ4+EI5-ER4)))</f>
        <v>2.0340289713350805</v>
      </c>
      <c r="EK5" s="18">
        <f>EJ5*VLOOKUP('Données projet'!$B$15,Paramètres!$A$1:$I$89,3,0)*VLOOKUP('Données projet'!$B$15,Paramètres!$A$1:$I$89,5,0)</f>
        <v>1.2163493248583781</v>
      </c>
      <c r="EL5" s="14">
        <f t="shared" ref="EL5:EL68" si="45">EXP(-1.0587+0.8836*LN(EK5)+0.284)</f>
        <v>0.54791046443869817</v>
      </c>
      <c r="EM5" s="22">
        <f t="shared" si="19"/>
        <v>3.072752466359074</v>
      </c>
      <c r="EN5" s="62">
        <f t="shared" si="20"/>
        <v>186.84089163161315</v>
      </c>
      <c r="EO5" s="62">
        <f ca="1">AVERAGE(OFFSET($EN$3,0,0,'Données projet'!$E$15+1,1))-AVERAGE(OFFSET($H$3,0,0,'Données projet'!$E$15+1,1))</f>
        <v>204.71144247550794</v>
      </c>
      <c r="EP5" s="62">
        <f t="shared" ref="EP5:EP68" si="46">$EP$3</f>
        <v>409.91012463636184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49.451916742038989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2.8000000000000003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10.266666666666667</v>
      </c>
      <c r="H6" s="70">
        <f t="shared" si="1"/>
        <v>188.90666666666664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6.5</v>
      </c>
      <c r="N6" s="14">
        <f>IF('Données projet'!$A$36&gt;35,N5+M6-V5,IF(A6&lt;'Données projet'!$A$36,$K$205^A6,IF(A6='Données projet'!$A$36,'Données projet'!$B$36,N5+M6-V5)))</f>
        <v>1.6943513036291473</v>
      </c>
      <c r="O6" s="14">
        <f>N6*VLOOKUP('Données projet'!$B$9,Paramètres!$A$1:$I$89,3,0)*VLOOKUP('Données projet'!$B$9,Paramètres!$A$1:$I$89,5,0)</f>
        <v>0.79295641009844098</v>
      </c>
      <c r="P6" s="14">
        <f t="shared" si="33"/>
        <v>0.37542981454665864</v>
      </c>
      <c r="Q6" s="22">
        <f t="shared" si="2"/>
        <v>2.0349393412568815</v>
      </c>
      <c r="R6" s="62">
        <f t="shared" si="0"/>
        <v>188.33233285034294</v>
      </c>
      <c r="S6" s="62">
        <f ca="1">AVERAGE(OFFSET($R$3,0,0,'Données projet'!$E$9+1,1))-AVERAGE(OFFSET($H$3,0,0,'Données projet'!$E$9+1,1))</f>
        <v>349.50936264852089</v>
      </c>
      <c r="T6" s="62">
        <f t="shared" si="34"/>
        <v>260.52733851266106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1.6911765842806317</v>
      </c>
      <c r="AK6" s="14">
        <f t="shared" si="35"/>
        <v>0.73312803463364506</v>
      </c>
      <c r="AL6" s="22">
        <f t="shared" si="4"/>
        <v>4.2223305446090311</v>
      </c>
      <c r="AM6" s="62">
        <f t="shared" si="5"/>
        <v>190.51972405369509</v>
      </c>
      <c r="AN6" s="62">
        <f ca="1">AVERAGE(OFFSET($AM$3,0,0,'Données projet'!$E$10+1,1))-AVERAGE(OFFSET($H$3,0,0,'Données projet'!$E$10+1,1))</f>
        <v>447.04988989014134</v>
      </c>
      <c r="AO6" s="62">
        <f t="shared" si="36"/>
        <v>278.04061554501783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1.8212670907637569</v>
      </c>
      <c r="BF6" s="14">
        <f t="shared" si="37"/>
        <v>0.78274123536282103</v>
      </c>
      <c r="BG6" s="22">
        <f t="shared" si="7"/>
        <v>4.5353145013371234</v>
      </c>
      <c r="BH6" s="62">
        <f t="shared" si="8"/>
        <v>190.83270801042318</v>
      </c>
      <c r="BI6" s="62">
        <f ca="1">AVERAGE(OFFSET($BH$3,0,0,'Données projet'!$E$11+1,1))-AVERAGE(OFFSET($H$3,0,0,'Données projet'!$E$11+1,1))</f>
        <v>475.58735584427552</v>
      </c>
      <c r="BJ6" s="62">
        <f t="shared" si="38"/>
        <v>294.51413339056131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5.8</v>
      </c>
      <c r="BY6" s="13">
        <f>IF('Données projet'!$A$114&gt;35,BY5+BX6-CG5,IF(A6&lt;'Données projet'!$A$114,$BV$205^A6,IF(A6='Données projet'!$A$114,'Données projet'!$B$114,BY5+BX6-CG5)))</f>
        <v>2.4428896557373947</v>
      </c>
      <c r="BZ6" s="14">
        <f>BY6*VLOOKUP('Données projet'!$B$12,Paramètres!$A$1:$I$89,3,0)*VLOOKUP('Données projet'!$B$12,Paramètres!$A$1:$I$89,5,0)</f>
        <v>2.1341084032521884</v>
      </c>
      <c r="CA6" s="14">
        <f t="shared" si="39"/>
        <v>0.90042541139273424</v>
      </c>
      <c r="CB6" s="22">
        <f t="shared" si="10"/>
        <v>5.2851463938399075</v>
      </c>
      <c r="CC6" s="62">
        <f t="shared" si="11"/>
        <v>191.58253990292596</v>
      </c>
      <c r="CD6" s="62">
        <f ca="1">AVERAGE(OFFSET($CC$3,0,0,'Données projet'!$E$12+1,1))-AVERAGE(OFFSET($H$3,0,0,'Données projet'!$E$12+1,1))</f>
        <v>344.32696811748974</v>
      </c>
      <c r="CE6" s="62">
        <f t="shared" si="40"/>
        <v>411.51927518440766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1.7220708720671365</v>
      </c>
      <c r="CV6" s="14">
        <f t="shared" si="41"/>
        <v>0.74494935243383209</v>
      </c>
      <c r="CW6" s="22">
        <f t="shared" si="13"/>
        <v>4.2967268910058536</v>
      </c>
      <c r="CX6" s="62">
        <f t="shared" si="14"/>
        <v>190.5941204000919</v>
      </c>
      <c r="CY6" s="62">
        <f ca="1">AVERAGE(OFFSET($CX$3,0,0,'Données projet'!$E$13+1,1))-AVERAGE(OFFSET($H$3,0,0,'Données projet'!$E$13+1,1))</f>
        <v>473.14533251757302</v>
      </c>
      <c r="CZ6" s="62">
        <f t="shared" si="42"/>
        <v>299.82031908667142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18.941176470588236</v>
      </c>
      <c r="DO6" s="13">
        <f>IF('Données projet'!$A$166&gt;35,DO5+DN6-DW5,IF(A6&lt;'Données projet'!$A$166,$DL$205^A6,IF(A6='Données projet'!$A$166,'Données projet'!$B$166,DO5+DN6-DW5)))</f>
        <v>2.7705296409401035</v>
      </c>
      <c r="DP6" s="18">
        <f>DO6*VLOOKUP('Données projet'!$B$14,Paramètres!$A$1:$I$89,3,0)*VLOOKUP('Données projet'!$B$14,Paramètres!$A$1:$I$89,5,0)</f>
        <v>1.5905056562708946</v>
      </c>
      <c r="DQ6" s="14">
        <f t="shared" si="43"/>
        <v>0.69443017418390529</v>
      </c>
      <c r="DR6" s="22">
        <f t="shared" si="16"/>
        <v>3.9795965713754424</v>
      </c>
      <c r="DS6" s="62">
        <f t="shared" si="17"/>
        <v>190.2769900804615</v>
      </c>
      <c r="DT6" s="62">
        <f ca="1">AVERAGE(OFFSET($DS$3,0,0,'Données projet'!$E$14+1,1))-AVERAGE(OFFSET($H$3,0,0,'Données projet'!$E$14+1,1))</f>
        <v>89.751456703373435</v>
      </c>
      <c r="DU6" s="62">
        <f t="shared" si="44"/>
        <v>433.35713950666889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7.7692307692307692</v>
      </c>
      <c r="EJ6" s="13">
        <f>IF('Données projet'!$A$192&gt;35,EJ5+EI6-ER5,IF(A6&lt;'Données projet'!$A$192,$EG$205^A6,IF(A6='Données projet'!$A$192,'Données projet'!$B$192,EJ5+EI6-ER5)))</f>
        <v>2.9009196620933739</v>
      </c>
      <c r="EK6" s="18">
        <f>EJ6*VLOOKUP('Données projet'!$B$15,Paramètres!$A$1:$I$89,3,0)*VLOOKUP('Données projet'!$B$15,Paramètres!$A$1:$I$89,5,0)</f>
        <v>1.7347499579318377</v>
      </c>
      <c r="EL6" s="14">
        <f t="shared" si="45"/>
        <v>0.74979368271678282</v>
      </c>
      <c r="EM6" s="22">
        <f t="shared" si="19"/>
        <v>4.3272468407963478</v>
      </c>
      <c r="EN6" s="62">
        <f t="shared" si="20"/>
        <v>190.62464034988238</v>
      </c>
      <c r="EO6" s="62">
        <f ca="1">AVERAGE(OFFSET($EN$3,0,0,'Données projet'!$E$15+1,1))-AVERAGE(OFFSET($H$3,0,0,'Données projet'!$E$15+1,1))</f>
        <v>204.71144247550794</v>
      </c>
      <c r="EP6" s="62">
        <f t="shared" si="46"/>
        <v>409.91012463636184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49.808380047932552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2.8000000000000003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10.266666666666667</v>
      </c>
      <c r="H7" s="70">
        <f t="shared" si="1"/>
        <v>188.90666666666664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6.5</v>
      </c>
      <c r="N7" s="14">
        <f>IF('Données projet'!$A$36&gt;35,N6+M7-V6,IF(A7&lt;'Données projet'!$A$36,$K$205^A7,IF(A7='Données projet'!$A$36,'Données projet'!$B$36,N6+M7-V6)))</f>
        <v>2.0199375756832532</v>
      </c>
      <c r="O7" s="14">
        <f>N7*VLOOKUP('Données projet'!$B$9,Paramètres!$A$1:$I$89,3,0)*VLOOKUP('Données projet'!$B$9,Paramètres!$A$1:$I$89,5,0)</f>
        <v>0.94533078541976245</v>
      </c>
      <c r="P7" s="14">
        <f t="shared" si="33"/>
        <v>0.43850839454619067</v>
      </c>
      <c r="Q7" s="22">
        <f t="shared" si="2"/>
        <v>2.4101865717740352</v>
      </c>
      <c r="R7" s="62">
        <f t="shared" si="0"/>
        <v>191.21416033946818</v>
      </c>
      <c r="S7" s="62">
        <f ca="1">AVERAGE(OFFSET($R$3,0,0,'Données projet'!$E$9+1,1))-AVERAGE(OFFSET($H$3,0,0,'Données projet'!$E$9+1,1))</f>
        <v>349.50936264852089</v>
      </c>
      <c r="T7" s="62">
        <f t="shared" si="34"/>
        <v>260.52733851266106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2.005576770540586</v>
      </c>
      <c r="AK7" s="14">
        <f t="shared" si="35"/>
        <v>0.85233574515282073</v>
      </c>
      <c r="AL7" s="22">
        <f t="shared" si="4"/>
        <v>4.9775309648326838</v>
      </c>
      <c r="AM7" s="62">
        <f t="shared" si="5"/>
        <v>193.78150473252683</v>
      </c>
      <c r="AN7" s="62">
        <f ca="1">AVERAGE(OFFSET($AM$3,0,0,'Données projet'!$E$10+1,1))-AVERAGE(OFFSET($H$3,0,0,'Données projet'!$E$10+1,1))</f>
        <v>447.04988989014134</v>
      </c>
      <c r="AO7" s="62">
        <f t="shared" si="36"/>
        <v>278.04061554501783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2.1598519067360153</v>
      </c>
      <c r="BF7" s="14">
        <f t="shared" si="37"/>
        <v>0.91001612622575312</v>
      </c>
      <c r="BG7" s="22">
        <f t="shared" si="7"/>
        <v>5.3466868240750793</v>
      </c>
      <c r="BH7" s="62">
        <f t="shared" si="8"/>
        <v>194.15066059176922</v>
      </c>
      <c r="BI7" s="62">
        <f ca="1">AVERAGE(OFFSET($BH$3,0,0,'Données projet'!$E$11+1,1))-AVERAGE(OFFSET($H$3,0,0,'Données projet'!$E$11+1,1))</f>
        <v>475.58735584427552</v>
      </c>
      <c r="BJ7" s="62">
        <f t="shared" si="38"/>
        <v>294.51413339056131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5.8</v>
      </c>
      <c r="BY7" s="13">
        <f>IF('Données projet'!$A$114&gt;35,BY6+BX7-CG6,IF(A7&lt;'Données projet'!$A$114,$BV$205^A7,IF(A7='Données projet'!$A$114,'Données projet'!$B$114,BY6+BX7-CG6)))</f>
        <v>3.2900699687263746</v>
      </c>
      <c r="BZ7" s="14">
        <f>BY7*VLOOKUP('Données projet'!$B$12,Paramètres!$A$1:$I$89,3,0)*VLOOKUP('Données projet'!$B$12,Paramètres!$A$1:$I$89,5,0)</f>
        <v>2.874205124679361</v>
      </c>
      <c r="CA7" s="14">
        <f t="shared" si="39"/>
        <v>1.1713814899478936</v>
      </c>
      <c r="CB7" s="22">
        <f t="shared" si="10"/>
        <v>7.0460633538091342</v>
      </c>
      <c r="CC7" s="62">
        <f t="shared" si="11"/>
        <v>195.85003712150328</v>
      </c>
      <c r="CD7" s="62">
        <f ca="1">AVERAGE(OFFSET($CC$3,0,0,'Données projet'!$E$12+1,1))-AVERAGE(OFFSET($H$3,0,0,'Données projet'!$E$12+1,1))</f>
        <v>344.32696811748974</v>
      </c>
      <c r="CE7" s="62">
        <f t="shared" si="40"/>
        <v>411.51927518440766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2.1341117843442179</v>
      </c>
      <c r="CV7" s="14">
        <f t="shared" si="41"/>
        <v>0.90042667189585779</v>
      </c>
      <c r="CW7" s="22">
        <f t="shared" si="13"/>
        <v>5.2851544779514645</v>
      </c>
      <c r="CX7" s="62">
        <f t="shared" si="14"/>
        <v>194.08912824564561</v>
      </c>
      <c r="CY7" s="62">
        <f ca="1">AVERAGE(OFFSET($CX$3,0,0,'Données projet'!$E$13+1,1))-AVERAGE(OFFSET($H$3,0,0,'Données projet'!$E$13+1,1))</f>
        <v>473.14533251757302</v>
      </c>
      <c r="CZ7" s="62">
        <f t="shared" si="42"/>
        <v>299.82031908667142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18.941176470588236</v>
      </c>
      <c r="DO7" s="13">
        <f>IF('Données projet'!$A$166&gt;35,DO6+DN7-DW6,IF(A7&lt;'Données projet'!$A$166,$DL$205^A7,IF(A7='Données projet'!$A$166,'Données projet'!$B$166,DO6+DN7-DW6)))</f>
        <v>3.8912016240575453</v>
      </c>
      <c r="DP7" s="18">
        <f>DO7*VLOOKUP('Données projet'!$B$14,Paramètres!$A$1:$I$89,3,0)*VLOOKUP('Données projet'!$B$14,Paramètres!$A$1:$I$89,5,0)</f>
        <v>2.2338610283389557</v>
      </c>
      <c r="DQ7" s="14">
        <f t="shared" si="43"/>
        <v>0.93751468767497803</v>
      </c>
      <c r="DR7" s="22">
        <f t="shared" si="16"/>
        <v>5.5234793720576008</v>
      </c>
      <c r="DS7" s="62">
        <f t="shared" si="17"/>
        <v>194.32745313975175</v>
      </c>
      <c r="DT7" s="62">
        <f ca="1">AVERAGE(OFFSET($DS$3,0,0,'Données projet'!$E$14+1,1))-AVERAGE(OFFSET($H$3,0,0,'Données projet'!$E$14+1,1))</f>
        <v>89.751456703373435</v>
      </c>
      <c r="DU7" s="62">
        <f t="shared" si="44"/>
        <v>433.35713950666889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7.7692307692307692</v>
      </c>
      <c r="EJ7" s="13">
        <f>IF('Données projet'!$A$192&gt;35,EJ6+EI7-ER6,IF(A7&lt;'Données projet'!$A$192,$EG$205^A7,IF(A7='Données projet'!$A$192,'Données projet'!$B$192,EJ6+EI7-ER6)))</f>
        <v>4.1372738562304461</v>
      </c>
      <c r="EK7" s="18">
        <f>EJ7*VLOOKUP('Données projet'!$B$15,Paramètres!$A$1:$I$89,3,0)*VLOOKUP('Données projet'!$B$15,Paramètres!$A$1:$I$89,5,0)</f>
        <v>2.474089766025807</v>
      </c>
      <c r="EL7" s="14">
        <f t="shared" si="45"/>
        <v>1.0260628389675426</v>
      </c>
      <c r="EM7" s="22">
        <f t="shared" si="19"/>
        <v>6.0960991203634167</v>
      </c>
      <c r="EN7" s="62">
        <f t="shared" si="20"/>
        <v>194.90007288805757</v>
      </c>
      <c r="EO7" s="62">
        <f ca="1">AVERAGE(OFFSET($EN$3,0,0,'Données projet'!$E$15+1,1))-AVERAGE(OFFSET($H$3,0,0,'Données projet'!$E$15+1,1))</f>
        <v>204.71144247550794</v>
      </c>
      <c r="EP7" s="62">
        <f t="shared" si="46"/>
        <v>409.91012463636184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50.158659512401428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2.8000000000000003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10.266666666666667</v>
      </c>
      <c r="H8" s="70">
        <f t="shared" si="1"/>
        <v>188.90666666666664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6.5</v>
      </c>
      <c r="N8" s="14">
        <f>IF('Données projet'!$A$36&gt;35,N7+M8-V7,IF(A8&lt;'Données projet'!$A$36,$K$205^A8,IF(A8='Données projet'!$A$36,'Données projet'!$B$36,N7+M8-V7)))</f>
        <v>2.4080884530367643</v>
      </c>
      <c r="O8" s="14">
        <f>N8*VLOOKUP('Données projet'!$B$9,Paramètres!$A$1:$I$89,3,0)*VLOOKUP('Données projet'!$B$9,Paramètres!$A$1:$I$89,5,0)</f>
        <v>1.1269853960212057</v>
      </c>
      <c r="P8" s="14">
        <f t="shared" si="33"/>
        <v>0.51218524644792107</v>
      </c>
      <c r="Q8" s="22">
        <f t="shared" si="2"/>
        <v>2.8548888689670626</v>
      </c>
      <c r="R8" s="62">
        <f t="shared" si="0"/>
        <v>194.14316215473238</v>
      </c>
      <c r="S8" s="62">
        <f ca="1">AVERAGE(OFFSET($R$3,0,0,'Données projet'!$E$9+1,1))-AVERAGE(OFFSET($H$3,0,0,'Données projet'!$E$9+1,1))</f>
        <v>349.50936264852089</v>
      </c>
      <c r="T8" s="62">
        <f t="shared" si="34"/>
        <v>260.52733851266106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2.3784258958640736</v>
      </c>
      <c r="AK8" s="14">
        <f t="shared" si="35"/>
        <v>0.99092680697750823</v>
      </c>
      <c r="AL8" s="22">
        <f t="shared" si="4"/>
        <v>5.868289290782422</v>
      </c>
      <c r="AM8" s="62">
        <f t="shared" si="5"/>
        <v>197.15656257654774</v>
      </c>
      <c r="AN8" s="62">
        <f ca="1">AVERAGE(OFFSET($AM$3,0,0,'Données projet'!$E$10+1,1))-AVERAGE(OFFSET($H$3,0,0,'Données projet'!$E$10+1,1))</f>
        <v>447.04988989014134</v>
      </c>
      <c r="AO8" s="62">
        <f t="shared" si="36"/>
        <v>278.04061554501783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2.5613817340074636</v>
      </c>
      <c r="BF8" s="14">
        <f t="shared" si="37"/>
        <v>1.0579861039351866</v>
      </c>
      <c r="BG8" s="22">
        <f t="shared" si="7"/>
        <v>6.3037323177501152</v>
      </c>
      <c r="BH8" s="62">
        <f t="shared" si="8"/>
        <v>197.59200560351542</v>
      </c>
      <c r="BI8" s="62">
        <f ca="1">AVERAGE(OFFSET($BH$3,0,0,'Données projet'!$E$11+1,1))-AVERAGE(OFFSET($H$3,0,0,'Données projet'!$E$11+1,1))</f>
        <v>475.58735584427552</v>
      </c>
      <c r="BJ8" s="62">
        <f t="shared" si="38"/>
        <v>294.51413339056131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5.8</v>
      </c>
      <c r="BY8" s="13">
        <f>IF('Données projet'!$A$114&gt;35,BY7+BX8-CG7,IF(A8&lt;'Données projet'!$A$114,$BV$205^A8,IF(A8='Données projet'!$A$114,'Données projet'!$B$114,BY7+BX8-CG7)))</f>
        <v>4.4310476216936356</v>
      </c>
      <c r="BZ8" s="14">
        <f>BY8*VLOOKUP('Données projet'!$B$12,Paramètres!$A$1:$I$89,3,0)*VLOOKUP('Données projet'!$B$12,Paramètres!$A$1:$I$89,5,0)</f>
        <v>3.8709632023115605</v>
      </c>
      <c r="CA8" s="14">
        <f t="shared" si="39"/>
        <v>1.5238736908481918</v>
      </c>
      <c r="CB8" s="22">
        <f t="shared" si="10"/>
        <v>9.3960075889199022</v>
      </c>
      <c r="CC8" s="62">
        <f t="shared" si="11"/>
        <v>200.68428087468521</v>
      </c>
      <c r="CD8" s="62">
        <f ca="1">AVERAGE(OFFSET($CC$3,0,0,'Données projet'!$E$12+1,1))-AVERAGE(OFFSET($H$3,0,0,'Données projet'!$E$12+1,1))</f>
        <v>344.32696811748974</v>
      </c>
      <c r="CE8" s="62">
        <f t="shared" si="40"/>
        <v>411.51927518440766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2.6447419684939089</v>
      </c>
      <c r="CV8" s="14">
        <f t="shared" si="41"/>
        <v>1.0883534414958294</v>
      </c>
      <c r="CW8" s="22">
        <f t="shared" si="13"/>
        <v>6.5018078390654601</v>
      </c>
      <c r="CX8" s="62">
        <f t="shared" si="14"/>
        <v>197.79008112483078</v>
      </c>
      <c r="CY8" s="62">
        <f ca="1">AVERAGE(OFFSET($CX$3,0,0,'Données projet'!$E$13+1,1))-AVERAGE(OFFSET($H$3,0,0,'Données projet'!$E$13+1,1))</f>
        <v>473.14533251757302</v>
      </c>
      <c r="CZ8" s="62">
        <f t="shared" si="42"/>
        <v>299.82031908667142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18.941176470588236</v>
      </c>
      <c r="DO8" s="13">
        <f>IF('Données projet'!$A$166&gt;35,DO7+DN8-DW7,IF(A8&lt;'Données projet'!$A$166,$DL$205^A8,IF(A8='Données projet'!$A$166,'Données projet'!$B$166,DO7+DN8-DW7)))</f>
        <v>5.4651824890529745</v>
      </c>
      <c r="DP8" s="18">
        <f>DO8*VLOOKUP('Données projet'!$B$14,Paramètres!$A$1:$I$89,3,0)*VLOOKUP('Données projet'!$B$14,Paramètres!$A$1:$I$89,5,0)</f>
        <v>3.1374519633155313</v>
      </c>
      <c r="DQ8" s="14">
        <f t="shared" si="43"/>
        <v>1.265690665932302</v>
      </c>
      <c r="DR8" s="22">
        <f t="shared" si="16"/>
        <v>7.6688067459399774</v>
      </c>
      <c r="DS8" s="62">
        <f t="shared" si="17"/>
        <v>198.95708003170529</v>
      </c>
      <c r="DT8" s="62">
        <f ca="1">AVERAGE(OFFSET($DS$3,0,0,'Données projet'!$E$14+1,1))-AVERAGE(OFFSET($H$3,0,0,'Données projet'!$E$14+1,1))</f>
        <v>89.751456703373435</v>
      </c>
      <c r="DU8" s="62">
        <f t="shared" si="44"/>
        <v>433.35713950666889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7.7692307692307692</v>
      </c>
      <c r="EJ8" s="13">
        <f>IF('Données projet'!$A$192&gt;35,EJ7+EI8-ER7,IF(A8&lt;'Données projet'!$A$192,$EG$205^A8,IF(A8='Données projet'!$A$192,'Données projet'!$B$192,EJ7+EI8-ER7)))</f>
        <v>5.9005546362134957</v>
      </c>
      <c r="EK8" s="18">
        <f>EJ8*VLOOKUP('Données projet'!$B$15,Paramètres!$A$1:$I$89,3,0)*VLOOKUP('Données projet'!$B$15,Paramètres!$A$1:$I$89,5,0)</f>
        <v>3.5285316724556708</v>
      </c>
      <c r="EL8" s="14">
        <f t="shared" si="45"/>
        <v>1.404126193348852</v>
      </c>
      <c r="EM8" s="22">
        <f t="shared" si="19"/>
        <v>8.5910457829428761</v>
      </c>
      <c r="EN8" s="62">
        <f t="shared" si="20"/>
        <v>199.87931906870818</v>
      </c>
      <c r="EO8" s="62">
        <f ca="1">AVERAGE(OFFSET($EN$3,0,0,'Données projet'!$E$15+1,1))-AVERAGE(OFFSET($H$3,0,0,'Données projet'!$E$15+1,1))</f>
        <v>204.71144247550794</v>
      </c>
      <c r="EP8" s="62">
        <f t="shared" si="46"/>
        <v>409.91012463636184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50.502862411269334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2.8000000000000003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10.266666666666667</v>
      </c>
      <c r="H9" s="70">
        <f t="shared" si="1"/>
        <v>188.90666666666664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6.5</v>
      </c>
      <c r="N9" s="14">
        <f>IF('Données projet'!$A$36&gt;35,N8+M9-V8,IF(A9&lt;'Données projet'!$A$36,$K$205^A9,IF(A9='Données projet'!$A$36,'Données projet'!$B$36,N8+M9-V8)))</f>
        <v>2.8708263401097907</v>
      </c>
      <c r="O9" s="14">
        <f>N9*VLOOKUP('Données projet'!$B$9,Paramètres!$A$1:$I$89,3,0)*VLOOKUP('Données projet'!$B$9,Paramètres!$A$1:$I$89,5,0)</f>
        <v>1.3435467271713821</v>
      </c>
      <c r="P9" s="14">
        <f t="shared" si="33"/>
        <v>0.59824105978724762</v>
      </c>
      <c r="Q9" s="22">
        <f t="shared" si="2"/>
        <v>3.3819470622862799</v>
      </c>
      <c r="R9" s="62">
        <f t="shared" si="0"/>
        <v>197.13262564662196</v>
      </c>
      <c r="S9" s="62">
        <f ca="1">AVERAGE(OFFSET($R$3,0,0,'Données projet'!$E$9+1,1))-AVERAGE(OFFSET($H$3,0,0,'Données projet'!$E$9+1,1))</f>
        <v>349.50936264852089</v>
      </c>
      <c r="T9" s="62">
        <f t="shared" si="34"/>
        <v>260.52733851266106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2.8205899795060203</v>
      </c>
      <c r="AK9" s="14">
        <f t="shared" si="35"/>
        <v>1.1520529819039591</v>
      </c>
      <c r="AL9" s="22">
        <f t="shared" si="4"/>
        <v>6.919019824455714</v>
      </c>
      <c r="AM9" s="62">
        <f t="shared" si="5"/>
        <v>200.66969840879139</v>
      </c>
      <c r="AN9" s="62">
        <f ca="1">AVERAGE(OFFSET($AM$3,0,0,'Données projet'!$E$10+1,1))-AVERAGE(OFFSET($H$3,0,0,'Données projet'!$E$10+1,1))</f>
        <v>447.04988989014134</v>
      </c>
      <c r="AO9" s="62">
        <f t="shared" si="36"/>
        <v>278.04061554501783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3.0375584394680217</v>
      </c>
      <c r="BF9" s="14">
        <f t="shared" si="37"/>
        <v>1.2300162204403344</v>
      </c>
      <c r="BG9" s="22">
        <f t="shared" si="7"/>
        <v>7.4326925326737205</v>
      </c>
      <c r="BH9" s="62">
        <f t="shared" si="8"/>
        <v>201.18337111700939</v>
      </c>
      <c r="BI9" s="62">
        <f ca="1">AVERAGE(OFFSET($BH$3,0,0,'Données projet'!$E$11+1,1))-AVERAGE(OFFSET($H$3,0,0,'Données projet'!$E$11+1,1))</f>
        <v>475.58735584427552</v>
      </c>
      <c r="BJ9" s="62">
        <f t="shared" si="38"/>
        <v>294.51413339056131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5.8</v>
      </c>
      <c r="BY9" s="13">
        <f>IF('Données projet'!$A$114&gt;35,BY8+BX9-CG8,IF(A9&lt;'Données projet'!$A$114,$BV$205^A9,IF(A9='Données projet'!$A$114,'Données projet'!$B$114,BY8+BX9-CG8)))</f>
        <v>5.9677098701087665</v>
      </c>
      <c r="BZ9" s="14">
        <f>BY9*VLOOKUP('Données projet'!$B$12,Paramètres!$A$1:$I$89,3,0)*VLOOKUP('Données projet'!$B$12,Paramètres!$A$1:$I$89,5,0)</f>
        <v>5.2133913425270189</v>
      </c>
      <c r="CA9" s="14">
        <f t="shared" si="39"/>
        <v>1.9824378698032765</v>
      </c>
      <c r="CB9" s="22">
        <f t="shared" si="10"/>
        <v>12.53273587814193</v>
      </c>
      <c r="CC9" s="62">
        <f t="shared" si="11"/>
        <v>206.28341446247759</v>
      </c>
      <c r="CD9" s="62">
        <f ca="1">AVERAGE(OFFSET($CC$3,0,0,'Données projet'!$E$12+1,1))-AVERAGE(OFFSET($H$3,0,0,'Données projet'!$E$12+1,1))</f>
        <v>344.32696811748974</v>
      </c>
      <c r="CE9" s="62">
        <f t="shared" si="40"/>
        <v>411.51927518440766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3.2775509376901719</v>
      </c>
      <c r="CV9" s="14">
        <f t="shared" si="41"/>
        <v>1.315502139804245</v>
      </c>
      <c r="CW9" s="22">
        <f t="shared" si="13"/>
        <v>7.9995674433027766</v>
      </c>
      <c r="CX9" s="62">
        <f t="shared" si="14"/>
        <v>201.75024602763844</v>
      </c>
      <c r="CY9" s="62">
        <f ca="1">AVERAGE(OFFSET($CX$3,0,0,'Données projet'!$E$13+1,1))-AVERAGE(OFFSET($H$3,0,0,'Données projet'!$E$13+1,1))</f>
        <v>473.14533251757302</v>
      </c>
      <c r="CZ9" s="62">
        <f t="shared" si="42"/>
        <v>299.82031908667142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18.941176470588236</v>
      </c>
      <c r="DO9" s="13">
        <f>IF('Données projet'!$A$166&gt;35,DO8+DN9-DW8,IF(A9&lt;'Données projet'!$A$166,$DL$205^A9,IF(A9='Données projet'!$A$166,'Données projet'!$B$166,DO8+DN9-DW8)))</f>
        <v>7.6758344913276986</v>
      </c>
      <c r="DP9" s="18">
        <f>DO9*VLOOKUP('Données projet'!$B$14,Paramètres!$A$1:$I$89,3,0)*VLOOKUP('Données projet'!$B$14,Paramètres!$A$1:$I$89,5,0)</f>
        <v>4.4065430647814052</v>
      </c>
      <c r="DQ9" s="14">
        <f t="shared" si="43"/>
        <v>1.7087442819706877</v>
      </c>
      <c r="DR9" s="22">
        <f t="shared" si="16"/>
        <v>10.650792128926563</v>
      </c>
      <c r="DS9" s="62">
        <f t="shared" si="17"/>
        <v>204.40147071326223</v>
      </c>
      <c r="DT9" s="62">
        <f ca="1">AVERAGE(OFFSET($DS$3,0,0,'Données projet'!$E$14+1,1))-AVERAGE(OFFSET($H$3,0,0,'Données projet'!$E$14+1,1))</f>
        <v>89.751456703373435</v>
      </c>
      <c r="DU9" s="62">
        <f t="shared" si="44"/>
        <v>433.35713950666889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7.7692307692307692</v>
      </c>
      <c r="EJ9" s="13">
        <f>IF('Données projet'!$A$192&gt;35,EJ8+EI9-ER8,IF(A9&lt;'Données projet'!$A$192,$EG$205^A9,IF(A9='Données projet'!$A$192,'Données projet'!$B$192,EJ8+EI9-ER8)))</f>
        <v>8.4153348859199362</v>
      </c>
      <c r="EK9" s="18">
        <f>EJ9*VLOOKUP('Données projet'!$B$15,Paramètres!$A$1:$I$89,3,0)*VLOOKUP('Données projet'!$B$15,Paramètres!$A$1:$I$89,5,0)</f>
        <v>5.0323702617801223</v>
      </c>
      <c r="EL9" s="14">
        <f t="shared" si="45"/>
        <v>1.9214908599868947</v>
      </c>
      <c r="EM9" s="22">
        <f t="shared" si="19"/>
        <v>12.111308120410888</v>
      </c>
      <c r="EN9" s="62">
        <f t="shared" si="20"/>
        <v>205.86198670474656</v>
      </c>
      <c r="EO9" s="62">
        <f ca="1">AVERAGE(OFFSET($EN$3,0,0,'Données projet'!$E$15+1,1))-AVERAGE(OFFSET($H$3,0,0,'Données projet'!$E$15+1,1))</f>
        <v>204.71144247550794</v>
      </c>
      <c r="EP9" s="62">
        <f t="shared" si="46"/>
        <v>409.91012463636184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50.841094159364275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2.8000000000000003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10.266666666666667</v>
      </c>
      <c r="H10" s="70">
        <f t="shared" si="1"/>
        <v>188.90666666666664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6.5</v>
      </c>
      <c r="N10" s="14">
        <f>IF('Données projet'!$A$36&gt;35,N9+M10-V9,IF(A10&lt;'Données projet'!$A$36,$K$205^A10,IF(A10='Données projet'!$A$36,'Données projet'!$B$36,N9+M10-V9)))</f>
        <v>3.4224838646084192</v>
      </c>
      <c r="O10" s="14">
        <f>N10*VLOOKUP('Données projet'!$B$9,Paramètres!$A$1:$I$89,3,0)*VLOOKUP('Données projet'!$B$9,Paramètres!$A$1:$I$89,5,0)</f>
        <v>1.6017224486367401</v>
      </c>
      <c r="P10" s="14">
        <f t="shared" si="33"/>
        <v>0.69875571016034643</v>
      </c>
      <c r="Q10" s="22">
        <f t="shared" si="2"/>
        <v>4.0066661265715924</v>
      </c>
      <c r="R10" s="62">
        <f t="shared" si="0"/>
        <v>200.19823560573698</v>
      </c>
      <c r="S10" s="62">
        <f ca="1">AVERAGE(OFFSET($R$3,0,0,'Données projet'!$E$9+1,1))-AVERAGE(OFFSET($H$3,0,0,'Données projet'!$E$9+1,1))</f>
        <v>349.50936264852089</v>
      </c>
      <c r="T10" s="62">
        <f t="shared" si="34"/>
        <v>260.52733851266106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3.3449551009027689</v>
      </c>
      <c r="AK10" s="14">
        <f t="shared" si="35"/>
        <v>1.3393785128914457</v>
      </c>
      <c r="AL10" s="22">
        <f t="shared" si="4"/>
        <v>8.1585477106915896</v>
      </c>
      <c r="AM10" s="62">
        <f t="shared" si="5"/>
        <v>204.35011718985697</v>
      </c>
      <c r="AN10" s="62">
        <f ca="1">AVERAGE(OFFSET($AM$3,0,0,'Données projet'!$E$10+1,1))-AVERAGE(OFFSET($H$3,0,0,'Données projet'!$E$10+1,1))</f>
        <v>447.04988989014134</v>
      </c>
      <c r="AO10" s="62">
        <f t="shared" si="36"/>
        <v>278.04061554501783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3.6022593394337514</v>
      </c>
      <c r="BF10" s="14">
        <f t="shared" si="37"/>
        <v>1.4300186901500271</v>
      </c>
      <c r="BG10" s="22">
        <f t="shared" si="7"/>
        <v>8.764550901525082</v>
      </c>
      <c r="BH10" s="62">
        <f t="shared" si="8"/>
        <v>204.95612038069046</v>
      </c>
      <c r="BI10" s="62">
        <f ca="1">AVERAGE(OFFSET($BH$3,0,0,'Données projet'!$E$11+1,1))-AVERAGE(OFFSET($H$3,0,0,'Données projet'!$E$11+1,1))</f>
        <v>475.58735584427552</v>
      </c>
      <c r="BJ10" s="62">
        <f t="shared" si="38"/>
        <v>294.51413339056131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5.8</v>
      </c>
      <c r="BY10" s="13">
        <f>IF('Données projet'!$A$114&gt;35,BY9+BX10-CG9,IF(A10&lt;'Données projet'!$A$114,$BV$205^A10,IF(A10='Données projet'!$A$114,'Données projet'!$B$114,BY9+BX10-CG9)))</f>
        <v>8.0372778932539148</v>
      </c>
      <c r="BZ10" s="14">
        <f>BY10*VLOOKUP('Données projet'!$B$12,Paramètres!$A$1:$I$89,3,0)*VLOOKUP('Données projet'!$B$12,Paramètres!$A$1:$I$89,5,0)</f>
        <v>7.0213659675466209</v>
      </c>
      <c r="CA10" s="14">
        <f t="shared" si="39"/>
        <v>2.5789932139603198</v>
      </c>
      <c r="CB10" s="22">
        <f t="shared" si="10"/>
        <v>16.72062557445792</v>
      </c>
      <c r="CC10" s="62">
        <f t="shared" si="11"/>
        <v>212.91219505362332</v>
      </c>
      <c r="CD10" s="62">
        <f ca="1">AVERAGE(OFFSET($CC$3,0,0,'Données projet'!$E$12+1,1))-AVERAGE(OFFSET($H$3,0,0,'Données projet'!$E$12+1,1))</f>
        <v>344.32696811748974</v>
      </c>
      <c r="CE10" s="62">
        <f t="shared" si="40"/>
        <v>411.51927518440766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4.0617724818240486</v>
      </c>
      <c r="CV10" s="14">
        <f t="shared" si="41"/>
        <v>1.590058719758437</v>
      </c>
      <c r="CW10" s="22">
        <f t="shared" si="13"/>
        <v>9.8436060094228282</v>
      </c>
      <c r="CX10" s="62">
        <f t="shared" si="14"/>
        <v>206.03517548858821</v>
      </c>
      <c r="CY10" s="62">
        <f ca="1">AVERAGE(OFFSET($CX$3,0,0,'Données projet'!$E$13+1,1))-AVERAGE(OFFSET($H$3,0,0,'Données projet'!$E$13+1,1))</f>
        <v>473.14533251757302</v>
      </c>
      <c r="CZ10" s="62">
        <f t="shared" si="42"/>
        <v>299.82031908667142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18.941176470588236</v>
      </c>
      <c r="DO10" s="13">
        <f>IF('Données projet'!$A$166&gt;35,DO9+DN10-DW9,IF(A10&lt;'Données projet'!$A$166,$DL$205^A10,IF(A10='Données projet'!$A$166,'Données projet'!$B$166,DO9+DN10-DW9)))</f>
        <v>10.780689438325698</v>
      </c>
      <c r="DP10" s="18">
        <f>DO10*VLOOKUP('Données projet'!$B$14,Paramètres!$A$1:$I$89,3,0)*VLOOKUP('Données projet'!$B$14,Paramètres!$A$1:$I$89,5,0)</f>
        <v>6.1889781927540168</v>
      </c>
      <c r="DQ10" s="14">
        <f t="shared" si="43"/>
        <v>2.3068883256848585</v>
      </c>
      <c r="DR10" s="22">
        <f t="shared" si="16"/>
        <v>14.796967519614372</v>
      </c>
      <c r="DS10" s="62">
        <f t="shared" si="17"/>
        <v>210.98853699877978</v>
      </c>
      <c r="DT10" s="62">
        <f ca="1">AVERAGE(OFFSET($DS$3,0,0,'Données projet'!$E$14+1,1))-AVERAGE(OFFSET($H$3,0,0,'Données projet'!$E$14+1,1))</f>
        <v>89.751456703373435</v>
      </c>
      <c r="DU10" s="62">
        <f t="shared" si="44"/>
        <v>433.35713950666889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7.7692307692307692</v>
      </c>
      <c r="EJ10" s="13">
        <f>IF('Données projet'!$A$192&gt;35,EJ9+EI10-ER9,IF(A10&lt;'Données projet'!$A$192,$EG$205^A10,IF(A10='Données projet'!$A$192,'Données projet'!$B$192,EJ9+EI10-ER9)))</f>
        <v>12.001899077003776</v>
      </c>
      <c r="EK10" s="18">
        <f>EJ10*VLOOKUP('Données projet'!$B$15,Paramètres!$A$1:$I$89,3,0)*VLOOKUP('Données projet'!$B$15,Paramètres!$A$1:$I$89,5,0)</f>
        <v>7.1771356480482584</v>
      </c>
      <c r="EL10" s="14">
        <f t="shared" si="45"/>
        <v>2.6294838330787229</v>
      </c>
      <c r="EM10" s="22">
        <f t="shared" si="19"/>
        <v>17.079862262962827</v>
      </c>
      <c r="EN10" s="62">
        <f t="shared" si="20"/>
        <v>213.27143174212821</v>
      </c>
      <c r="EO10" s="62">
        <f ca="1">AVERAGE(OFFSET($EN$3,0,0,'Données projet'!$E$15+1,1))-AVERAGE(OFFSET($H$3,0,0,'Données projet'!$E$15+1,1))</f>
        <v>204.71144247550794</v>
      </c>
      <c r="EP10" s="62">
        <f t="shared" si="46"/>
        <v>409.91012463636184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51.173458342802675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2.8000000000000003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10.266666666666667</v>
      </c>
      <c r="H11" s="70">
        <f t="shared" si="1"/>
        <v>188.90666666666664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6.5</v>
      </c>
      <c r="N11" s="14">
        <f>IF('Données projet'!$A$36&gt;35,N10+M11-V10,IF(A11&lt;'Données projet'!$A$36,$K$205^A11,IF(A11='Données projet'!$A$36,'Données projet'!$B$36,N10+M11-V10)))</f>
        <v>4.080147809657138</v>
      </c>
      <c r="O11" s="14">
        <f>N11*VLOOKUP('Données projet'!$B$9,Paramètres!$A$1:$I$89,3,0)*VLOOKUP('Données projet'!$B$9,Paramètres!$A$1:$I$89,5,0)</f>
        <v>1.9095091749195405</v>
      </c>
      <c r="P11" s="14">
        <f t="shared" si="33"/>
        <v>0.81615852755965934</v>
      </c>
      <c r="Q11" s="22">
        <f t="shared" si="2"/>
        <v>4.7472045818179396</v>
      </c>
      <c r="R11" s="62">
        <f t="shared" si="0"/>
        <v>203.35852377887824</v>
      </c>
      <c r="S11" s="62">
        <f ca="1">AVERAGE(OFFSET($R$3,0,0,'Données projet'!$E$9+1,1))-AVERAGE(OFFSET($H$3,0,0,'Données projet'!$E$9+1,1))</f>
        <v>349.50936264852089</v>
      </c>
      <c r="T11" s="62">
        <f t="shared" si="34"/>
        <v>260.52733851266106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3.9668029413530626</v>
      </c>
      <c r="AK11" s="14">
        <f t="shared" si="35"/>
        <v>1.5571634542627768</v>
      </c>
      <c r="AL11" s="22">
        <f t="shared" si="4"/>
        <v>9.6209081390309201</v>
      </c>
      <c r="AM11" s="62">
        <f t="shared" si="5"/>
        <v>208.2322273360912</v>
      </c>
      <c r="AN11" s="62">
        <f ca="1">AVERAGE(OFFSET($AM$3,0,0,'Données projet'!$E$10+1,1))-AVERAGE(OFFSET($H$3,0,0,'Données projet'!$E$10+1,1))</f>
        <v>447.04988989014134</v>
      </c>
      <c r="AO11" s="62">
        <f t="shared" si="36"/>
        <v>278.04061554501783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4.2719416291494525</v>
      </c>
      <c r="BF11" s="14">
        <f t="shared" si="37"/>
        <v>1.662541859363712</v>
      </c>
      <c r="BG11" s="22">
        <f t="shared" si="7"/>
        <v>10.335892075827095</v>
      </c>
      <c r="BH11" s="62">
        <f t="shared" si="8"/>
        <v>208.94721127288739</v>
      </c>
      <c r="BI11" s="62">
        <f ca="1">AVERAGE(OFFSET($BH$3,0,0,'Données projet'!$E$11+1,1))-AVERAGE(OFFSET($H$3,0,0,'Données projet'!$E$11+1,1))</f>
        <v>475.58735584427552</v>
      </c>
      <c r="BJ11" s="62">
        <f t="shared" si="38"/>
        <v>294.51413339056131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5.8</v>
      </c>
      <c r="BY11" s="13">
        <f>IF('Données projet'!$A$114&gt;35,BY10+BX11-CG10,IF(A11&lt;'Données projet'!$A$114,$BV$205^A11,IF(A11='Données projet'!$A$114,'Données projet'!$B$114,BY10+BX11-CG10)))</f>
        <v>10.824560399115168</v>
      </c>
      <c r="BZ11" s="14">
        <f>BY11*VLOOKUP('Données projet'!$B$12,Paramètres!$A$1:$I$89,3,0)*VLOOKUP('Données projet'!$B$12,Paramètres!$A$1:$I$89,5,0)</f>
        <v>9.4563359646670122</v>
      </c>
      <c r="CA11" s="14">
        <f t="shared" si="39"/>
        <v>3.3550640345230081</v>
      </c>
      <c r="CB11" s="22">
        <f t="shared" si="10"/>
        <v>22.313188331922618</v>
      </c>
      <c r="CC11" s="62">
        <f t="shared" si="11"/>
        <v>220.9245075289829</v>
      </c>
      <c r="CD11" s="62">
        <f ca="1">AVERAGE(OFFSET($CC$3,0,0,'Données projet'!$E$12+1,1))-AVERAGE(OFFSET($H$3,0,0,'Données projet'!$E$12+1,1))</f>
        <v>344.32696811748974</v>
      </c>
      <c r="CE11" s="62">
        <f t="shared" si="40"/>
        <v>411.51927518440766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5.0336351769196082</v>
      </c>
      <c r="CV11" s="14">
        <f t="shared" si="41"/>
        <v>1.9219176128866391</v>
      </c>
      <c r="CW11" s="22">
        <f t="shared" si="13"/>
        <v>12.11425444224588</v>
      </c>
      <c r="CX11" s="62">
        <f t="shared" si="14"/>
        <v>210.72557363930616</v>
      </c>
      <c r="CY11" s="62">
        <f ca="1">AVERAGE(OFFSET($CX$3,0,0,'Données projet'!$E$13+1,1))-AVERAGE(OFFSET($H$3,0,0,'Données projet'!$E$13+1,1))</f>
        <v>473.14533251757302</v>
      </c>
      <c r="CZ11" s="62">
        <f t="shared" si="42"/>
        <v>299.82031908667142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18.941176470588236</v>
      </c>
      <c r="DO11" s="13">
        <f>IF('Données projet'!$A$166&gt;35,DO10+DN11-DW10,IF(A11&lt;'Données projet'!$A$166,$DL$205^A11,IF(A11='Données projet'!$A$166,'Données projet'!$B$166,DO10+DN11-DW10)))</f>
        <v>15.141450079068079</v>
      </c>
      <c r="DP11" s="18">
        <f>DO11*VLOOKUP('Données projet'!$B$14,Paramètres!$A$1:$I$89,3,0)*VLOOKUP('Données projet'!$B$14,Paramètres!$A$1:$I$89,5,0)</f>
        <v>8.6924036613914026</v>
      </c>
      <c r="DQ11" s="14">
        <f t="shared" si="43"/>
        <v>3.1144120295422764</v>
      </c>
      <c r="DR11" s="22">
        <f t="shared" si="16"/>
        <v>20.563537328376153</v>
      </c>
      <c r="DS11" s="62">
        <f t="shared" si="17"/>
        <v>219.17485652543644</v>
      </c>
      <c r="DT11" s="62">
        <f ca="1">AVERAGE(OFFSET($DS$3,0,0,'Données projet'!$E$14+1,1))-AVERAGE(OFFSET($H$3,0,0,'Données projet'!$E$14+1,1))</f>
        <v>89.751456703373435</v>
      </c>
      <c r="DU11" s="62">
        <f t="shared" si="44"/>
        <v>433.35713950666889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7.7692307692307692</v>
      </c>
      <c r="EJ11" s="13">
        <f>IF('Données projet'!$A$192&gt;35,EJ10+EI11-ER10,IF(A11&lt;'Données projet'!$A$192,$EG$205^A11,IF(A11='Données projet'!$A$192,'Données projet'!$B$192,EJ10+EI11-ER10)))</f>
        <v>17.117034961447946</v>
      </c>
      <c r="EK11" s="18">
        <f>EJ11*VLOOKUP('Données projet'!$B$15,Paramètres!$A$1:$I$89,3,0)*VLOOKUP('Données projet'!$B$15,Paramètres!$A$1:$I$89,5,0)</f>
        <v>10.235986906945872</v>
      </c>
      <c r="EL11" s="14">
        <f t="shared" si="45"/>
        <v>3.5983440631455994</v>
      </c>
      <c r="EM11" s="22">
        <f t="shared" si="19"/>
        <v>24.094793106242644</v>
      </c>
      <c r="EN11" s="62">
        <f t="shared" si="20"/>
        <v>222.70611230330292</v>
      </c>
      <c r="EO11" s="62">
        <f ca="1">AVERAGE(OFFSET($EN$3,0,0,'Données projet'!$E$15+1,1))-AVERAGE(OFFSET($H$3,0,0,'Données projet'!$E$15+1,1))</f>
        <v>204.71144247550794</v>
      </c>
      <c r="EP11" s="62">
        <f t="shared" si="46"/>
        <v>409.91012463636184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51.500056750713412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2.8000000000000003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10.266666666666667</v>
      </c>
      <c r="H12" s="70">
        <f t="shared" si="1"/>
        <v>188.90666666666664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6.5</v>
      </c>
      <c r="N12" s="14">
        <f>IF('Données projet'!$A$36&gt;35,N11+M12-V11,IF(A12&lt;'Données projet'!$A$36,$K$205^A12,IF(A12='Données projet'!$A$36,'Données projet'!$B$36,N11+M12-V11)))</f>
        <v>4.8641883518579174</v>
      </c>
      <c r="O12" s="14">
        <f>N12*VLOOKUP('Données projet'!$B$9,Paramètres!$A$1:$I$89,3,0)*VLOOKUP('Données projet'!$B$9,Paramètres!$A$1:$I$89,5,0)</f>
        <v>2.2764401486695052</v>
      </c>
      <c r="P12" s="14">
        <f t="shared" si="33"/>
        <v>0.95328701064281096</v>
      </c>
      <c r="Q12" s="22">
        <f t="shared" si="2"/>
        <v>5.6251081358022832</v>
      </c>
      <c r="R12" s="62">
        <f t="shared" si="0"/>
        <v>206.635402625978</v>
      </c>
      <c r="S12" s="62">
        <f ca="1">AVERAGE(OFFSET($R$3,0,0,'Données projet'!$E$9+1,1))-AVERAGE(OFFSET($H$3,0,0,'Données projet'!$E$9+1,1))</f>
        <v>349.50936264852089</v>
      </c>
      <c r="T12" s="62">
        <f t="shared" si="34"/>
        <v>260.52733851266106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4.7042561412200872</v>
      </c>
      <c r="AK12" s="14">
        <f t="shared" si="35"/>
        <v>1.8103605515195429</v>
      </c>
      <c r="AL12" s="22">
        <f t="shared" si="4"/>
        <v>11.346290739854856</v>
      </c>
      <c r="AM12" s="62">
        <f t="shared" si="5"/>
        <v>212.35658523003056</v>
      </c>
      <c r="AN12" s="62">
        <f ca="1">AVERAGE(OFFSET($AM$3,0,0,'Données projet'!$E$10+1,1))-AVERAGE(OFFSET($H$3,0,0,'Données projet'!$E$10+1,1))</f>
        <v>447.04988989014134</v>
      </c>
      <c r="AO12" s="62">
        <f t="shared" si="36"/>
        <v>278.04061554501783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5.0661219982370165</v>
      </c>
      <c r="BF12" s="14">
        <f t="shared" si="37"/>
        <v>1.9328736422644686</v>
      </c>
      <c r="BG12" s="22">
        <f t="shared" si="7"/>
        <v>12.189917407206755</v>
      </c>
      <c r="BH12" s="62">
        <f t="shared" si="8"/>
        <v>213.20021189738247</v>
      </c>
      <c r="BI12" s="62">
        <f ca="1">AVERAGE(OFFSET($BH$3,0,0,'Données projet'!$E$11+1,1))-AVERAGE(OFFSET($H$3,0,0,'Données projet'!$E$11+1,1))</f>
        <v>475.58735584427552</v>
      </c>
      <c r="BJ12" s="62">
        <f t="shared" si="38"/>
        <v>294.51413339056131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5.8</v>
      </c>
      <c r="BY12" s="13">
        <f>IF('Données projet'!$A$114&gt;35,BY11+BX12-CG11,IF(A12&lt;'Données projet'!$A$114,$BV$205^A12,IF(A12='Données projet'!$A$114,'Données projet'!$B$114,BY11+BX12-CG11)))</f>
        <v>14.578456710130657</v>
      </c>
      <c r="BZ12" s="14">
        <f>BY12*VLOOKUP('Données projet'!$B$12,Paramètres!$A$1:$I$89,3,0)*VLOOKUP('Données projet'!$B$12,Paramètres!$A$1:$I$89,5,0)</f>
        <v>12.735739781970144</v>
      </c>
      <c r="CA12" s="14">
        <f t="shared" si="39"/>
        <v>4.364670141362768</v>
      </c>
      <c r="CB12" s="22">
        <f t="shared" si="10"/>
        <v>29.783213949804821</v>
      </c>
      <c r="CC12" s="62">
        <f t="shared" si="11"/>
        <v>230.79350843998054</v>
      </c>
      <c r="CD12" s="62">
        <f ca="1">AVERAGE(OFFSET($CC$3,0,0,'Données projet'!$E$12+1,1))-AVERAGE(OFFSET($H$3,0,0,'Données projet'!$E$12+1,1))</f>
        <v>344.32696811748974</v>
      </c>
      <c r="CE12" s="62">
        <f t="shared" si="40"/>
        <v>411.51927518440766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6.2380360317336141</v>
      </c>
      <c r="CV12" s="14">
        <f t="shared" si="41"/>
        <v>2.3230383034439352</v>
      </c>
      <c r="CW12" s="22">
        <f t="shared" si="13"/>
        <v>14.910537800434229</v>
      </c>
      <c r="CX12" s="62">
        <f t="shared" si="14"/>
        <v>215.92083229060995</v>
      </c>
      <c r="CY12" s="62">
        <f ca="1">AVERAGE(OFFSET($CX$3,0,0,'Données projet'!$E$13+1,1))-AVERAGE(OFFSET($H$3,0,0,'Données projet'!$E$13+1,1))</f>
        <v>473.14533251757302</v>
      </c>
      <c r="CZ12" s="62">
        <f t="shared" si="42"/>
        <v>299.82031908667142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18.941176470588236</v>
      </c>
      <c r="DO12" s="13">
        <f>IF('Données projet'!$A$166&gt;35,DO11+DN12-DW11,IF(A12&lt;'Données projet'!$A$166,$DL$205^A12,IF(A12='Données projet'!$A$166,'Données projet'!$B$166,DO11+DN12-DW11)))</f>
        <v>21.266126977173794</v>
      </c>
      <c r="DP12" s="18">
        <f>DO12*VLOOKUP('Données projet'!$B$14,Paramètres!$A$1:$I$89,3,0)*VLOOKUP('Données projet'!$B$14,Paramètres!$A$1:$I$89,5,0)</f>
        <v>12.208458175055933</v>
      </c>
      <c r="DQ12" s="14">
        <f t="shared" si="43"/>
        <v>4.2046085117180869</v>
      </c>
      <c r="DR12" s="22">
        <f t="shared" si="16"/>
        <v>28.586091146131412</v>
      </c>
      <c r="DS12" s="62">
        <f t="shared" si="17"/>
        <v>229.59638563630713</v>
      </c>
      <c r="DT12" s="62">
        <f ca="1">AVERAGE(OFFSET($DS$3,0,0,'Données projet'!$E$14+1,1))-AVERAGE(OFFSET($H$3,0,0,'Données projet'!$E$14+1,1))</f>
        <v>89.751456703373435</v>
      </c>
      <c r="DU12" s="62">
        <f t="shared" si="44"/>
        <v>433.35713950666889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7.7692307692307692</v>
      </c>
      <c r="EJ12" s="13">
        <f>IF('Données projet'!$A$192&gt;35,EJ11+EI12-ER11,IF(A12&lt;'Données projet'!$A$192,$EG$205^A12,IF(A12='Données projet'!$A$192,'Données projet'!$B$192,EJ11+EI12-ER11)))</f>
        <v>24.412210433665443</v>
      </c>
      <c r="EK12" s="18">
        <f>EJ12*VLOOKUP('Données projet'!$B$15,Paramètres!$A$1:$I$89,3,0)*VLOOKUP('Données projet'!$B$15,Paramètres!$A$1:$I$89,5,0)</f>
        <v>14.598501839331936</v>
      </c>
      <c r="EL12" s="14">
        <f t="shared" si="45"/>
        <v>4.9241907608973428</v>
      </c>
      <c r="EM12" s="22">
        <f t="shared" si="19"/>
        <v>34.002022945399325</v>
      </c>
      <c r="EN12" s="62">
        <f t="shared" si="20"/>
        <v>235.01231743557503</v>
      </c>
      <c r="EO12" s="62">
        <f ca="1">AVERAGE(OFFSET($EN$3,0,0,'Données projet'!$E$15+1,1))-AVERAGE(OFFSET($H$3,0,0,'Données projet'!$E$15+1,1))</f>
        <v>204.71144247550794</v>
      </c>
      <c r="EP12" s="62">
        <f t="shared" si="46"/>
        <v>409.91012463636184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51.820989406411556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2.8000000000000003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10.266666666666667</v>
      </c>
      <c r="H13" s="70">
        <f t="shared" si="1"/>
        <v>188.90666666666664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6.5</v>
      </c>
      <c r="N13" s="14">
        <f>IF('Données projet'!$A$36&gt;35,N12+M13-V12,IF(A13&lt;'Données projet'!$A$36,$K$205^A13,IF(A13='Données projet'!$A$36,'Données projet'!$B$36,N12+M13-V12)))</f>
        <v>5.7988899976489963</v>
      </c>
      <c r="O13" s="14">
        <f>N13*VLOOKUP('Données projet'!$B$9,Paramètres!$A$1:$I$89,3,0)*VLOOKUP('Données projet'!$B$9,Paramètres!$A$1:$I$89,5,0)</f>
        <v>2.7138805188997304</v>
      </c>
      <c r="P13" s="14">
        <f t="shared" si="33"/>
        <v>1.1134554059951043</v>
      </c>
      <c r="Q13" s="22">
        <f t="shared" si="2"/>
        <v>6.66594340252517</v>
      </c>
      <c r="R13" s="62">
        <f t="shared" si="0"/>
        <v>210.05479915086207</v>
      </c>
      <c r="S13" s="62">
        <f ca="1">AVERAGE(OFFSET($R$3,0,0,'Données projet'!$E$9+1,1))-AVERAGE(OFFSET($H$3,0,0,'Données projet'!$E$9+1,1))</f>
        <v>349.50936264852089</v>
      </c>
      <c r="T13" s="62">
        <f t="shared" si="34"/>
        <v>260.52733851266106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5.5788064517917366</v>
      </c>
      <c r="AK13" s="14">
        <f t="shared" si="35"/>
        <v>2.1047278739596393</v>
      </c>
      <c r="AL13" s="22">
        <f t="shared" si="4"/>
        <v>13.382155617350314</v>
      </c>
      <c r="AM13" s="62">
        <f t="shared" si="5"/>
        <v>216.77101136568723</v>
      </c>
      <c r="AN13" s="62">
        <f ca="1">AVERAGE(OFFSET($AM$3,0,0,'Données projet'!$E$10+1,1))-AVERAGE(OFFSET($H$3,0,0,'Données projet'!$E$10+1,1))</f>
        <v>447.04988989014134</v>
      </c>
      <c r="AO13" s="62">
        <f t="shared" si="36"/>
        <v>278.04061554501783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6.0079454096218692</v>
      </c>
      <c r="BF13" s="14">
        <f t="shared" si="37"/>
        <v>2.2471617757585696</v>
      </c>
      <c r="BG13" s="22">
        <f t="shared" si="7"/>
        <v>14.377645014537597</v>
      </c>
      <c r="BH13" s="62">
        <f t="shared" si="8"/>
        <v>217.7665007628745</v>
      </c>
      <c r="BI13" s="62">
        <f ca="1">AVERAGE(OFFSET($BH$3,0,0,'Données projet'!$E$11+1,1))-AVERAGE(OFFSET($H$3,0,0,'Données projet'!$E$11+1,1))</f>
        <v>475.58735584427552</v>
      </c>
      <c r="BJ13" s="62">
        <f t="shared" si="38"/>
        <v>294.51413339056131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5.8</v>
      </c>
      <c r="BY13" s="13">
        <f>IF('Données projet'!$A$114&gt;35,BY12+BX13-CG12,IF(A13&lt;'Données projet'!$A$114,$BV$205^A13,IF(A13='Données projet'!$A$114,'Données projet'!$B$114,BY12+BX13-CG12)))</f>
        <v>19.634183025716826</v>
      </c>
      <c r="BZ13" s="14">
        <f>BY13*VLOOKUP('Données projet'!$B$12,Paramètres!$A$1:$I$89,3,0)*VLOOKUP('Données projet'!$B$12,Paramètres!$A$1:$I$89,5,0)</f>
        <v>17.152422291266223</v>
      </c>
      <c r="CA13" s="14">
        <f t="shared" si="39"/>
        <v>5.678086989362658</v>
      </c>
      <c r="CB13" s="22">
        <f t="shared" si="10"/>
        <v>39.763136997095295</v>
      </c>
      <c r="CC13" s="62">
        <f t="shared" si="11"/>
        <v>243.15199274543221</v>
      </c>
      <c r="CD13" s="62">
        <f ca="1">AVERAGE(OFFSET($CC$3,0,0,'Données projet'!$E$12+1,1))-AVERAGE(OFFSET($H$3,0,0,'Données projet'!$E$12+1,1))</f>
        <v>344.32696811748974</v>
      </c>
      <c r="CE13" s="62">
        <f t="shared" si="40"/>
        <v>411.51927518440766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7.7306145887633031</v>
      </c>
      <c r="CV13" s="14">
        <f t="shared" si="41"/>
        <v>2.8078763226288115</v>
      </c>
      <c r="CW13" s="22">
        <f t="shared" si="13"/>
        <v>18.354538337341264</v>
      </c>
      <c r="CX13" s="62">
        <f t="shared" si="14"/>
        <v>221.74339408567818</v>
      </c>
      <c r="CY13" s="62">
        <f ca="1">AVERAGE(OFFSET($CX$3,0,0,'Données projet'!$E$13+1,1))-AVERAGE(OFFSET($H$3,0,0,'Données projet'!$E$13+1,1))</f>
        <v>473.14533251757302</v>
      </c>
      <c r="CZ13" s="62">
        <f t="shared" si="42"/>
        <v>299.82031908667142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18.941176470588236</v>
      </c>
      <c r="DO13" s="13">
        <f>IF('Données projet'!$A$166&gt;35,DO12+DN13-DW12,IF(A13&lt;'Données projet'!$A$166,$DL$205^A13,IF(A13='Données projet'!$A$166,'Données projet'!$B$166,DO12+DN13-DW12)))</f>
        <v>29.868219638651265</v>
      </c>
      <c r="DP13" s="18">
        <f>DO13*VLOOKUP('Données projet'!$B$14,Paramètres!$A$1:$I$89,3,0)*VLOOKUP('Données projet'!$B$14,Paramètres!$A$1:$I$89,5,0)</f>
        <v>17.146747530156919</v>
      </c>
      <c r="DQ13" s="14">
        <f t="shared" si="43"/>
        <v>5.6764270652430069</v>
      </c>
      <c r="DR13" s="22">
        <f t="shared" si="16"/>
        <v>39.750362420321537</v>
      </c>
      <c r="DS13" s="62">
        <f t="shared" si="17"/>
        <v>243.13921816865843</v>
      </c>
      <c r="DT13" s="62">
        <f ca="1">AVERAGE(OFFSET($DS$3,0,0,'Données projet'!$E$14+1,1))-AVERAGE(OFFSET($H$3,0,0,'Données projet'!$E$14+1,1))</f>
        <v>89.751456703373435</v>
      </c>
      <c r="DU13" s="62">
        <f t="shared" si="44"/>
        <v>433.35713950666889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7.7692307692307692</v>
      </c>
      <c r="EJ13" s="13">
        <f>IF('Données projet'!$A$192&gt;35,EJ12+EI13-ER12,IF(A13&lt;'Données projet'!$A$192,$EG$205^A13,IF(A13='Données projet'!$A$192,'Données projet'!$B$192,EJ12+EI13-ER12)))</f>
        <v>34.816545014940573</v>
      </c>
      <c r="EK13" s="18">
        <f>EJ13*VLOOKUP('Données projet'!$B$15,Paramètres!$A$1:$I$89,3,0)*VLOOKUP('Données projet'!$B$15,Paramètres!$A$1:$I$89,5,0)</f>
        <v>20.820293918934464</v>
      </c>
      <c r="EL13" s="14">
        <f t="shared" si="45"/>
        <v>6.7385592439734481</v>
      </c>
      <c r="EM13" s="22">
        <f t="shared" si="19"/>
        <v>47.998335925397946</v>
      </c>
      <c r="EN13" s="62">
        <f t="shared" si="20"/>
        <v>251.38719167373486</v>
      </c>
      <c r="EO13" s="62">
        <f ca="1">AVERAGE(OFFSET($EN$3,0,0,'Données projet'!$E$15+1,1))-AVERAGE(OFFSET($H$3,0,0,'Données projet'!$E$15+1,1))</f>
        <v>204.71144247550794</v>
      </c>
      <c r="EP13" s="62">
        <f t="shared" si="46"/>
        <v>409.91012463636184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52.136354598031275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2.8000000000000003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10.266666666666667</v>
      </c>
      <c r="H14" s="70">
        <f t="shared" si="1"/>
        <v>188.90666666666664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6.5</v>
      </c>
      <c r="N14" s="14">
        <f>IF('Données projet'!$A$36&gt;35,N13+M14-V13,IF(A14&lt;'Données projet'!$A$36,$K$205^A14,IF(A14='Données projet'!$A$36,'Données projet'!$B$36,N13+M14-V13)))</f>
        <v>6.9132037602921814</v>
      </c>
      <c r="O14" s="14">
        <f>N14*VLOOKUP('Données projet'!$B$9,Paramètres!$A$1:$I$89,3,0)*VLOOKUP('Données projet'!$B$9,Paramètres!$A$1:$I$89,5,0)</f>
        <v>3.2353793598167409</v>
      </c>
      <c r="P14" s="14">
        <f t="shared" si="33"/>
        <v>1.3005348098719234</v>
      </c>
      <c r="Q14" s="22">
        <f t="shared" si="2"/>
        <v>7.9000505122077564</v>
      </c>
      <c r="R14" s="62">
        <f t="shared" si="0"/>
        <v>213.64740762161907</v>
      </c>
      <c r="S14" s="62">
        <f ca="1">AVERAGE(OFFSET($R$3,0,0,'Données projet'!$E$9+1,1))-AVERAGE(OFFSET($H$3,0,0,'Données projet'!$E$9+1,1))</f>
        <v>349.50936264852089</v>
      </c>
      <c r="T14" s="62">
        <f t="shared" si="34"/>
        <v>260.52733851266106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6.6159410738381021</v>
      </c>
      <c r="AK14" s="14">
        <f t="shared" si="35"/>
        <v>2.4469597615261804</v>
      </c>
      <c r="AL14" s="22">
        <f t="shared" si="4"/>
        <v>15.784552288259455</v>
      </c>
      <c r="AM14" s="62">
        <f t="shared" si="5"/>
        <v>221.53190939767074</v>
      </c>
      <c r="AN14" s="62">
        <f ca="1">AVERAGE(OFFSET($AM$3,0,0,'Données projet'!$E$10+1,1))-AVERAGE(OFFSET($H$3,0,0,'Données projet'!$E$10+1,1))</f>
        <v>447.04988989014134</v>
      </c>
      <c r="AO14" s="62">
        <f t="shared" si="36"/>
        <v>278.04061554501783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7.1248596179794941</v>
      </c>
      <c r="BF14" s="14">
        <f t="shared" si="37"/>
        <v>2.6125536279310864</v>
      </c>
      <c r="BG14" s="22">
        <f t="shared" si="7"/>
        <v>16.959328069960929</v>
      </c>
      <c r="BH14" s="62">
        <f t="shared" si="8"/>
        <v>222.70668517937222</v>
      </c>
      <c r="BI14" s="62">
        <f ca="1">AVERAGE(OFFSET($BH$3,0,0,'Données projet'!$E$11+1,1))-AVERAGE(OFFSET($H$3,0,0,'Données projet'!$E$11+1,1))</f>
        <v>475.58735584427552</v>
      </c>
      <c r="BJ14" s="62">
        <f t="shared" si="38"/>
        <v>294.51413339056131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5.8</v>
      </c>
      <c r="BY14" s="13">
        <f>IF('Données projet'!$A$114&gt;35,BY13+BX14-CG13,IF(A14&lt;'Données projet'!$A$114,$BV$205^A14,IF(A14='Données projet'!$A$114,'Données projet'!$B$114,BY13+BX14-CG13)))</f>
        <v>26.443206626903088</v>
      </c>
      <c r="BZ14" s="14">
        <f>BY14*VLOOKUP('Données projet'!$B$12,Paramètres!$A$1:$I$89,3,0)*VLOOKUP('Données projet'!$B$12,Paramètres!$A$1:$I$89,5,0)</f>
        <v>23.100785309262541</v>
      </c>
      <c r="CA14" s="14">
        <f t="shared" si="39"/>
        <v>7.3867373282653306</v>
      </c>
      <c r="CB14" s="22">
        <f t="shared" si="10"/>
        <v>53.099101927027704</v>
      </c>
      <c r="CC14" s="62">
        <f t="shared" si="11"/>
        <v>258.846459036439</v>
      </c>
      <c r="CD14" s="62">
        <f ca="1">AVERAGE(OFFSET($CC$3,0,0,'Données projet'!$E$12+1,1))-AVERAGE(OFFSET($H$3,0,0,'Données projet'!$E$12+1,1))</f>
        <v>344.32696811748974</v>
      </c>
      <c r="CE14" s="62">
        <f t="shared" si="40"/>
        <v>411.51927518440766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9.5803232966244067</v>
      </c>
      <c r="CV14" s="14">
        <f t="shared" si="41"/>
        <v>3.3939041949894282</v>
      </c>
      <c r="CW14" s="22">
        <f t="shared" si="13"/>
        <v>22.596779547894098</v>
      </c>
      <c r="CX14" s="62">
        <f t="shared" si="14"/>
        <v>228.3441366573054</v>
      </c>
      <c r="CY14" s="62">
        <f ca="1">AVERAGE(OFFSET($CX$3,0,0,'Données projet'!$E$13+1,1))-AVERAGE(OFFSET($H$3,0,0,'Données projet'!$E$13+1,1))</f>
        <v>473.14533251757302</v>
      </c>
      <c r="CZ14" s="62">
        <f t="shared" si="42"/>
        <v>299.82031908667142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18.941176470588236</v>
      </c>
      <c r="DO14" s="13">
        <f>IF('Données projet'!$A$166&gt;35,DO13+DN14-DW13,IF(A14&lt;'Données projet'!$A$166,$DL$205^A14,IF(A14='Données projet'!$A$166,'Données projet'!$B$166,DO13+DN14-DW13)))</f>
        <v>41.949836250872984</v>
      </c>
      <c r="DP14" s="18">
        <f>DO14*VLOOKUP('Données projet'!$B$14,Paramètres!$A$1:$I$89,3,0)*VLOOKUP('Données projet'!$B$14,Paramètres!$A$1:$I$89,5,0)</f>
        <v>24.082561994901162</v>
      </c>
      <c r="DQ14" s="14">
        <f t="shared" si="43"/>
        <v>7.6634540736009802</v>
      </c>
      <c r="DR14" s="22">
        <f t="shared" si="16"/>
        <v>55.290977985974564</v>
      </c>
      <c r="DS14" s="62">
        <f t="shared" si="17"/>
        <v>261.03833509538583</v>
      </c>
      <c r="DT14" s="62">
        <f ca="1">AVERAGE(OFFSET($DS$3,0,0,'Données projet'!$E$14+1,1))-AVERAGE(OFFSET($H$3,0,0,'Données projet'!$E$14+1,1))</f>
        <v>89.751456703373435</v>
      </c>
      <c r="DU14" s="62">
        <f t="shared" si="44"/>
        <v>433.35713950666889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7.7692307692307692</v>
      </c>
      <c r="EJ14" s="13">
        <f>IF('Données projet'!$A$192&gt;35,EJ13+EI14-ER13,IF(A14&lt;'Données projet'!$A$192,$EG$205^A14,IF(A14='Données projet'!$A$192,'Données projet'!$B$192,EJ13+EI14-ER13)))</f>
        <v>49.65514327640404</v>
      </c>
      <c r="EK14" s="18">
        <f>EJ14*VLOOKUP('Données projet'!$B$15,Paramètres!$A$1:$I$89,3,0)*VLOOKUP('Données projet'!$B$15,Paramètres!$A$1:$I$89,5,0)</f>
        <v>29.693775679289619</v>
      </c>
      <c r="EL14" s="14">
        <f t="shared" si="45"/>
        <v>9.2214503640117265</v>
      </c>
      <c r="EM14" s="22">
        <f t="shared" si="19"/>
        <v>67.777352025416505</v>
      </c>
      <c r="EN14" s="62">
        <f t="shared" si="20"/>
        <v>273.52470913482779</v>
      </c>
      <c r="EO14" s="62">
        <f ca="1">AVERAGE(OFFSET($EN$3,0,0,'Données projet'!$E$15+1,1))-AVERAGE(OFFSET($H$3,0,0,'Données projet'!$E$15+1,1))</f>
        <v>204.71144247550794</v>
      </c>
      <c r="EP14" s="62">
        <f t="shared" si="46"/>
        <v>409.91012463636184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52.446248908627325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2.8000000000000003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10.266666666666667</v>
      </c>
      <c r="H15" s="70">
        <f t="shared" si="1"/>
        <v>188.90666666666664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6.5</v>
      </c>
      <c r="N15" s="14">
        <f>IF('Données projet'!$A$36&gt;35,N14+M15-V14,IF(A15&lt;'Données projet'!$A$36,$K$205^A15,IF(A15='Données projet'!$A$36,'Données projet'!$B$36,N14+M15-V14)))</f>
        <v>8.2416438750681742</v>
      </c>
      <c r="O15" s="14">
        <f>N15*VLOOKUP('Données projet'!$B$9,Paramètres!$A$1:$I$89,3,0)*VLOOKUP('Données projet'!$B$9,Paramètres!$A$1:$I$89,5,0)</f>
        <v>3.8570893335319059</v>
      </c>
      <c r="P15" s="14">
        <f t="shared" si="33"/>
        <v>1.5190467283932132</v>
      </c>
      <c r="Q15" s="22">
        <f t="shared" si="2"/>
        <v>9.3634369745195816</v>
      </c>
      <c r="R15" s="62">
        <f t="shared" si="0"/>
        <v>217.44958354228575</v>
      </c>
      <c r="S15" s="62">
        <f ca="1">AVERAGE(OFFSET($R$3,0,0,'Données projet'!$E$9+1,1))-AVERAGE(OFFSET($H$3,0,0,'Données projet'!$E$9+1,1))</f>
        <v>349.50936264852089</v>
      </c>
      <c r="T15" s="62">
        <f t="shared" si="34"/>
        <v>260.52733851266106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7.8458854363804464</v>
      </c>
      <c r="AK15" s="14">
        <f t="shared" si="35"/>
        <v>2.844839063809101</v>
      </c>
      <c r="AL15" s="22">
        <f t="shared" si="4"/>
        <v>18.619678504496793</v>
      </c>
      <c r="AM15" s="62">
        <f t="shared" si="5"/>
        <v>226.70582507226297</v>
      </c>
      <c r="AN15" s="62">
        <f ca="1">AVERAGE(OFFSET($AM$3,0,0,'Données projet'!$E$10+1,1))-AVERAGE(OFFSET($H$3,0,0,'Données projet'!$E$10+1,1))</f>
        <v>447.04988989014134</v>
      </c>
      <c r="AO15" s="62">
        <f t="shared" si="36"/>
        <v>278.04061554501783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8.4494150853327881</v>
      </c>
      <c r="BF15" s="14">
        <f t="shared" si="37"/>
        <v>3.0373587395646373</v>
      </c>
      <c r="BG15" s="22">
        <f t="shared" si="7"/>
        <v>20.006131078363016</v>
      </c>
      <c r="BH15" s="62">
        <f t="shared" si="8"/>
        <v>228.09227764612919</v>
      </c>
      <c r="BI15" s="62">
        <f ca="1">AVERAGE(OFFSET($BH$3,0,0,'Données projet'!$E$11+1,1))-AVERAGE(OFFSET($H$3,0,0,'Données projet'!$E$11+1,1))</f>
        <v>475.58735584427552</v>
      </c>
      <c r="BJ15" s="62">
        <f t="shared" si="38"/>
        <v>294.51413339056131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5.8</v>
      </c>
      <c r="BY15" s="13">
        <f>IF('Données projet'!$A$114&gt;35,BY14+BX15-CG14,IF(A15&lt;'Données projet'!$A$114,$BV$205^A15,IF(A15='Données projet'!$A$114,'Données projet'!$B$114,BY14+BX15-CG14)))</f>
        <v>35.613561093793592</v>
      </c>
      <c r="BZ15" s="14">
        <f>BY15*VLOOKUP('Données projet'!$B$12,Paramètres!$A$1:$I$89,3,0)*VLOOKUP('Données projet'!$B$12,Paramètres!$A$1:$I$89,5,0)</f>
        <v>31.112006971538086</v>
      </c>
      <c r="CA15" s="14">
        <f t="shared" si="39"/>
        <v>9.6095548481396289</v>
      </c>
      <c r="CB15" s="22">
        <f t="shared" si="10"/>
        <v>70.9233868359387</v>
      </c>
      <c r="CC15" s="62">
        <f t="shared" si="11"/>
        <v>279.00953340370489</v>
      </c>
      <c r="CD15" s="62">
        <f ca="1">AVERAGE(OFFSET($CC$3,0,0,'Données projet'!$E$12+1,1))-AVERAGE(OFFSET($H$3,0,0,'Données projet'!$E$12+1,1))</f>
        <v>344.32696811748974</v>
      </c>
      <c r="CE15" s="62">
        <f t="shared" si="40"/>
        <v>411.51927518440766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11.872612896942668</v>
      </c>
      <c r="CV15" s="14">
        <f t="shared" si="41"/>
        <v>4.1022411108131784</v>
      </c>
      <c r="CW15" s="22">
        <f t="shared" si="13"/>
        <v>27.822870730174767</v>
      </c>
      <c r="CX15" s="62">
        <f t="shared" si="14"/>
        <v>235.90901729794095</v>
      </c>
      <c r="CY15" s="62">
        <f ca="1">AVERAGE(OFFSET($CX$3,0,0,'Données projet'!$E$13+1,1))-AVERAGE(OFFSET($H$3,0,0,'Données projet'!$E$13+1,1))</f>
        <v>473.14533251757302</v>
      </c>
      <c r="CZ15" s="62">
        <f t="shared" si="42"/>
        <v>299.82031908667142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18.941176470588236</v>
      </c>
      <c r="DO15" s="13">
        <f>IF('Données projet'!$A$166&gt;35,DO14+DN15-DW14,IF(A15&lt;'Données projet'!$A$166,$DL$205^A15,IF(A15='Données projet'!$A$166,'Données projet'!$B$166,DO14+DN15-DW14)))</f>
        <v>58.918435138255958</v>
      </c>
      <c r="DP15" s="18">
        <f>DO15*VLOOKUP('Données projet'!$B$14,Paramètres!$A$1:$I$89,3,0)*VLOOKUP('Données projet'!$B$14,Paramètres!$A$1:$I$89,5,0)</f>
        <v>33.823895244169982</v>
      </c>
      <c r="DQ15" s="14">
        <f t="shared" si="43"/>
        <v>10.346037685886719</v>
      </c>
      <c r="DR15" s="22">
        <f t="shared" si="16"/>
        <v>76.929299853182087</v>
      </c>
      <c r="DS15" s="62">
        <f t="shared" si="17"/>
        <v>285.01544642094825</v>
      </c>
      <c r="DT15" s="62">
        <f ca="1">AVERAGE(OFFSET($DS$3,0,0,'Données projet'!$E$14+1,1))-AVERAGE(OFFSET($H$3,0,0,'Données projet'!$E$14+1,1))</f>
        <v>89.751456703373435</v>
      </c>
      <c r="DU15" s="62">
        <f t="shared" si="44"/>
        <v>433.35713950666889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7.7692307692307692</v>
      </c>
      <c r="EJ15" s="13">
        <f>IF('Données projet'!$A$192&gt;35,EJ14+EI15-ER14,IF(A15&lt;'Données projet'!$A$192,$EG$205^A15,IF(A15='Données projet'!$A$192,'Données projet'!$B$192,EJ14+EI15-ER14)))</f>
        <v>70.81786124218111</v>
      </c>
      <c r="EK15" s="18">
        <f>EJ15*VLOOKUP('Données projet'!$B$15,Paramètres!$A$1:$I$89,3,0)*VLOOKUP('Données projet'!$B$15,Paramètres!$A$1:$I$89,5,0)</f>
        <v>42.349081022824308</v>
      </c>
      <c r="EL15" s="14">
        <f t="shared" si="45"/>
        <v>12.61918812867636</v>
      </c>
      <c r="EM15" s="22">
        <f t="shared" si="19"/>
        <v>95.736402105530317</v>
      </c>
      <c r="EN15" s="62">
        <f t="shared" si="20"/>
        <v>303.82254867329652</v>
      </c>
      <c r="EO15" s="62">
        <f ca="1">AVERAGE(OFFSET($EN$3,0,0,'Données projet'!$E$15+1,1))-AVERAGE(OFFSET($H$3,0,0,'Données projet'!$E$15+1,1))</f>
        <v>204.71144247550794</v>
      </c>
      <c r="EP15" s="62">
        <f t="shared" si="46"/>
        <v>409.91012463636184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52.750767245754417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2.8000000000000003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10.266666666666667</v>
      </c>
      <c r="H16" s="70">
        <f t="shared" si="1"/>
        <v>188.90666666666664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6.5</v>
      </c>
      <c r="N16" s="14">
        <f>IF('Données projet'!$A$36&gt;35,N15+M16-V15,IF(A16&lt;'Données projet'!$A$36,$K$205^A16,IF(A16='Données projet'!$A$36,'Données projet'!$B$36,N15+M16-V15)))</f>
        <v>9.8253568271186005</v>
      </c>
      <c r="O16" s="14">
        <f>N16*VLOOKUP('Données projet'!$B$9,Paramètres!$A$1:$I$89,3,0)*VLOOKUP('Données projet'!$B$9,Paramètres!$A$1:$I$89,5,0)</f>
        <v>4.5982669950915049</v>
      </c>
      <c r="P16" s="14">
        <f t="shared" si="33"/>
        <v>1.7742723574383734</v>
      </c>
      <c r="Q16" s="22">
        <f t="shared" si="2"/>
        <v>11.098839372322871</v>
      </c>
      <c r="R16" s="62">
        <f t="shared" si="0"/>
        <v>221.50440545316752</v>
      </c>
      <c r="S16" s="62">
        <f ca="1">AVERAGE(OFFSET($R$3,0,0,'Données projet'!$E$9+1,1))-AVERAGE(OFFSET($H$3,0,0,'Données projet'!$E$9+1,1))</f>
        <v>349.50936264852089</v>
      </c>
      <c r="T16" s="62">
        <f t="shared" si="34"/>
        <v>260.52733851266106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9.3044840626271217</v>
      </c>
      <c r="AK16" s="14">
        <f t="shared" si="35"/>
        <v>3.3074141333352105</v>
      </c>
      <c r="AL16" s="22">
        <f t="shared" si="4"/>
        <v>21.965722691301057</v>
      </c>
      <c r="AM16" s="62">
        <f t="shared" si="5"/>
        <v>232.3712887721457</v>
      </c>
      <c r="AN16" s="62">
        <f ca="1">AVERAGE(OFFSET($AM$3,0,0,'Données projet'!$E$10+1,1))-AVERAGE(OFFSET($H$3,0,0,'Données projet'!$E$10+1,1))</f>
        <v>447.04988989014134</v>
      </c>
      <c r="AO16" s="62">
        <f t="shared" si="36"/>
        <v>278.04061554501783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10.020213605906129</v>
      </c>
      <c r="BF16" s="14">
        <f t="shared" si="37"/>
        <v>3.5312377951512151</v>
      </c>
      <c r="BG16" s="22">
        <f t="shared" si="7"/>
        <v>23.60211119017487</v>
      </c>
      <c r="BH16" s="62">
        <f t="shared" si="8"/>
        <v>234.0076772710195</v>
      </c>
      <c r="BI16" s="62">
        <f ca="1">AVERAGE(OFFSET($BH$3,0,0,'Données projet'!$E$11+1,1))-AVERAGE(OFFSET($H$3,0,0,'Données projet'!$E$11+1,1))</f>
        <v>475.58735584427552</v>
      </c>
      <c r="BJ16" s="62">
        <f t="shared" si="38"/>
        <v>294.51413339056131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5.8</v>
      </c>
      <c r="BY16" s="13">
        <f>IF('Données projet'!$A$114&gt;35,BY15+BX16-CG15,IF(A16&lt;'Données projet'!$A$114,$BV$205^A16,IF(A16='Données projet'!$A$114,'Données projet'!$B$114,BY15+BX16-CG15)))</f>
        <v>47.964142612378375</v>
      </c>
      <c r="BZ16" s="14">
        <f>BY16*VLOOKUP('Données projet'!$B$12,Paramètres!$A$1:$I$89,3,0)*VLOOKUP('Données projet'!$B$12,Paramètres!$A$1:$I$89,5,0)</f>
        <v>41.901474986173753</v>
      </c>
      <c r="CA16" s="14">
        <f t="shared" si="39"/>
        <v>12.501262773491545</v>
      </c>
      <c r="CB16" s="22">
        <f t="shared" si="10"/>
        <v>94.751434931417066</v>
      </c>
      <c r="CC16" s="62">
        <f t="shared" si="11"/>
        <v>305.15700101226173</v>
      </c>
      <c r="CD16" s="62">
        <f ca="1">AVERAGE(OFFSET($CC$3,0,0,'Données projet'!$E$12+1,1))-AVERAGE(OFFSET($H$3,0,0,'Données projet'!$E$12+1,1))</f>
        <v>344.32696811748974</v>
      </c>
      <c r="CE16" s="62">
        <f t="shared" si="40"/>
        <v>411.51927518440766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14.713379980643843</v>
      </c>
      <c r="CV16" s="14">
        <f t="shared" si="41"/>
        <v>4.9584140165447881</v>
      </c>
      <c r="CW16" s="22">
        <f t="shared" si="13"/>
        <v>34.261707878436859</v>
      </c>
      <c r="CX16" s="62">
        <f t="shared" si="14"/>
        <v>244.66727395928149</v>
      </c>
      <c r="CY16" s="62">
        <f ca="1">AVERAGE(OFFSET($CX$3,0,0,'Données projet'!$E$13+1,1))-AVERAGE(OFFSET($H$3,0,0,'Données projet'!$E$13+1,1))</f>
        <v>473.14533251757302</v>
      </c>
      <c r="CZ16" s="62">
        <f t="shared" si="42"/>
        <v>299.82031908667142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18.941176470588236</v>
      </c>
      <c r="DO16" s="13">
        <f>IF('Données projet'!$A$166&gt;35,DO15+DN16-DW15,IF(A16&lt;'Données projet'!$A$166,$DL$205^A16,IF(A16='Données projet'!$A$166,'Données projet'!$B$166,DO15+DN16-DW15)))</f>
        <v>82.750787830992635</v>
      </c>
      <c r="DP16" s="18">
        <f>DO16*VLOOKUP('Données projet'!$B$14,Paramètres!$A$1:$I$89,3,0)*VLOOKUP('Données projet'!$B$14,Paramètres!$A$1:$I$89,5,0)</f>
        <v>47.505572278016253</v>
      </c>
      <c r="DQ16" s="14">
        <f t="shared" si="43"/>
        <v>13.967656721075763</v>
      </c>
      <c r="DR16" s="22">
        <f t="shared" si="16"/>
        <v>107.06587384008525</v>
      </c>
      <c r="DS16" s="62">
        <f t="shared" si="17"/>
        <v>317.47143992092987</v>
      </c>
      <c r="DT16" s="62">
        <f ca="1">AVERAGE(OFFSET($DS$3,0,0,'Données projet'!$E$14+1,1))-AVERAGE(OFFSET($H$3,0,0,'Données projet'!$E$14+1,1))</f>
        <v>89.751456703373435</v>
      </c>
      <c r="DU16" s="62">
        <f t="shared" si="44"/>
        <v>433.35713950666889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>
        <f>VLOOKUP(A16,'Données projet'!$A$191:$I$211,2,0)</f>
        <v>101</v>
      </c>
      <c r="EH16" s="13">
        <f>VLOOKUP(A16,'Données projet'!$A$191:$I$211,9,0)</f>
        <v>7.7692307692307692</v>
      </c>
      <c r="EI16" s="13">
        <f t="array" ref="EI16">INDEX(EH:EH,MIN(IF(ISNUMBER(EH16:EH212),ROW(EH16:EH212),"")))</f>
        <v>7.7692307692307692</v>
      </c>
      <c r="EJ16" s="13">
        <f>IF('Données projet'!$A$192&gt;35,EJ15+EI16-ER15,IF(A16&lt;'Données projet'!$A$192,$EG$205^A16,IF(A16='Données projet'!$A$192,'Données projet'!$B$192,EJ15+EI16-ER15)))</f>
        <v>101</v>
      </c>
      <c r="EK16" s="18">
        <f>EJ16*VLOOKUP('Données projet'!$B$15,Paramètres!$A$1:$I$89,3,0)*VLOOKUP('Données projet'!$B$15,Paramètres!$A$1:$I$89,5,0)</f>
        <v>60.398000000000003</v>
      </c>
      <c r="EL16" s="14">
        <f t="shared" si="45"/>
        <v>17.26885714728807</v>
      </c>
      <c r="EM16" s="22">
        <f t="shared" si="19"/>
        <v>135.26977619819337</v>
      </c>
      <c r="EN16" s="62">
        <f t="shared" si="20"/>
        <v>345.67534227903798</v>
      </c>
      <c r="EO16" s="62">
        <f ca="1">AVERAGE(OFFSET($EN$3,0,0,'Données projet'!$E$15+1,1))-AVERAGE(OFFSET($H$3,0,0,'Données projet'!$E$15+1,1))</f>
        <v>204.71144247550794</v>
      </c>
      <c r="EP16" s="62">
        <f t="shared" si="46"/>
        <v>409.91012463636184</v>
      </c>
      <c r="EQ16" s="16">
        <f>IF(ISNA(VLOOKUP(A16,'Données projet'!$A$191:$I$211,3,0)),0,VLOOKUP(A16,'Données projet'!$A$191:$I$211,3,0))</f>
        <v>1</v>
      </c>
      <c r="ER16" s="16">
        <f>IF(ISNA(VLOOKUP(A16,'Données projet'!$A$191:$I$211,4,0)),0,VLOOKUP(A16,'Données projet'!$A$191:$I$211,4,0))</f>
        <v>28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1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18.958097589783147</v>
      </c>
      <c r="EY16" s="24">
        <f t="shared" si="21"/>
        <v>18.958097589783147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53.050002870533376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2.8000000000000003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10.266666666666667</v>
      </c>
      <c r="H17" s="70">
        <f t="shared" si="1"/>
        <v>188.90666666666664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6.5</v>
      </c>
      <c r="N17" s="14">
        <f>IF('Données projet'!$A$36&gt;35,N16+M17-V16,IF(A17&lt;'Données projet'!$A$36,$K$205^A17,IF(A17='Données projet'!$A$36,'Données projet'!$B$36,N16+M17-V16)))</f>
        <v>11.71339580350498</v>
      </c>
      <c r="O17" s="14">
        <f>N17*VLOOKUP('Données projet'!$B$9,Paramètres!$A$1:$I$89,3,0)*VLOOKUP('Données projet'!$B$9,Paramètres!$A$1:$I$89,5,0)</f>
        <v>5.4818692360403301</v>
      </c>
      <c r="P17" s="14">
        <f t="shared" si="33"/>
        <v>2.0723802234180093</v>
      </c>
      <c r="Q17" s="22">
        <f t="shared" si="2"/>
        <v>13.156984475223274</v>
      </c>
      <c r="R17" s="62">
        <f t="shared" si="0"/>
        <v>225.86293614911557</v>
      </c>
      <c r="S17" s="62">
        <f ca="1">AVERAGE(OFFSET($R$3,0,0,'Données projet'!$E$9+1,1))-AVERAGE(OFFSET($H$3,0,0,'Données projet'!$E$9+1,1))</f>
        <v>349.50936264852089</v>
      </c>
      <c r="T17" s="62">
        <f t="shared" si="34"/>
        <v>260.52733851266106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11.034245194334769</v>
      </c>
      <c r="AK17" s="14">
        <f t="shared" si="35"/>
        <v>3.8452045982308483</v>
      </c>
      <c r="AL17" s="22">
        <f t="shared" si="4"/>
        <v>25.915041722051782</v>
      </c>
      <c r="AM17" s="62">
        <f t="shared" si="5"/>
        <v>238.62099339594408</v>
      </c>
      <c r="AN17" s="62">
        <f ca="1">AVERAGE(OFFSET($AM$3,0,0,'Données projet'!$E$10+1,1))-AVERAGE(OFFSET($H$3,0,0,'Données projet'!$E$10+1,1))</f>
        <v>447.04988989014134</v>
      </c>
      <c r="AO17" s="62">
        <f t="shared" si="36"/>
        <v>278.04061554501783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11.883033286206674</v>
      </c>
      <c r="BF17" s="14">
        <f t="shared" si="37"/>
        <v>4.1054223208720391</v>
      </c>
      <c r="BG17" s="22">
        <f t="shared" si="7"/>
        <v>27.846560182328759</v>
      </c>
      <c r="BH17" s="62">
        <f t="shared" si="8"/>
        <v>240.55251185622103</v>
      </c>
      <c r="BI17" s="62">
        <f ca="1">AVERAGE(OFFSET($BH$3,0,0,'Données projet'!$E$11+1,1))-AVERAGE(OFFSET($H$3,0,0,'Données projet'!$E$11+1,1))</f>
        <v>475.58735584427552</v>
      </c>
      <c r="BJ17" s="62">
        <f t="shared" si="38"/>
        <v>294.51413339056131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5.8</v>
      </c>
      <c r="BY17" s="13">
        <f>IF('Données projet'!$A$114&gt;35,BY16+BX17-CG16,IF(A17&lt;'Données projet'!$A$114,$BV$205^A17,IF(A17='Données projet'!$A$114,'Données projet'!$B$114,BY16+BX17-CG16)))</f>
        <v>64.597835933388069</v>
      </c>
      <c r="BZ17" s="14">
        <f>BY17*VLOOKUP('Données projet'!$B$12,Paramètres!$A$1:$I$89,3,0)*VLOOKUP('Données projet'!$B$12,Paramètres!$A$1:$I$89,5,0)</f>
        <v>56.432669471407827</v>
      </c>
      <c r="CA17" s="14">
        <f t="shared" si="39"/>
        <v>16.263143652501352</v>
      </c>
      <c r="CB17" s="22">
        <f t="shared" si="10"/>
        <v>126.61187452414181</v>
      </c>
      <c r="CC17" s="62">
        <f t="shared" si="11"/>
        <v>339.31782619803408</v>
      </c>
      <c r="CD17" s="62">
        <f ca="1">AVERAGE(OFFSET($CC$3,0,0,'Données projet'!$E$12+1,1))-AVERAGE(OFFSET($H$3,0,0,'Données projet'!$E$12+1,1))</f>
        <v>344.32696811748974</v>
      </c>
      <c r="CE17" s="62">
        <f t="shared" si="40"/>
        <v>411.51927518440766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18.233859078363277</v>
      </c>
      <c r="CV17" s="14">
        <f t="shared" si="41"/>
        <v>5.9932775513027368</v>
      </c>
      <c r="CW17" s="22">
        <f t="shared" si="13"/>
        <v>42.195596296668306</v>
      </c>
      <c r="CX17" s="62">
        <f t="shared" si="14"/>
        <v>254.90154797056059</v>
      </c>
      <c r="CY17" s="62">
        <f ca="1">AVERAGE(OFFSET($CX$3,0,0,'Données projet'!$E$13+1,1))-AVERAGE(OFFSET($H$3,0,0,'Données projet'!$E$13+1,1))</f>
        <v>473.14533251757302</v>
      </c>
      <c r="CZ17" s="62">
        <f t="shared" si="42"/>
        <v>299.82031908667142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18.941176470588236</v>
      </c>
      <c r="DO17" s="13">
        <f>IF('Données projet'!$A$166&gt;35,DO16+DN17-DW16,IF(A17&lt;'Données projet'!$A$166,$DL$205^A17,IF(A17='Données projet'!$A$166,'Données projet'!$B$166,DO16+DN17-DW16)))</f>
        <v>116.22326476562726</v>
      </c>
      <c r="DP17" s="18">
        <f>DO17*VLOOKUP('Données projet'!$B$14,Paramètres!$A$1:$I$89,3,0)*VLOOKUP('Données projet'!$B$14,Paramètres!$A$1:$I$89,5,0)</f>
        <v>66.721451836651298</v>
      </c>
      <c r="DQ17" s="14">
        <f t="shared" si="43"/>
        <v>18.857019489108129</v>
      </c>
      <c r="DR17" s="22">
        <f t="shared" si="16"/>
        <v>149.04917089236434</v>
      </c>
      <c r="DS17" s="62">
        <f t="shared" si="17"/>
        <v>361.75512256625666</v>
      </c>
      <c r="DT17" s="62">
        <f ca="1">AVERAGE(OFFSET($DS$3,0,0,'Données projet'!$E$14+1,1))-AVERAGE(OFFSET($H$3,0,0,'Données projet'!$E$14+1,1))</f>
        <v>89.751456703373435</v>
      </c>
      <c r="DU17" s="62">
        <f t="shared" si="44"/>
        <v>433.35713950666889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18.600000000000001</v>
      </c>
      <c r="EJ17" s="13">
        <f>IF('Données projet'!$A$192&gt;35,EJ16+EI17-ER16,IF(A17&lt;'Données projet'!$A$192,$EG$205^A17,IF(A17='Données projet'!$A$192,'Données projet'!$B$192,EJ16+EI17-ER16)))</f>
        <v>91.6</v>
      </c>
      <c r="EK17" s="18">
        <f>EJ17*VLOOKUP('Données projet'!$B$15,Paramètres!$A$1:$I$89,3,0)*VLOOKUP('Données projet'!$B$15,Paramètres!$A$1:$I$89,5,0)</f>
        <v>54.776799999999994</v>
      </c>
      <c r="EL17" s="14">
        <f t="shared" si="45"/>
        <v>15.840762095818524</v>
      </c>
      <c r="EM17" s="22">
        <f t="shared" si="19"/>
        <v>122.99225398355058</v>
      </c>
      <c r="EN17" s="62">
        <f t="shared" si="20"/>
        <v>335.69820565744288</v>
      </c>
      <c r="EO17" s="62">
        <f ca="1">AVERAGE(OFFSET($EN$3,0,0,'Données projet'!$E$15+1,1))-AVERAGE(OFFSET($H$3,0,0,'Données projet'!$E$15+1,1))</f>
        <v>204.71144247550794</v>
      </c>
      <c r="EP17" s="62">
        <f t="shared" si="46"/>
        <v>409.91012463636184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13.405399364132007</v>
      </c>
      <c r="EY17" s="24">
        <f t="shared" si="21"/>
        <v>13.405399364132007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53.344047426213052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2.8000000000000003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10.266666666666667</v>
      </c>
      <c r="H18" s="70">
        <f t="shared" si="1"/>
        <v>188.90666666666664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6.5</v>
      </c>
      <c r="N18" s="14">
        <f>IF('Données projet'!$A$36&gt;35,N17+M18-V17,IF(A18&lt;'Données projet'!$A$36,$K$205^A18,IF(A18='Données projet'!$A$36,'Données projet'!$B$36,N17+M18-V17)))</f>
        <v>13.964240043768939</v>
      </c>
      <c r="O18" s="14">
        <f>N18*VLOOKUP('Données projet'!$B$9,Paramètres!$A$1:$I$89,3,0)*VLOOKUP('Données projet'!$B$9,Paramètres!$A$1:$I$89,5,0)</f>
        <v>6.5352643404838631</v>
      </c>
      <c r="P18" s="14">
        <f t="shared" si="33"/>
        <v>2.4205752698614362</v>
      </c>
      <c r="Q18" s="22">
        <f t="shared" si="2"/>
        <v>15.598087321351393</v>
      </c>
      <c r="R18" s="62">
        <f t="shared" si="0"/>
        <v>230.58572086421972</v>
      </c>
      <c r="S18" s="62">
        <f ca="1">AVERAGE(OFFSET($R$3,0,0,'Données projet'!$E$9+1,1))-AVERAGE(OFFSET($H$3,0,0,'Données projet'!$E$9+1,1))</f>
        <v>349.50936264852089</v>
      </c>
      <c r="T18" s="62">
        <f t="shared" si="34"/>
        <v>260.52733851266106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13.085579618298853</v>
      </c>
      <c r="AK18" s="14">
        <f t="shared" si="35"/>
        <v>4.4704405938260292</v>
      </c>
      <c r="AL18" s="22">
        <f t="shared" si="4"/>
        <v>30.576735202784167</v>
      </c>
      <c r="AM18" s="62">
        <f t="shared" si="5"/>
        <v>245.5643687456525</v>
      </c>
      <c r="AN18" s="62">
        <f ca="1">AVERAGE(OFFSET($AM$3,0,0,'Données projet'!$E$10+1,1))-AVERAGE(OFFSET($H$3,0,0,'Données projet'!$E$10+1,1))</f>
        <v>447.04988989014134</v>
      </c>
      <c r="AO18" s="62">
        <f t="shared" si="36"/>
        <v>278.04061554501783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14.0921626658603</v>
      </c>
      <c r="BF18" s="14">
        <f t="shared" si="37"/>
        <v>4.7729701057961735</v>
      </c>
      <c r="BG18" s="22">
        <f t="shared" si="7"/>
        <v>32.856772910635023</v>
      </c>
      <c r="BH18" s="62">
        <f t="shared" si="8"/>
        <v>247.84440645350335</v>
      </c>
      <c r="BI18" s="62">
        <f ca="1">AVERAGE(OFFSET($BH$3,0,0,'Données projet'!$E$11+1,1))-AVERAGE(OFFSET($H$3,0,0,'Données projet'!$E$11+1,1))</f>
        <v>475.58735584427552</v>
      </c>
      <c r="BJ18" s="62">
        <f t="shared" si="38"/>
        <v>294.51413339056131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87</v>
      </c>
      <c r="BW18" s="13">
        <f>VLOOKUP(A18,'Données projet'!$A$113:$I$133,9,0)</f>
        <v>5.8</v>
      </c>
      <c r="BX18" s="13">
        <f t="array" ref="BX18">INDEX(BW:BW,MIN(IF(ISNUMBER(BW18:BW214),ROW(BW18:BW214),"")))</f>
        <v>5.8</v>
      </c>
      <c r="BY18" s="13">
        <f>IF('Données projet'!$A$114&gt;35,BY17+BX18-CG17,IF(A18&lt;'Données projet'!$A$114,$BV$205^A18,IF(A18='Données projet'!$A$114,'Données projet'!$B$114,BY17+BX18-CG17)))</f>
        <v>87</v>
      </c>
      <c r="BZ18" s="14">
        <f>BY18*VLOOKUP('Données projet'!$B$12,Paramètres!$A$1:$I$89,3,0)*VLOOKUP('Données projet'!$B$12,Paramètres!$A$1:$I$89,5,0)</f>
        <v>76.003200000000007</v>
      </c>
      <c r="CA18" s="14">
        <f t="shared" si="39"/>
        <v>21.157049992000456</v>
      </c>
      <c r="CB18" s="22">
        <f t="shared" si="10"/>
        <v>169.22076873606747</v>
      </c>
      <c r="CC18" s="62">
        <f t="shared" si="11"/>
        <v>384.20840227893581</v>
      </c>
      <c r="CD18" s="62">
        <f ca="1">AVERAGE(OFFSET($CC$3,0,0,'Données projet'!$E$12+1,1))-AVERAGE(OFFSET($H$3,0,0,'Données projet'!$E$12+1,1))</f>
        <v>344.32696811748974</v>
      </c>
      <c r="CE18" s="62">
        <f t="shared" si="40"/>
        <v>411.51927518440766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21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22.596685284210423</v>
      </c>
      <c r="CV18" s="14">
        <f t="shared" si="41"/>
        <v>7.2441259820371586</v>
      </c>
      <c r="CW18" s="22">
        <f t="shared" si="13"/>
        <v>51.972746288714539</v>
      </c>
      <c r="CX18" s="62">
        <f t="shared" si="14"/>
        <v>266.96037983158288</v>
      </c>
      <c r="CY18" s="62">
        <f ca="1">AVERAGE(OFFSET($CX$3,0,0,'Données projet'!$E$13+1,1))-AVERAGE(OFFSET($H$3,0,0,'Données projet'!$E$13+1,1))</f>
        <v>473.14533251757302</v>
      </c>
      <c r="CZ18" s="62">
        <f t="shared" si="42"/>
        <v>299.82031908667142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18.941176470588236</v>
      </c>
      <c r="DO18" s="13">
        <f>IF('Données projet'!$A$166&gt;35,DO17+DN18-DW17,IF(A18&lt;'Données projet'!$A$166,$DL$205^A18,IF(A18='Données projet'!$A$166,'Données projet'!$B$166,DO17+DN18-DW17)))</f>
        <v>163.23527094834506</v>
      </c>
      <c r="DP18" s="18">
        <f>DO18*VLOOKUP('Données projet'!$B$14,Paramètres!$A$1:$I$89,3,0)*VLOOKUP('Données projet'!$B$14,Paramètres!$A$1:$I$89,5,0)</f>
        <v>93.710104346025943</v>
      </c>
      <c r="DQ18" s="14">
        <f t="shared" si="43"/>
        <v>25.457898279820895</v>
      </c>
      <c r="DR18" s="22">
        <f t="shared" si="16"/>
        <v>207.55093790668323</v>
      </c>
      <c r="DS18" s="62">
        <f t="shared" si="17"/>
        <v>422.53857144955157</v>
      </c>
      <c r="DT18" s="62">
        <f ca="1">AVERAGE(OFFSET($DS$3,0,0,'Données projet'!$E$14+1,1))-AVERAGE(OFFSET($H$3,0,0,'Données projet'!$E$14+1,1))</f>
        <v>89.751456703373435</v>
      </c>
      <c r="DU18" s="62">
        <f t="shared" si="44"/>
        <v>433.35713950666889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18.600000000000001</v>
      </c>
      <c r="EJ18" s="13">
        <f>IF('Données projet'!$A$192&gt;35,EJ17+EI18-ER17,IF(A18&lt;'Données projet'!$A$192,$EG$205^A18,IF(A18='Données projet'!$A$192,'Données projet'!$B$192,EJ17+EI18-ER17)))</f>
        <v>110.19999999999999</v>
      </c>
      <c r="EK18" s="18">
        <f>EJ18*VLOOKUP('Données projet'!$B$15,Paramètres!$A$1:$I$89,3,0)*VLOOKUP('Données projet'!$B$15,Paramètres!$A$1:$I$89,5,0)</f>
        <v>65.899600000000007</v>
      </c>
      <c r="EL18" s="14">
        <f t="shared" si="45"/>
        <v>18.651634138580526</v>
      </c>
      <c r="EM18" s="22">
        <f t="shared" si="19"/>
        <v>147.26006612469442</v>
      </c>
      <c r="EN18" s="62">
        <f t="shared" si="20"/>
        <v>362.24769966756276</v>
      </c>
      <c r="EO18" s="62">
        <f ca="1">AVERAGE(OFFSET($EN$3,0,0,'Données projet'!$E$15+1,1))-AVERAGE(OFFSET($H$3,0,0,'Données projet'!$E$15+1,1))</f>
        <v>204.71144247550794</v>
      </c>
      <c r="EP18" s="62">
        <f t="shared" si="46"/>
        <v>409.91012463636184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9.4790487948915754</v>
      </c>
      <c r="EY18" s="24">
        <f t="shared" si="21"/>
        <v>9.4790487948915754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53.632990966236818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2.8000000000000003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10.266666666666667</v>
      </c>
      <c r="H19" s="70">
        <f t="shared" si="1"/>
        <v>188.90666666666664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6.5</v>
      </c>
      <c r="N19" s="14">
        <f>IF('Données projet'!$A$36&gt;35,N18+M19-V18,IF(A19&lt;'Données projet'!$A$36,$K$205^A19,IF(A19='Données projet'!$A$36,'Données projet'!$B$36,N18+M19-V18)))</f>
        <v>16.647606148649942</v>
      </c>
      <c r="O19" s="14">
        <f>N19*VLOOKUP('Données projet'!$B$9,Paramètres!$A$1:$I$89,3,0)*VLOOKUP('Données projet'!$B$9,Paramètres!$A$1:$I$89,5,0)</f>
        <v>7.791079677568173</v>
      </c>
      <c r="P19" s="14">
        <f t="shared" si="33"/>
        <v>2.8272729930809319</v>
      </c>
      <c r="Q19" s="22">
        <f t="shared" si="2"/>
        <v>18.493630901380524</v>
      </c>
      <c r="R19" s="62">
        <f t="shared" si="0"/>
        <v>235.74456705695067</v>
      </c>
      <c r="S19" s="62">
        <f ca="1">AVERAGE(OFFSET($R$3,0,0,'Données projet'!$E$9+1,1))-AVERAGE(OFFSET($H$3,0,0,'Données projet'!$E$9+1,1))</f>
        <v>349.50936264852089</v>
      </c>
      <c r="T19" s="62">
        <f t="shared" si="34"/>
        <v>260.52733851266106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15.518269798350405</v>
      </c>
      <c r="AK19" s="14">
        <f t="shared" si="35"/>
        <v>5.1973408936737764</v>
      </c>
      <c r="AL19" s="22">
        <f t="shared" si="4"/>
        <v>36.079688621942118</v>
      </c>
      <c r="AM19" s="62">
        <f t="shared" si="5"/>
        <v>253.33062477751227</v>
      </c>
      <c r="AN19" s="62">
        <f ca="1">AVERAGE(OFFSET($AM$3,0,0,'Données projet'!$E$10+1,1))-AVERAGE(OFFSET($H$3,0,0,'Données projet'!$E$10+1,1))</f>
        <v>447.04988989014134</v>
      </c>
      <c r="AO19" s="62">
        <f t="shared" si="36"/>
        <v>278.04061554501783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16.711982859761974</v>
      </c>
      <c r="BF19" s="14">
        <f t="shared" si="37"/>
        <v>5.5490621549465748</v>
      </c>
      <c r="BG19" s="22">
        <f t="shared" si="7"/>
        <v>38.771320067284059</v>
      </c>
      <c r="BH19" s="62">
        <f t="shared" si="8"/>
        <v>256.0222562228542</v>
      </c>
      <c r="BI19" s="62">
        <f ca="1">AVERAGE(OFFSET($BH$3,0,0,'Données projet'!$E$11+1,1))-AVERAGE(OFFSET($H$3,0,0,'Données projet'!$E$11+1,1))</f>
        <v>475.58735584427552</v>
      </c>
      <c r="BJ19" s="62">
        <f t="shared" si="38"/>
        <v>294.51413339056131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14.2</v>
      </c>
      <c r="BY19" s="13">
        <f>IF('Données projet'!$A$114&gt;35,BY18+BX19-CG18,IF(A19&lt;'Données projet'!$A$114,$BV$205^A19,IF(A19='Données projet'!$A$114,'Données projet'!$B$114,BY18+BX19-CG18)))</f>
        <v>80.2</v>
      </c>
      <c r="BZ19" s="14">
        <f>BY19*VLOOKUP('Données projet'!$B$12,Paramètres!$A$1:$I$89,3,0)*VLOOKUP('Données projet'!$B$12,Paramètres!$A$1:$I$89,5,0)</f>
        <v>70.062720000000013</v>
      </c>
      <c r="CA19" s="14">
        <f t="shared" si="39"/>
        <v>19.689032345957123</v>
      </c>
      <c r="CB19" s="22">
        <f t="shared" si="10"/>
        <v>156.31763533587534</v>
      </c>
      <c r="CC19" s="62">
        <f t="shared" si="11"/>
        <v>373.56857149144548</v>
      </c>
      <c r="CD19" s="62">
        <f ca="1">AVERAGE(OFFSET($CC$3,0,0,'Données projet'!$E$12+1,1))-AVERAGE(OFFSET($H$3,0,0,'Données projet'!$E$12+1,1))</f>
        <v>344.32696811748974</v>
      </c>
      <c r="CE19" s="62">
        <f t="shared" si="40"/>
        <v>411.51927518440766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28.003407487093821</v>
      </c>
      <c r="CV19" s="14">
        <f t="shared" si="41"/>
        <v>8.7560372090925433</v>
      </c>
      <c r="CW19" s="22">
        <f t="shared" si="13"/>
        <v>64.022699512524582</v>
      </c>
      <c r="CX19" s="62">
        <f t="shared" si="14"/>
        <v>281.2736356680947</v>
      </c>
      <c r="CY19" s="62">
        <f ca="1">AVERAGE(OFFSET($CX$3,0,0,'Données projet'!$E$13+1,1))-AVERAGE(OFFSET($H$3,0,0,'Données projet'!$E$13+1,1))</f>
        <v>473.14533251757302</v>
      </c>
      <c r="CZ19" s="62">
        <f t="shared" si="42"/>
        <v>299.82031908667142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18.941176470588236</v>
      </c>
      <c r="DO19" s="13">
        <f>IF('Données projet'!$A$166&gt;35,DO18+DN19-DW18,IF(A19&lt;'Données projet'!$A$166,$DL$205^A19,IF(A19='Données projet'!$A$166,'Données projet'!$B$166,DO18+DN19-DW18)))</f>
        <v>229.26351049691073</v>
      </c>
      <c r="DP19" s="18">
        <f>DO19*VLOOKUP('Données projet'!$B$14,Paramètres!$A$1:$I$89,3,0)*VLOOKUP('Données projet'!$B$14,Paramètres!$A$1:$I$89,5,0)</f>
        <v>131.6155961060665</v>
      </c>
      <c r="DQ19" s="14">
        <f t="shared" si="43"/>
        <v>34.369407381694415</v>
      </c>
      <c r="DR19" s="22">
        <f t="shared" si="16"/>
        <v>289.09054774118363</v>
      </c>
      <c r="DS19" s="62">
        <f t="shared" si="17"/>
        <v>506.34148389675374</v>
      </c>
      <c r="DT19" s="62">
        <f ca="1">AVERAGE(OFFSET($DS$3,0,0,'Données projet'!$E$14+1,1))-AVERAGE(OFFSET($H$3,0,0,'Données projet'!$E$14+1,1))</f>
        <v>89.751456703373435</v>
      </c>
      <c r="DU19" s="62">
        <f t="shared" si="44"/>
        <v>433.35713950666889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18.600000000000001</v>
      </c>
      <c r="EJ19" s="13">
        <f>IF('Données projet'!$A$192&gt;35,EJ18+EI19-ER18,IF(A19&lt;'Données projet'!$A$192,$EG$205^A19,IF(A19='Données projet'!$A$192,'Données projet'!$B$192,EJ18+EI19-ER18)))</f>
        <v>128.79999999999998</v>
      </c>
      <c r="EK19" s="18">
        <f>EJ19*VLOOKUP('Données projet'!$B$15,Paramètres!$A$1:$I$89,3,0)*VLOOKUP('Données projet'!$B$15,Paramètres!$A$1:$I$89,5,0)</f>
        <v>77.022400000000005</v>
      </c>
      <c r="EL19" s="14">
        <f t="shared" si="45"/>
        <v>21.407546084466961</v>
      </c>
      <c r="EM19" s="22">
        <f t="shared" si="19"/>
        <v>171.43215609711328</v>
      </c>
      <c r="EN19" s="62">
        <f t="shared" si="20"/>
        <v>388.68309225268342</v>
      </c>
      <c r="EO19" s="62">
        <f ca="1">AVERAGE(OFFSET($EN$3,0,0,'Données projet'!$E$15+1,1))-AVERAGE(OFFSET($H$3,0,0,'Données projet'!$E$15+1,1))</f>
        <v>204.71144247550794</v>
      </c>
      <c r="EP19" s="62">
        <f t="shared" si="46"/>
        <v>409.91012463636184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6.7026996820660045</v>
      </c>
      <c r="EY19" s="24">
        <f t="shared" si="21"/>
        <v>6.7026996820660045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53.916921981822163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2.8000000000000003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10.266666666666667</v>
      </c>
      <c r="H20" s="70">
        <f t="shared" si="1"/>
        <v>188.90666666666664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6.5</v>
      </c>
      <c r="N20" s="14">
        <f>IF('Données projet'!$A$36&gt;35,N19+M20-V19,IF(A20&lt;'Données projet'!$A$36,$K$205^A20,IF(A20='Données projet'!$A$36,'Données projet'!$B$36,N19+M20-V19)))</f>
        <v>19.846607449592845</v>
      </c>
      <c r="O20" s="14">
        <f>N20*VLOOKUP('Données projet'!$B$9,Paramètres!$A$1:$I$89,3,0)*VLOOKUP('Données projet'!$B$9,Paramètres!$A$1:$I$89,5,0)</f>
        <v>9.2882122864094523</v>
      </c>
      <c r="P20" s="14">
        <f t="shared" si="33"/>
        <v>3.3023028355827138</v>
      </c>
      <c r="Q20" s="22">
        <f t="shared" si="2"/>
        <v>21.928480504136356</v>
      </c>
      <c r="R20" s="62">
        <f t="shared" si="0"/>
        <v>241.42465885514056</v>
      </c>
      <c r="S20" s="62">
        <f ca="1">AVERAGE(OFFSET($R$3,0,0,'Données projet'!$E$9+1,1))-AVERAGE(OFFSET($H$3,0,0,'Données projet'!$E$9+1,1))</f>
        <v>349.50936264852089</v>
      </c>
      <c r="T20" s="62">
        <f t="shared" si="34"/>
        <v>260.52733851266106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18.403212128076973</v>
      </c>
      <c r="AK20" s="14">
        <f t="shared" si="35"/>
        <v>6.0424362650875043</v>
      </c>
      <c r="AL20" s="22">
        <f t="shared" si="4"/>
        <v>42.576170951428125</v>
      </c>
      <c r="AM20" s="62">
        <f t="shared" si="5"/>
        <v>262.07234930243231</v>
      </c>
      <c r="AN20" s="62">
        <f ca="1">AVERAGE(OFFSET($AM$3,0,0,'Données projet'!$E$10+1,1))-AVERAGE(OFFSET($H$3,0,0,'Données projet'!$E$10+1,1))</f>
        <v>447.04988989014134</v>
      </c>
      <c r="AO20" s="62">
        <f t="shared" si="36"/>
        <v>278.04061554501783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19.818843830236737</v>
      </c>
      <c r="BF20" s="14">
        <f t="shared" si="37"/>
        <v>6.4513479273769505</v>
      </c>
      <c r="BG20" s="22">
        <f t="shared" si="7"/>
        <v>45.753917311177169</v>
      </c>
      <c r="BH20" s="62">
        <f t="shared" si="8"/>
        <v>265.25009566218137</v>
      </c>
      <c r="BI20" s="62">
        <f ca="1">AVERAGE(OFFSET($BH$3,0,0,'Données projet'!$E$11+1,1))-AVERAGE(OFFSET($H$3,0,0,'Données projet'!$E$11+1,1))</f>
        <v>475.58735584427552</v>
      </c>
      <c r="BJ20" s="62">
        <f t="shared" si="38"/>
        <v>294.51413339056131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14.2</v>
      </c>
      <c r="BY20" s="13">
        <f>IF('Données projet'!$A$114&gt;35,BY19+BX20-CG19,IF(A20&lt;'Données projet'!$A$114,$BV$205^A20,IF(A20='Données projet'!$A$114,'Données projet'!$B$114,BY19+BX20-CG19)))</f>
        <v>94.4</v>
      </c>
      <c r="BZ20" s="14">
        <f>BY20*VLOOKUP('Données projet'!$B$12,Paramètres!$A$1:$I$89,3,0)*VLOOKUP('Données projet'!$B$12,Paramètres!$A$1:$I$89,5,0)</f>
        <v>82.467840000000024</v>
      </c>
      <c r="CA20" s="14">
        <f t="shared" si="39"/>
        <v>22.739512759227473</v>
      </c>
      <c r="CB20" s="22">
        <f t="shared" si="10"/>
        <v>183.23613938898788</v>
      </c>
      <c r="CC20" s="62">
        <f t="shared" si="11"/>
        <v>402.73231773999208</v>
      </c>
      <c r="CD20" s="62">
        <f ca="1">AVERAGE(OFFSET($CC$3,0,0,'Données projet'!$E$12+1,1))-AVERAGE(OFFSET($H$3,0,0,'Données projet'!$E$12+1,1))</f>
        <v>344.32696811748974</v>
      </c>
      <c r="CE20" s="62">
        <f t="shared" si="40"/>
        <v>411.51927518440766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34.703799297332367</v>
      </c>
      <c r="CV20" s="14">
        <f t="shared" si="41"/>
        <v>10.583497277259243</v>
      </c>
      <c r="CW20" s="22">
        <f t="shared" si="13"/>
        <v>78.875374867413711</v>
      </c>
      <c r="CX20" s="62">
        <f t="shared" si="14"/>
        <v>298.37155321841794</v>
      </c>
      <c r="CY20" s="62">
        <f ca="1">AVERAGE(OFFSET($CX$3,0,0,'Données projet'!$E$13+1,1))-AVERAGE(OFFSET($H$3,0,0,'Données projet'!$E$13+1,1))</f>
        <v>473.14533251757302</v>
      </c>
      <c r="CZ20" s="62">
        <f t="shared" si="42"/>
        <v>299.82031908667142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>
        <f>VLOOKUP(A20,'Données projet'!$A$165:$I$185,2,0)</f>
        <v>322</v>
      </c>
      <c r="DM20" s="13">
        <f>VLOOKUP(A20,'Données projet'!$A$165:$I$185,9,0)</f>
        <v>18.941176470588236</v>
      </c>
      <c r="DN20" s="13">
        <f t="array" ref="DN20">INDEX(DM:DM,MIN(IF(ISNUMBER(DM20:DM216),ROW(DM20:DM216),"")))</f>
        <v>18.941176470588236</v>
      </c>
      <c r="DO20" s="13">
        <f>IF('Données projet'!$A$166&gt;35,DO19+DN20-DW19,IF(A20&lt;'Données projet'!$A$166,$DL$205^A20,IF(A20='Données projet'!$A$166,'Données projet'!$B$166,DO19+DN20-DW19)))</f>
        <v>322</v>
      </c>
      <c r="DP20" s="18">
        <f>DO20*VLOOKUP('Données projet'!$B$14,Paramètres!$A$1:$I$89,3,0)*VLOOKUP('Données projet'!$B$14,Paramètres!$A$1:$I$89,5,0)</f>
        <v>184.85375999999999</v>
      </c>
      <c r="DQ20" s="14">
        <f t="shared" si="43"/>
        <v>46.400380376458202</v>
      </c>
      <c r="DR20" s="22">
        <f t="shared" si="16"/>
        <v>402.76762782233135</v>
      </c>
      <c r="DS20" s="62">
        <f t="shared" si="17"/>
        <v>622.26380617333552</v>
      </c>
      <c r="DT20" s="62">
        <f ca="1">AVERAGE(OFFSET($DS$3,0,0,'Données projet'!$E$14+1,1))-AVERAGE(OFFSET($H$3,0,0,'Données projet'!$E$14+1,1))</f>
        <v>89.751456703373435</v>
      </c>
      <c r="DU20" s="62">
        <f t="shared" si="44"/>
        <v>433.35713950666889</v>
      </c>
      <c r="DV20" s="16">
        <f>IF(ISNA(VLOOKUP(A20,'Données projet'!$A$165:$I$185,3,0)),0,VLOOKUP(A20,'Données projet'!$A$165:$I$185,3,0))</f>
        <v>1</v>
      </c>
      <c r="DW20" s="16">
        <f>IF(ISNA(VLOOKUP(A20,'Données projet'!$A$165:$I$185,4,0)),0,VLOOKUP(A20,'Données projet'!$A$165:$I$185,4,0))</f>
        <v>322</v>
      </c>
      <c r="DX20" s="17">
        <f>IF(ISNA(VLOOKUP(A20,'Données projet'!$A$165:$I$185,5,0)),0%,VLOOKUP(A20,'Données projet'!$A$165:$I$185,5,0)*VLOOKUP('Données projet'!$B$14,Paramètres!$A$1:$I$89,7,0))</f>
        <v>0.42</v>
      </c>
      <c r="DY20" s="17">
        <f>IF(ISNA(VLOOKUP(A20,'Données projet'!$A$165:$I$185,6,0)),0%,VLOOKUP(A20,'Données projet'!$A$165:$I$185,6,0)*VLOOKUP('Données projet'!$B$14,Paramètres!$A$1:$I$89,7,0))</f>
        <v>0.126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85.827149614623011</v>
      </c>
      <c r="EB20" s="23">
        <f>EXP(-LN(2)/25)*EB19+(1-EXP(-LN(2)/25))/(LN(2)/25)*Calculateur!DW20*Calculateur!DY20*VLOOKUP('Données projet'!$B$14,Paramètres!$A$1:$I$89,3,0)*0.475*44/12</f>
        <v>25.646764627164714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111.47391424178772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18.600000000000001</v>
      </c>
      <c r="EJ20" s="13">
        <f>IF('Données projet'!$A$192&gt;35,EJ19+EI20-ER19,IF(A20&lt;'Données projet'!$A$192,$EG$205^A20,IF(A20='Données projet'!$A$192,'Données projet'!$B$192,EJ19+EI20-ER19)))</f>
        <v>147.39999999999998</v>
      </c>
      <c r="EK20" s="18">
        <f>EJ20*VLOOKUP('Données projet'!$B$15,Paramètres!$A$1:$I$89,3,0)*VLOOKUP('Données projet'!$B$15,Paramètres!$A$1:$I$89,5,0)</f>
        <v>88.145199999999988</v>
      </c>
      <c r="EL20" s="14">
        <f t="shared" si="45"/>
        <v>24.117351189004136</v>
      </c>
      <c r="EM20" s="22">
        <f t="shared" si="19"/>
        <v>195.52394332084884</v>
      </c>
      <c r="EN20" s="62">
        <f t="shared" si="20"/>
        <v>415.02012167185308</v>
      </c>
      <c r="EO20" s="62">
        <f ca="1">AVERAGE(OFFSET($EN$3,0,0,'Données projet'!$E$15+1,1))-AVERAGE(OFFSET($H$3,0,0,'Données projet'!$E$15+1,1))</f>
        <v>204.71144247550794</v>
      </c>
      <c r="EP20" s="62">
        <f t="shared" si="46"/>
        <v>409.91012463636184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4.7395243974457886</v>
      </c>
      <c r="EY20" s="24">
        <f t="shared" si="21"/>
        <v>4.7395243974457886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54.195927429061754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2.8000000000000003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10.266666666666667</v>
      </c>
      <c r="H21" s="70">
        <f t="shared" si="1"/>
        <v>188.90666666666664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6.5</v>
      </c>
      <c r="N21" s="14">
        <f>IF('Données projet'!$A$36&gt;35,N20+M21-V20,IF(A21&lt;'Données projet'!$A$36,$K$205^A21,IF(A21='Données projet'!$A$36,'Données projet'!$B$36,N20+M21-V20)))</f>
        <v>23.660328322350242</v>
      </c>
      <c r="O21" s="14">
        <f>N21*VLOOKUP('Données projet'!$B$9,Paramètres!$A$1:$I$89,3,0)*VLOOKUP('Données projet'!$B$9,Paramètres!$A$1:$I$89,5,0)</f>
        <v>11.073033654859913</v>
      </c>
      <c r="P21" s="14">
        <f t="shared" si="33"/>
        <v>3.8571457530226052</v>
      </c>
      <c r="Q21" s="22">
        <f t="shared" si="2"/>
        <v>26.003395802062048</v>
      </c>
      <c r="R21" s="62">
        <f t="shared" si="0"/>
        <v>247.72706923909513</v>
      </c>
      <c r="S21" s="62">
        <f ca="1">AVERAGE(OFFSET($R$3,0,0,'Données projet'!$E$9+1,1))-AVERAGE(OFFSET($H$3,0,0,'Données projet'!$E$9+1,1))</f>
        <v>349.50936264852089</v>
      </c>
      <c r="T21" s="62">
        <f t="shared" si="34"/>
        <v>260.52733851266106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21.824483079099512</v>
      </c>
      <c r="AK21" s="14">
        <f t="shared" si="35"/>
        <v>7.0249454027704825</v>
      </c>
      <c r="AL21" s="22">
        <f t="shared" si="4"/>
        <v>50.246087939256903</v>
      </c>
      <c r="AM21" s="62">
        <f t="shared" si="5"/>
        <v>271.96976137628997</v>
      </c>
      <c r="AN21" s="62">
        <f ca="1">AVERAGE(OFFSET($AM$3,0,0,'Données projet'!$E$10+1,1))-AVERAGE(OFFSET($H$3,0,0,'Données projet'!$E$10+1,1))</f>
        <v>447.04988989014134</v>
      </c>
      <c r="AO21" s="62">
        <f t="shared" si="36"/>
        <v>278.04061554501783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23.503289469799469</v>
      </c>
      <c r="BF21" s="14">
        <f t="shared" si="37"/>
        <v>7.5003467104742834</v>
      </c>
      <c r="BG21" s="22">
        <f t="shared" si="7"/>
        <v>53.997999680643453</v>
      </c>
      <c r="BH21" s="62">
        <f t="shared" si="8"/>
        <v>275.72167311767652</v>
      </c>
      <c r="BI21" s="62">
        <f ca="1">AVERAGE(OFFSET($BH$3,0,0,'Données projet'!$E$11+1,1))-AVERAGE(OFFSET($H$3,0,0,'Données projet'!$E$11+1,1))</f>
        <v>475.58735584427552</v>
      </c>
      <c r="BJ21" s="62">
        <f t="shared" si="38"/>
        <v>294.51413339056131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14.2</v>
      </c>
      <c r="BY21" s="13">
        <f>IF('Données projet'!$A$114&gt;35,BY20+BX21-CG20,IF(A21&lt;'Données projet'!$A$114,$BV$205^A21,IF(A21='Données projet'!$A$114,'Données projet'!$B$114,BY20+BX21-CG20)))</f>
        <v>108.60000000000001</v>
      </c>
      <c r="BZ21" s="14">
        <f>BY21*VLOOKUP('Données projet'!$B$12,Paramètres!$A$1:$I$89,3,0)*VLOOKUP('Données projet'!$B$12,Paramètres!$A$1:$I$89,5,0)</f>
        <v>94.87296000000002</v>
      </c>
      <c r="CA21" s="14">
        <f t="shared" si="39"/>
        <v>25.736834760472274</v>
      </c>
      <c r="CB21" s="22">
        <f t="shared" si="10"/>
        <v>210.06205920782259</v>
      </c>
      <c r="CC21" s="62">
        <f t="shared" si="11"/>
        <v>431.78573264485567</v>
      </c>
      <c r="CD21" s="62">
        <f ca="1">AVERAGE(OFFSET($CC$3,0,0,'Données projet'!$E$12+1,1))-AVERAGE(OFFSET($H$3,0,0,'Données projet'!$E$12+1,1))</f>
        <v>344.32696811748974</v>
      </c>
      <c r="CE21" s="62">
        <f t="shared" si="40"/>
        <v>411.51927518440766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43.007397804163212</v>
      </c>
      <c r="CV21" s="14">
        <f t="shared" si="41"/>
        <v>12.792363936215189</v>
      </c>
      <c r="CW21" s="22">
        <f t="shared" si="13"/>
        <v>97.184585031159045</v>
      </c>
      <c r="CX21" s="62">
        <f t="shared" si="14"/>
        <v>318.90825846819212</v>
      </c>
      <c r="CY21" s="62">
        <f ca="1">AVERAGE(OFFSET($CX$3,0,0,'Données projet'!$E$13+1,1))-AVERAGE(OFFSET($H$3,0,0,'Données projet'!$E$13+1,1))</f>
        <v>473.14533251757302</v>
      </c>
      <c r="CZ21" s="62">
        <f t="shared" si="42"/>
        <v>299.82031908667142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>
        <f>DO21*VLOOKUP('Données projet'!$B$14,Paramètres!$A$1:$I$89,3,0)*VLOOKUP('Données projet'!$B$14,Paramètres!$A$1:$I$89,5,0)</f>
        <v>0</v>
      </c>
      <c r="DQ21" s="14" t="e">
        <f t="shared" si="43"/>
        <v>#NUM!</v>
      </c>
      <c r="DR21" s="22" t="e">
        <f t="shared" si="16"/>
        <v>#NUM!</v>
      </c>
      <c r="DS21" s="62" t="e">
        <f t="shared" si="17"/>
        <v>#NUM!</v>
      </c>
      <c r="DT21" s="62">
        <f ca="1">AVERAGE(OFFSET($DS$3,0,0,'Données projet'!$E$14+1,1))-AVERAGE(OFFSET($H$3,0,0,'Données projet'!$E$14+1,1))</f>
        <v>89.751456703373435</v>
      </c>
      <c r="DU21" s="62">
        <f t="shared" si="44"/>
        <v>433.35713950666889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84.144131560072452</v>
      </c>
      <c r="EB21" s="23">
        <f>EXP(-LN(2)/25)*EB20+(1-EXP(-LN(2)/25))/(LN(2)/25)*Calculateur!DW21*Calculateur!DY21*VLOOKUP('Données projet'!$B$14,Paramètres!$A$1:$I$89,3,0)*0.475*44/12</f>
        <v>24.945452499730159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109.0895840598026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>
        <f>VLOOKUP(A21,'Données projet'!$A$191:$I$211,2,0)</f>
        <v>166</v>
      </c>
      <c r="EH21" s="13">
        <f>VLOOKUP(A21,'Données projet'!$A$191:$I$211,9,0)</f>
        <v>18.600000000000001</v>
      </c>
      <c r="EI21" s="13">
        <f t="array" ref="EI21">INDEX(EH:EH,MIN(IF(ISNUMBER(EH21:EH217),ROW(EH21:EH217),"")))</f>
        <v>18.600000000000001</v>
      </c>
      <c r="EJ21" s="13">
        <f>IF('Données projet'!$A$192&gt;35,EJ20+EI21-ER20,IF(A21&lt;'Données projet'!$A$192,$EG$205^A21,IF(A21='Données projet'!$A$192,'Données projet'!$B$192,EJ20+EI21-ER20)))</f>
        <v>165.99999999999997</v>
      </c>
      <c r="EK21" s="18">
        <f>EJ21*VLOOKUP('Données projet'!$B$15,Paramètres!$A$1:$I$89,3,0)*VLOOKUP('Données projet'!$B$15,Paramètres!$A$1:$I$89,5,0)</f>
        <v>99.267999999999986</v>
      </c>
      <c r="EL21" s="14">
        <f t="shared" si="45"/>
        <v>26.78753414535981</v>
      </c>
      <c r="EM21" s="22">
        <f t="shared" si="19"/>
        <v>219.54672196983498</v>
      </c>
      <c r="EN21" s="62">
        <f t="shared" si="20"/>
        <v>441.27039540686803</v>
      </c>
      <c r="EO21" s="62">
        <f ca="1">AVERAGE(OFFSET($EN$3,0,0,'Données projet'!$E$15+1,1))-AVERAGE(OFFSET($H$3,0,0,'Données projet'!$E$15+1,1))</f>
        <v>204.71144247550794</v>
      </c>
      <c r="EP21" s="62">
        <f t="shared" si="46"/>
        <v>409.91012463636184</v>
      </c>
      <c r="EQ21" s="16">
        <f>IF(ISNA(VLOOKUP(A21,'Données projet'!$A$191:$I$211,3,0)),0,VLOOKUP(A21,'Données projet'!$A$191:$I$211,3,0))</f>
        <v>2</v>
      </c>
      <c r="ER21" s="16">
        <f>IF(ISNA(VLOOKUP(A21,'Données projet'!$A$191:$I$211,4,0)),0,VLOOKUP(A21,'Données projet'!$A$191:$I$211,4,0))</f>
        <v>40</v>
      </c>
      <c r="ES21" s="17">
        <f>IF(ISNA(VLOOKUP(A21,'Données projet'!$A$191:$I$211,5,0)),0%,VLOOKUP(A21,'Données projet'!$A$191:$I$211,5,0)*VLOOKUP('Données projet'!$B$15,Paramètres!$A$1:$I$89,7,0))</f>
        <v>0.1125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0.75</v>
      </c>
      <c r="EV21" s="23">
        <f>EXP(-LN(2)/35)*EV20+(1-EXP(-LN(2)/35))/(LN(2)/35)*ER21*ES21*VLOOKUP('Données projet'!$B$15,Paramètres!$A$1:$I$89,3,0)*0.475*44/12</f>
        <v>3.5697849495878025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23.663597258657802</v>
      </c>
      <c r="EY21" s="24">
        <f t="shared" si="21"/>
        <v>27.233382208245605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54.470092755554475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2.8000000000000003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10.266666666666667</v>
      </c>
      <c r="H22" s="70">
        <f t="shared" si="1"/>
        <v>188.90666666666664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6.5</v>
      </c>
      <c r="N22" s="14">
        <f>IF('Données projet'!$A$36&gt;35,N21+M22-V21,IF(A22&lt;'Données projet'!$A$36,$K$205^A22,IF(A22='Données projet'!$A$36,'Données projet'!$B$36,N21+M22-V21)))</f>
        <v>28.206893180269638</v>
      </c>
      <c r="O22" s="14">
        <f>N22*VLOOKUP('Données projet'!$B$9,Paramètres!$A$1:$I$89,3,0)*VLOOKUP('Données projet'!$B$9,Paramètres!$A$1:$I$89,5,0)</f>
        <v>13.200826008366192</v>
      </c>
      <c r="P22" s="14">
        <f t="shared" si="33"/>
        <v>4.5052116964418483</v>
      </c>
      <c r="Q22" s="22">
        <f t="shared" si="2"/>
        <v>30.838015669207337</v>
      </c>
      <c r="R22" s="62">
        <f t="shared" si="0"/>
        <v>254.77174495553567</v>
      </c>
      <c r="S22" s="62">
        <f ca="1">AVERAGE(OFFSET($R$3,0,0,'Données projet'!$E$9+1,1))-AVERAGE(OFFSET($H$3,0,0,'Données projet'!$E$9+1,1))</f>
        <v>349.50936264852089</v>
      </c>
      <c r="T22" s="62">
        <f t="shared" si="34"/>
        <v>260.52733851266106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25.881789459092229</v>
      </c>
      <c r="AK22" s="14">
        <f t="shared" si="35"/>
        <v>8.1672119898134259</v>
      </c>
      <c r="AL22" s="22">
        <f t="shared" si="4"/>
        <v>59.302010856844014</v>
      </c>
      <c r="AM22" s="62">
        <f t="shared" si="5"/>
        <v>283.23574014317234</v>
      </c>
      <c r="AN22" s="62">
        <f ca="1">AVERAGE(OFFSET($AM$3,0,0,'Données projet'!$E$10+1,1))-AVERAGE(OFFSET($H$3,0,0,'Données projet'!$E$10+1,1))</f>
        <v>447.04988989014134</v>
      </c>
      <c r="AO22" s="62">
        <f t="shared" si="36"/>
        <v>278.04061554501783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27.872696340560861</v>
      </c>
      <c r="BF22" s="14">
        <f t="shared" si="37"/>
        <v>8.7199142583207703</v>
      </c>
      <c r="BG22" s="22">
        <f t="shared" si="7"/>
        <v>63.732130126385506</v>
      </c>
      <c r="BH22" s="62">
        <f t="shared" si="8"/>
        <v>287.66585941271387</v>
      </c>
      <c r="BI22" s="62">
        <f ca="1">AVERAGE(OFFSET($BH$3,0,0,'Données projet'!$E$11+1,1))-AVERAGE(OFFSET($H$3,0,0,'Données projet'!$E$11+1,1))</f>
        <v>475.58735584427552</v>
      </c>
      <c r="BJ22" s="62">
        <f t="shared" si="38"/>
        <v>294.51413339056131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14.2</v>
      </c>
      <c r="BY22" s="13">
        <f>IF('Données projet'!$A$114&gt;35,BY21+BX22-CG21,IF(A22&lt;'Données projet'!$A$114,$BV$205^A22,IF(A22='Données projet'!$A$114,'Données projet'!$B$114,BY21+BX22-CG21)))</f>
        <v>122.80000000000001</v>
      </c>
      <c r="BZ22" s="14">
        <f>BY22*VLOOKUP('Données projet'!$B$12,Paramètres!$A$1:$I$89,3,0)*VLOOKUP('Données projet'!$B$12,Paramètres!$A$1:$I$89,5,0)</f>
        <v>107.27808000000003</v>
      </c>
      <c r="CA22" s="14">
        <f t="shared" si="39"/>
        <v>28.688746800886673</v>
      </c>
      <c r="CB22" s="22">
        <f t="shared" si="10"/>
        <v>236.80889001154432</v>
      </c>
      <c r="CC22" s="62">
        <f t="shared" si="11"/>
        <v>460.74261929787269</v>
      </c>
      <c r="CD22" s="62">
        <f ca="1">AVERAGE(OFFSET($CC$3,0,0,'Données projet'!$E$12+1,1))-AVERAGE(OFFSET($H$3,0,0,'Données projet'!$E$12+1,1))</f>
        <v>344.32696811748974</v>
      </c>
      <c r="CE22" s="62">
        <f t="shared" si="40"/>
        <v>411.51927518440766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53.297803218557732</v>
      </c>
      <c r="CV22" s="14">
        <f t="shared" si="41"/>
        <v>15.462240012873817</v>
      </c>
      <c r="CW22" s="22">
        <f t="shared" si="13"/>
        <v>119.75707529474329</v>
      </c>
      <c r="CX22" s="62">
        <f t="shared" si="14"/>
        <v>343.69080458107163</v>
      </c>
      <c r="CY22" s="62">
        <f ca="1">AVERAGE(OFFSET($CX$3,0,0,'Données projet'!$E$13+1,1))-AVERAGE(OFFSET($H$3,0,0,'Données projet'!$E$13+1,1))</f>
        <v>473.14533251757302</v>
      </c>
      <c r="CZ22" s="62">
        <f t="shared" si="42"/>
        <v>299.82031908667142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>
        <f>DO22*VLOOKUP('Données projet'!$B$14,Paramètres!$A$1:$I$89,3,0)*VLOOKUP('Données projet'!$B$14,Paramètres!$A$1:$I$89,5,0)</f>
        <v>0</v>
      </c>
      <c r="DQ22" s="14" t="e">
        <f t="shared" si="43"/>
        <v>#NUM!</v>
      </c>
      <c r="DR22" s="22" t="e">
        <f t="shared" si="16"/>
        <v>#NUM!</v>
      </c>
      <c r="DS22" s="62" t="e">
        <f t="shared" si="17"/>
        <v>#NUM!</v>
      </c>
      <c r="DT22" s="62">
        <f ca="1">AVERAGE(OFFSET($DS$3,0,0,'Données projet'!$E$14+1,1))-AVERAGE(OFFSET($H$3,0,0,'Données projet'!$E$14+1,1))</f>
        <v>89.751456703373435</v>
      </c>
      <c r="DU22" s="62">
        <f t="shared" si="44"/>
        <v>433.35713950666889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82.494116463031972</v>
      </c>
      <c r="EB22" s="23">
        <f>EXP(-LN(2)/25)*EB21+(1-EXP(-LN(2)/25))/(LN(2)/25)*Calculateur!DW22*Calculateur!DY22*VLOOKUP('Données projet'!$B$14,Paramètres!$A$1:$I$89,3,0)*0.475*44/12</f>
        <v>24.263317789300704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106.75743425233267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17.8</v>
      </c>
      <c r="EJ22" s="13">
        <f>IF('Données projet'!$A$192&gt;35,EJ21+EI22-ER21,IF(A22&lt;'Données projet'!$A$192,$EG$205^A22,IF(A22='Données projet'!$A$192,'Données projet'!$B$192,EJ21+EI22-ER21)))</f>
        <v>143.79999999999998</v>
      </c>
      <c r="EK22" s="18">
        <f>EJ22*VLOOKUP('Données projet'!$B$15,Paramètres!$A$1:$I$89,3,0)*VLOOKUP('Données projet'!$B$15,Paramètres!$A$1:$I$89,5,0)</f>
        <v>85.992400000000004</v>
      </c>
      <c r="EL22" s="14">
        <f t="shared" si="45"/>
        <v>23.596141005324462</v>
      </c>
      <c r="EM22" s="22">
        <f t="shared" si="19"/>
        <v>190.86670891760676</v>
      </c>
      <c r="EN22" s="62">
        <f t="shared" si="20"/>
        <v>414.80043820393507</v>
      </c>
      <c r="EO22" s="62">
        <f ca="1">AVERAGE(OFFSET($EN$3,0,0,'Données projet'!$E$15+1,1))-AVERAGE(OFFSET($H$3,0,0,'Données projet'!$E$15+1,1))</f>
        <v>204.71144247550794</v>
      </c>
      <c r="EP22" s="62">
        <f t="shared" si="46"/>
        <v>409.91012463636184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3.499783644080209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16.732690088864331</v>
      </c>
      <c r="EY22" s="24">
        <f t="shared" si="21"/>
        <v>20.232473732944541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54.739501926574391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2.8000000000000003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10.266666666666667</v>
      </c>
      <c r="H23" s="70">
        <f t="shared" si="1"/>
        <v>188.90666666666664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6.5</v>
      </c>
      <c r="N23" s="14">
        <f>IF('Données projet'!$A$36&gt;35,N22+M23-V22,IF(A23&lt;'Données projet'!$A$36,$K$205^A23,IF(A23='Données projet'!$A$36,'Données projet'!$B$36,N22+M23-V22)))</f>
        <v>33.627125204833582</v>
      </c>
      <c r="O23" s="14">
        <f>N23*VLOOKUP('Données projet'!$B$9,Paramètres!$A$1:$I$89,3,0)*VLOOKUP('Données projet'!$B$9,Paramètres!$A$1:$I$89,5,0)</f>
        <v>15.737494595862117</v>
      </c>
      <c r="P23" s="14">
        <f t="shared" si="33"/>
        <v>5.2621637162274721</v>
      </c>
      <c r="Q23" s="22">
        <f t="shared" si="2"/>
        <v>36.574404893556029</v>
      </c>
      <c r="R23" s="62">
        <f t="shared" si="0"/>
        <v>262.70105332421502</v>
      </c>
      <c r="S23" s="62">
        <f ca="1">AVERAGE(OFFSET($R$3,0,0,'Données projet'!$E$9+1,1))-AVERAGE(OFFSET($H$3,0,0,'Données projet'!$E$9+1,1))</f>
        <v>349.50936264852089</v>
      </c>
      <c r="T23" s="62">
        <f t="shared" si="34"/>
        <v>260.52733851266106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30.693374187922199</v>
      </c>
      <c r="AK23" s="14">
        <f t="shared" si="35"/>
        <v>9.4952128254613779</v>
      </c>
      <c r="AL23" s="22">
        <f t="shared" si="4"/>
        <v>69.995122381643057</v>
      </c>
      <c r="AM23" s="62">
        <f t="shared" si="5"/>
        <v>296.12177081230203</v>
      </c>
      <c r="AN23" s="62">
        <f ca="1">AVERAGE(OFFSET($AM$3,0,0,'Données projet'!$E$10+1,1))-AVERAGE(OFFSET($H$3,0,0,'Données projet'!$E$10+1,1))</f>
        <v>447.04988989014134</v>
      </c>
      <c r="AO23" s="62">
        <f t="shared" si="36"/>
        <v>278.04061554501783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33.054402971608518</v>
      </c>
      <c r="BF23" s="14">
        <f t="shared" si="37"/>
        <v>10.137785306148562</v>
      </c>
      <c r="BG23" s="22">
        <f t="shared" si="7"/>
        <v>75.226394583760239</v>
      </c>
      <c r="BH23" s="62">
        <f t="shared" si="8"/>
        <v>301.3530430144192</v>
      </c>
      <c r="BI23" s="62">
        <f ca="1">AVERAGE(OFFSET($BH$3,0,0,'Données projet'!$E$11+1,1))-AVERAGE(OFFSET($H$3,0,0,'Données projet'!$E$11+1,1))</f>
        <v>475.58735584427552</v>
      </c>
      <c r="BJ23" s="62">
        <f t="shared" si="38"/>
        <v>294.51413339056131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137</v>
      </c>
      <c r="BW23" s="13">
        <f>VLOOKUP(A23,'Données projet'!$A$113:$I$133,9,0)</f>
        <v>14.2</v>
      </c>
      <c r="BX23" s="13">
        <f t="array" ref="BX23">INDEX(BW:BW,MIN(IF(ISNUMBER(BW23:BW219),ROW(BW23:BW219),"")))</f>
        <v>14.2</v>
      </c>
      <c r="BY23" s="13">
        <f>IF('Données projet'!$A$114&gt;35,BY22+BX23-CG22,IF(A23&lt;'Données projet'!$A$114,$BV$205^A23,IF(A23='Données projet'!$A$114,'Données projet'!$B$114,BY22+BX23-CG22)))</f>
        <v>137</v>
      </c>
      <c r="BZ23" s="14">
        <f>BY23*VLOOKUP('Données projet'!$B$12,Paramètres!$A$1:$I$89,3,0)*VLOOKUP('Données projet'!$B$12,Paramètres!$A$1:$I$89,5,0)</f>
        <v>119.68320000000003</v>
      </c>
      <c r="CA23" s="14">
        <f t="shared" si="39"/>
        <v>31.601099532596194</v>
      </c>
      <c r="CB23" s="22">
        <f t="shared" si="10"/>
        <v>263.48682168593842</v>
      </c>
      <c r="CC23" s="62">
        <f t="shared" si="11"/>
        <v>489.6134701165974</v>
      </c>
      <c r="CD23" s="62">
        <f ca="1">AVERAGE(OFFSET($CC$3,0,0,'Données projet'!$E$12+1,1))-AVERAGE(OFFSET($H$3,0,0,'Données projet'!$E$12+1,1))</f>
        <v>344.32696811748974</v>
      </c>
      <c r="CE23" s="62">
        <f t="shared" si="40"/>
        <v>411.51927518440766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43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66.050399999999996</v>
      </c>
      <c r="CV23" s="14">
        <f t="shared" si="41"/>
        <v>18.689342126897891</v>
      </c>
      <c r="CW23" s="22">
        <f t="shared" si="13"/>
        <v>147.58838420434714</v>
      </c>
      <c r="CX23" s="62">
        <f t="shared" si="14"/>
        <v>373.71503263500608</v>
      </c>
      <c r="CY23" s="62">
        <f ca="1">AVERAGE(OFFSET($CX$3,0,0,'Données projet'!$E$13+1,1))-AVERAGE(OFFSET($H$3,0,0,'Données projet'!$E$13+1,1))</f>
        <v>473.14533251757302</v>
      </c>
      <c r="CZ23" s="62">
        <f t="shared" si="42"/>
        <v>299.82031908667142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>
        <f>DO23*VLOOKUP('Données projet'!$B$14,Paramètres!$A$1:$I$89,3,0)*VLOOKUP('Données projet'!$B$14,Paramètres!$A$1:$I$89,5,0)</f>
        <v>0</v>
      </c>
      <c r="DQ23" s="14" t="e">
        <f t="shared" si="43"/>
        <v>#NUM!</v>
      </c>
      <c r="DR23" s="22" t="e">
        <f t="shared" si="16"/>
        <v>#NUM!</v>
      </c>
      <c r="DS23" s="62" t="e">
        <f t="shared" si="17"/>
        <v>#NUM!</v>
      </c>
      <c r="DT23" s="62">
        <f ca="1">AVERAGE(OFFSET($DS$3,0,0,'Données projet'!$E$14+1,1))-AVERAGE(OFFSET($H$3,0,0,'Données projet'!$E$14+1,1))</f>
        <v>89.751456703373435</v>
      </c>
      <c r="DU23" s="62">
        <f t="shared" si="44"/>
        <v>433.35713950666889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80.876457155634625</v>
      </c>
      <c r="EB23" s="23">
        <f>EXP(-LN(2)/25)*EB22+(1-EXP(-LN(2)/25))/(LN(2)/25)*Calculateur!DW23*Calculateur!DY23*VLOOKUP('Données projet'!$B$14,Paramètres!$A$1:$I$89,3,0)*0.475*44/12</f>
        <v>23.599836088399847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104.47629324403448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17.8</v>
      </c>
      <c r="EJ23" s="13">
        <f>IF('Données projet'!$A$192&gt;35,EJ22+EI23-ER22,IF(A23&lt;'Données projet'!$A$192,$EG$205^A23,IF(A23='Données projet'!$A$192,'Données projet'!$B$192,EJ22+EI23-ER22)))</f>
        <v>161.6</v>
      </c>
      <c r="EK23" s="18">
        <f>EJ23*VLOOKUP('Données projet'!$B$15,Paramètres!$A$1:$I$89,3,0)*VLOOKUP('Données projet'!$B$15,Paramètres!$A$1:$I$89,5,0)</f>
        <v>96.636800000000008</v>
      </c>
      <c r="EL23" s="14">
        <f t="shared" si="45"/>
        <v>26.159173215164081</v>
      </c>
      <c r="EM23" s="22">
        <f t="shared" si="19"/>
        <v>213.86965334974411</v>
      </c>
      <c r="EN23" s="62">
        <f t="shared" si="20"/>
        <v>439.99630178040309</v>
      </c>
      <c r="EO23" s="62">
        <f ca="1">AVERAGE(OFFSET($EN$3,0,0,'Données projet'!$E$15+1,1))-AVERAGE(OFFSET($H$3,0,0,'Données projet'!$E$15+1,1))</f>
        <v>204.71144247550794</v>
      </c>
      <c r="EP23" s="62">
        <f t="shared" si="46"/>
        <v>409.91012463636184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3.4311550214770392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11.831798629328903</v>
      </c>
      <c r="EY23" s="24">
        <f t="shared" si="21"/>
        <v>15.262953650805942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55.00423745078578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2.8000000000000003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10.266666666666667</v>
      </c>
      <c r="H24" s="70">
        <f t="shared" si="1"/>
        <v>188.90666666666664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40.088908137267765</v>
      </c>
      <c r="O24" s="14">
        <f>N24*VLOOKUP('Données projet'!$B$9,Paramètres!$A$1:$I$89,3,0)*VLOOKUP('Données projet'!$B$9,Paramètres!$A$1:$I$89,5,0)</f>
        <v>18.761609008241315</v>
      </c>
      <c r="P24" s="14">
        <f t="shared" si="33"/>
        <v>6.1462965210381464</v>
      </c>
      <c r="Q24" s="22">
        <f t="shared" si="2"/>
        <v>43.381268796828387</v>
      </c>
      <c r="R24" s="62">
        <f t="shared" si="0"/>
        <v>271.68399695037266</v>
      </c>
      <c r="S24" s="62">
        <f ca="1">AVERAGE(OFFSET($R$3,0,0,'Données projet'!$E$9+1,1))-AVERAGE(OFFSET($H$3,0,0,'Données projet'!$E$9+1,1))</f>
        <v>349.50936264852089</v>
      </c>
      <c r="T24" s="62">
        <f t="shared" si="34"/>
        <v>260.52733851266106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36.399462275544337</v>
      </c>
      <c r="AK24" s="14">
        <f t="shared" si="35"/>
        <v>11.039148575212362</v>
      </c>
      <c r="AL24" s="22">
        <f t="shared" si="4"/>
        <v>82.62224723173459</v>
      </c>
      <c r="AM24" s="62">
        <f t="shared" si="5"/>
        <v>310.92497538527886</v>
      </c>
      <c r="AN24" s="62">
        <f ca="1">AVERAGE(OFFSET($AM$3,0,0,'Données projet'!$E$10+1,1))-AVERAGE(OFFSET($H$3,0,0,'Données projet'!$E$10+1,1))</f>
        <v>447.04988989014134</v>
      </c>
      <c r="AO24" s="62">
        <f t="shared" si="36"/>
        <v>278.04061554501783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39.199420912124666</v>
      </c>
      <c r="BF24" s="14">
        <f t="shared" si="37"/>
        <v>11.786204298452976</v>
      </c>
      <c r="BG24" s="22">
        <f t="shared" si="7"/>
        <v>88.799963908422725</v>
      </c>
      <c r="BH24" s="62">
        <f t="shared" si="8"/>
        <v>317.10269206196699</v>
      </c>
      <c r="BI24" s="62">
        <f ca="1">AVERAGE(OFFSET($BH$3,0,0,'Données projet'!$E$11+1,1))-AVERAGE(OFFSET($H$3,0,0,'Données projet'!$E$11+1,1))</f>
        <v>475.58735584427552</v>
      </c>
      <c r="BJ24" s="62">
        <f t="shared" si="38"/>
        <v>294.51413339056131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13.8</v>
      </c>
      <c r="BY24" s="13">
        <f>IF('Données projet'!$A$114&gt;35,BY23+BX24-CG23,IF(A24&lt;'Données projet'!$A$114,$BV$205^A24,IF(A24='Données projet'!$A$114,'Données projet'!$B$114,BY23+BX24-CG23)))</f>
        <v>107.80000000000001</v>
      </c>
      <c r="BZ24" s="14">
        <f>BY24*VLOOKUP('Données projet'!$B$12,Paramètres!$A$1:$I$89,3,0)*VLOOKUP('Données projet'!$B$12,Paramètres!$A$1:$I$89,5,0)</f>
        <v>94.174080000000018</v>
      </c>
      <c r="CA24" s="14">
        <f t="shared" si="39"/>
        <v>25.569241067746205</v>
      </c>
      <c r="CB24" s="22">
        <f t="shared" si="10"/>
        <v>208.55295085965801</v>
      </c>
      <c r="CC24" s="62">
        <f t="shared" si="11"/>
        <v>436.85567901320229</v>
      </c>
      <c r="CD24" s="62">
        <f ca="1">AVERAGE(OFFSET($CC$3,0,0,'Données projet'!$E$12+1,1))-AVERAGE(OFFSET($H$3,0,0,'Données projet'!$E$12+1,1))</f>
        <v>344.32696811748974</v>
      </c>
      <c r="CE24" s="62">
        <f t="shared" si="40"/>
        <v>411.51927518440766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74.2</v>
      </c>
      <c r="CU24" s="18">
        <f>CT24*VLOOKUP('Données projet'!$B$13,Paramètres!$A$1:$I$89,3,0)*VLOOKUP('Données projet'!$B$13,Paramètres!$A$1:$I$89,5,0)</f>
        <v>67.136160000000004</v>
      </c>
      <c r="CV24" s="14">
        <f t="shared" si="41"/>
        <v>18.960545405756019</v>
      </c>
      <c r="CW24" s="22">
        <f t="shared" si="13"/>
        <v>149.95176191502506</v>
      </c>
      <c r="CX24" s="62">
        <f t="shared" si="14"/>
        <v>378.25449006856934</v>
      </c>
      <c r="CY24" s="62">
        <f ca="1">AVERAGE(OFFSET($CX$3,0,0,'Données projet'!$E$13+1,1))-AVERAGE(OFFSET($H$3,0,0,'Données projet'!$E$13+1,1))</f>
        <v>473.14533251757302</v>
      </c>
      <c r="CZ24" s="62">
        <f t="shared" si="42"/>
        <v>299.82031908667142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>
        <f>DO24*VLOOKUP('Données projet'!$B$14,Paramètres!$A$1:$I$89,3,0)*VLOOKUP('Données projet'!$B$14,Paramètres!$A$1:$I$89,5,0)</f>
        <v>0</v>
      </c>
      <c r="DQ24" s="14" t="e">
        <f t="shared" si="43"/>
        <v>#NUM!</v>
      </c>
      <c r="DR24" s="22" t="e">
        <f t="shared" si="16"/>
        <v>#NUM!</v>
      </c>
      <c r="DS24" s="62" t="e">
        <f t="shared" si="17"/>
        <v>#NUM!</v>
      </c>
      <c r="DT24" s="62">
        <f ca="1">AVERAGE(OFFSET($DS$3,0,0,'Données projet'!$E$14+1,1))-AVERAGE(OFFSET($H$3,0,0,'Données projet'!$E$14+1,1))</f>
        <v>89.751456703373435</v>
      </c>
      <c r="DU24" s="62">
        <f t="shared" si="44"/>
        <v>433.35713950666889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79.290519160580587</v>
      </c>
      <c r="EB24" s="23">
        <f>EXP(-LN(2)/25)*EB23+(1-EXP(-LN(2)/25))/(LN(2)/25)*Calculateur!DW24*Calculateur!DY24*VLOOKUP('Données projet'!$B$14,Paramètres!$A$1:$I$89,3,0)*0.475*44/12</f>
        <v>22.954497329501113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102.2450164900817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17.8</v>
      </c>
      <c r="EJ24" s="13">
        <f>IF('Données projet'!$A$192&gt;35,EJ23+EI24-ER23,IF(A24&lt;'Données projet'!$A$192,$EG$205^A24,IF(A24='Données projet'!$A$192,'Données projet'!$B$192,EJ23+EI24-ER23)))</f>
        <v>179.4</v>
      </c>
      <c r="EK24" s="18">
        <f>EJ24*VLOOKUP('Données projet'!$B$15,Paramètres!$A$1:$I$89,3,0)*VLOOKUP('Données projet'!$B$15,Paramètres!$A$1:$I$89,5,0)</f>
        <v>107.2812</v>
      </c>
      <c r="EL24" s="14">
        <f t="shared" si="45"/>
        <v>28.68948404302737</v>
      </c>
      <c r="EM24" s="22">
        <f t="shared" si="19"/>
        <v>236.81560804160597</v>
      </c>
      <c r="EN24" s="62">
        <f t="shared" si="20"/>
        <v>465.11833619515028</v>
      </c>
      <c r="EO24" s="62">
        <f ca="1">AVERAGE(OFFSET($EN$3,0,0,'Données projet'!$E$15+1,1))-AVERAGE(OFFSET($H$3,0,0,'Données projet'!$E$15+1,1))</f>
        <v>204.71144247550794</v>
      </c>
      <c r="EP24" s="62">
        <f t="shared" si="46"/>
        <v>409.91012463636184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3.3638721643037908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8.3663450444321654</v>
      </c>
      <c r="EY24" s="24">
        <f t="shared" si="21"/>
        <v>11.730217208735956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55.264380405512071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2.8000000000000003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10.266666666666667</v>
      </c>
      <c r="H25" s="70">
        <f t="shared" si="1"/>
        <v>188.90666666666664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47.792386231317963</v>
      </c>
      <c r="O25" s="14">
        <f>N25*VLOOKUP('Données projet'!$B$9,Paramètres!$A$1:$I$89,3,0)*VLOOKUP('Données projet'!$B$9,Paramètres!$A$1:$I$89,5,0)</f>
        <v>22.366836756256806</v>
      </c>
      <c r="P25" s="14">
        <f t="shared" si="33"/>
        <v>7.178978641053865</v>
      </c>
      <c r="Q25" s="22">
        <f t="shared" si="2"/>
        <v>51.458961816982743</v>
      </c>
      <c r="R25" s="62">
        <f t="shared" si="0"/>
        <v>281.92122239828171</v>
      </c>
      <c r="S25" s="62">
        <f ca="1">AVERAGE(OFFSET($R$3,0,0,'Données projet'!$E$9+1,1))-AVERAGE(OFFSET($H$3,0,0,'Données projet'!$E$9+1,1))</f>
        <v>349.50936264852089</v>
      </c>
      <c r="T25" s="62">
        <f t="shared" si="34"/>
        <v>260.52733851266106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43.166347428499073</v>
      </c>
      <c r="AK25" s="14">
        <f t="shared" si="35"/>
        <v>12.83413057776214</v>
      </c>
      <c r="AL25" s="22">
        <f t="shared" si="4"/>
        <v>97.534165860904935</v>
      </c>
      <c r="AM25" s="62">
        <f t="shared" si="5"/>
        <v>327.99642644220393</v>
      </c>
      <c r="AN25" s="62">
        <f ca="1">AVERAGE(OFFSET($AM$3,0,0,'Données projet'!$E$10+1,1))-AVERAGE(OFFSET($H$3,0,0,'Données projet'!$E$10+1,1))</f>
        <v>447.04988989014134</v>
      </c>
      <c r="AO25" s="62">
        <f t="shared" si="36"/>
        <v>278.04061554501783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46.486835692229768</v>
      </c>
      <c r="BF25" s="14">
        <f t="shared" si="37"/>
        <v>13.702658674436499</v>
      </c>
      <c r="BG25" s="22">
        <f t="shared" si="7"/>
        <v>104.83003602194374</v>
      </c>
      <c r="BH25" s="62">
        <f t="shared" si="8"/>
        <v>335.29229660324273</v>
      </c>
      <c r="BI25" s="62">
        <f ca="1">AVERAGE(OFFSET($BH$3,0,0,'Données projet'!$E$11+1,1))-AVERAGE(OFFSET($H$3,0,0,'Données projet'!$E$11+1,1))</f>
        <v>475.58735584427552</v>
      </c>
      <c r="BJ25" s="62">
        <f t="shared" si="38"/>
        <v>294.51413339056131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13.8</v>
      </c>
      <c r="BY25" s="13">
        <f>IF('Données projet'!$A$114&gt;35,BY24+BX25-CG24,IF(A25&lt;'Données projet'!$A$114,$BV$205^A25,IF(A25='Données projet'!$A$114,'Données projet'!$B$114,BY24+BX25-CG24)))</f>
        <v>121.60000000000001</v>
      </c>
      <c r="BZ25" s="14">
        <f>BY25*VLOOKUP('Données projet'!$B$12,Paramètres!$A$1:$I$89,3,0)*VLOOKUP('Données projet'!$B$12,Paramètres!$A$1:$I$89,5,0)</f>
        <v>106.22976000000003</v>
      </c>
      <c r="CA25" s="14">
        <f t="shared" si="39"/>
        <v>28.440891625171492</v>
      </c>
      <c r="CB25" s="22">
        <f t="shared" si="10"/>
        <v>234.55138491384039</v>
      </c>
      <c r="CC25" s="62">
        <f t="shared" si="11"/>
        <v>465.01364549513937</v>
      </c>
      <c r="CD25" s="62">
        <f ca="1">AVERAGE(OFFSET($CC$3,0,0,'Données projet'!$E$12+1,1))-AVERAGE(OFFSET($H$3,0,0,'Données projet'!$E$12+1,1))</f>
        <v>344.32696811748974</v>
      </c>
      <c r="CE25" s="62">
        <f t="shared" si="40"/>
        <v>411.51927518440766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81.400000000000006</v>
      </c>
      <c r="CU25" s="18">
        <f>CT25*VLOOKUP('Données projet'!$B$13,Paramètres!$A$1:$I$89,3,0)*VLOOKUP('Données projet'!$B$13,Paramètres!$A$1:$I$89,5,0)</f>
        <v>73.650720000000007</v>
      </c>
      <c r="CV25" s="14">
        <f t="shared" si="41"/>
        <v>20.577360172493922</v>
      </c>
      <c r="CW25" s="22">
        <f t="shared" si="13"/>
        <v>164.11390630042692</v>
      </c>
      <c r="CX25" s="62">
        <f t="shared" si="14"/>
        <v>394.5761668817259</v>
      </c>
      <c r="CY25" s="62">
        <f ca="1">AVERAGE(OFFSET($CX$3,0,0,'Données projet'!$E$13+1,1))-AVERAGE(OFFSET($H$3,0,0,'Données projet'!$E$13+1,1))</f>
        <v>473.14533251757302</v>
      </c>
      <c r="CZ25" s="62">
        <f t="shared" si="42"/>
        <v>299.82031908667142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>
        <f>DO25*VLOOKUP('Données projet'!$B$14,Paramètres!$A$1:$I$89,3,0)*VLOOKUP('Données projet'!$B$14,Paramètres!$A$1:$I$89,5,0)</f>
        <v>0</v>
      </c>
      <c r="DQ25" s="14" t="e">
        <f t="shared" si="43"/>
        <v>#NUM!</v>
      </c>
      <c r="DR25" s="22" t="e">
        <f t="shared" si="16"/>
        <v>#NUM!</v>
      </c>
      <c r="DS25" s="62" t="e">
        <f t="shared" si="17"/>
        <v>#NUM!</v>
      </c>
      <c r="DT25" s="62">
        <f ca="1">AVERAGE(OFFSET($DS$3,0,0,'Données projet'!$E$14+1,1))-AVERAGE(OFFSET($H$3,0,0,'Données projet'!$E$14+1,1))</f>
        <v>89.751456703373435</v>
      </c>
      <c r="DU25" s="62">
        <f t="shared" si="44"/>
        <v>433.35713950666889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77.735680442282899</v>
      </c>
      <c r="EB25" s="23">
        <f>EXP(-LN(2)/25)*EB24+(1-EXP(-LN(2)/25))/(LN(2)/25)*Calculateur!DW25*Calculateur!DY25*VLOOKUP('Données projet'!$B$14,Paramètres!$A$1:$I$89,3,0)*0.475*44/12</f>
        <v>22.326805392901353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100.06248583518425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17.8</v>
      </c>
      <c r="EJ25" s="13">
        <f>IF('Données projet'!$A$192&gt;35,EJ24+EI25-ER24,IF(A25&lt;'Données projet'!$A$192,$EG$205^A25,IF(A25='Données projet'!$A$192,'Données projet'!$B$192,EJ24+EI25-ER24)))</f>
        <v>197.20000000000002</v>
      </c>
      <c r="EK25" s="18">
        <f>EJ25*VLOOKUP('Données projet'!$B$15,Paramètres!$A$1:$I$89,3,0)*VLOOKUP('Données projet'!$B$15,Paramètres!$A$1:$I$89,5,0)</f>
        <v>117.92560000000003</v>
      </c>
      <c r="EL25" s="14">
        <f t="shared" si="45"/>
        <v>31.190689636070587</v>
      </c>
      <c r="EM25" s="22">
        <f t="shared" si="19"/>
        <v>259.71087111615634</v>
      </c>
      <c r="EN25" s="62">
        <f t="shared" si="20"/>
        <v>490.17313169745535</v>
      </c>
      <c r="EO25" s="62">
        <f ca="1">AVERAGE(OFFSET($EN$3,0,0,'Données projet'!$E$15+1,1))-AVERAGE(OFFSET($H$3,0,0,'Données projet'!$E$15+1,1))</f>
        <v>204.71144247550794</v>
      </c>
      <c r="EP25" s="62">
        <f t="shared" si="46"/>
        <v>409.91012463636184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3.2979086829212192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5.9158993146644514</v>
      </c>
      <c r="EY25" s="24">
        <f t="shared" si="21"/>
        <v>9.2138079975856702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55.520010461566379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2.8000000000000003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10.266666666666667</v>
      </c>
      <c r="H26" s="70">
        <f t="shared" si="1"/>
        <v>188.90666666666664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56.976163428110333</v>
      </c>
      <c r="O26" s="14">
        <f>N26*VLOOKUP('Données projet'!$B$9,Paramètres!$A$1:$I$89,3,0)*VLOOKUP('Données projet'!$B$9,Paramètres!$A$1:$I$89,5,0)</f>
        <v>26.664844484355637</v>
      </c>
      <c r="P26" s="14">
        <f t="shared" si="33"/>
        <v>8.3851688821551527</v>
      </c>
      <c r="Q26" s="22">
        <f t="shared" si="2"/>
        <v>61.045439946672957</v>
      </c>
      <c r="R26" s="62">
        <f t="shared" si="0"/>
        <v>293.65097271917227</v>
      </c>
      <c r="S26" s="62">
        <f ca="1">AVERAGE(OFFSET($R$3,0,0,'Données projet'!$E$9+1,1))-AVERAGE(OFFSET($H$3,0,0,'Données projet'!$E$9+1,1))</f>
        <v>349.50936264852089</v>
      </c>
      <c r="T26" s="62">
        <f t="shared" si="34"/>
        <v>260.52733851266106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51.19123838183193</v>
      </c>
      <c r="AK26" s="14">
        <f t="shared" si="35"/>
        <v>14.920979327781229</v>
      </c>
      <c r="AL26" s="22">
        <f t="shared" si="4"/>
        <v>115.14544584424293</v>
      </c>
      <c r="AM26" s="62">
        <f t="shared" si="5"/>
        <v>347.75097861674226</v>
      </c>
      <c r="AN26" s="62">
        <f ca="1">AVERAGE(OFFSET($AM$3,0,0,'Données projet'!$E$10+1,1))-AVERAGE(OFFSET($H$3,0,0,'Données projet'!$E$10+1,1))</f>
        <v>447.04988989014134</v>
      </c>
      <c r="AO26" s="62">
        <f t="shared" si="36"/>
        <v>278.04061554501783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55.129025949665149</v>
      </c>
      <c r="BF26" s="14">
        <f t="shared" si="37"/>
        <v>15.930731386758243</v>
      </c>
      <c r="BG26" s="22">
        <f t="shared" si="7"/>
        <v>123.76241069427073</v>
      </c>
      <c r="BH26" s="62">
        <f t="shared" si="8"/>
        <v>356.36794346677004</v>
      </c>
      <c r="BI26" s="62">
        <f ca="1">AVERAGE(OFFSET($BH$3,0,0,'Données projet'!$E$11+1,1))-AVERAGE(OFFSET($H$3,0,0,'Données projet'!$E$11+1,1))</f>
        <v>475.58735584427552</v>
      </c>
      <c r="BJ26" s="62">
        <f t="shared" si="38"/>
        <v>294.51413339056131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13.8</v>
      </c>
      <c r="BY26" s="13">
        <f>IF('Données projet'!$A$114&gt;35,BY25+BX26-CG25,IF(A26&lt;'Données projet'!$A$114,$BV$205^A26,IF(A26='Données projet'!$A$114,'Données projet'!$B$114,BY25+BX26-CG25)))</f>
        <v>135.4</v>
      </c>
      <c r="BZ26" s="14">
        <f>BY26*VLOOKUP('Données projet'!$B$12,Paramètres!$A$1:$I$89,3,0)*VLOOKUP('Données projet'!$B$12,Paramètres!$A$1:$I$89,5,0)</f>
        <v>118.28544000000002</v>
      </c>
      <c r="CA26" s="14">
        <f t="shared" si="39"/>
        <v>31.274772013169596</v>
      </c>
      <c r="CB26" s="22">
        <f t="shared" si="10"/>
        <v>260.48403592293715</v>
      </c>
      <c r="CC26" s="62">
        <f t="shared" si="11"/>
        <v>493.08956869543647</v>
      </c>
      <c r="CD26" s="62">
        <f ca="1">AVERAGE(OFFSET($CC$3,0,0,'Données projet'!$E$12+1,1))-AVERAGE(OFFSET($H$3,0,0,'Données projet'!$E$12+1,1))</f>
        <v>344.32696811748974</v>
      </c>
      <c r="CE26" s="62">
        <f t="shared" si="40"/>
        <v>411.51927518440766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88.600000000000009</v>
      </c>
      <c r="CU26" s="18">
        <f>CT26*VLOOKUP('Données projet'!$B$13,Paramètres!$A$1:$I$89,3,0)*VLOOKUP('Données projet'!$B$13,Paramètres!$A$1:$I$89,5,0)</f>
        <v>80.165279999999996</v>
      </c>
      <c r="CV26" s="14">
        <f t="shared" si="41"/>
        <v>22.177591092468788</v>
      </c>
      <c r="CW26" s="22">
        <f t="shared" si="13"/>
        <v>178.24716715271646</v>
      </c>
      <c r="CX26" s="62">
        <f t="shared" si="14"/>
        <v>410.8526999252158</v>
      </c>
      <c r="CY26" s="62">
        <f ca="1">AVERAGE(OFFSET($CX$3,0,0,'Données projet'!$E$13+1,1))-AVERAGE(OFFSET($H$3,0,0,'Données projet'!$E$13+1,1))</f>
        <v>473.14533251757302</v>
      </c>
      <c r="CZ26" s="62">
        <f t="shared" si="42"/>
        <v>299.82031908667142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>
        <f>DO26*VLOOKUP('Données projet'!$B$14,Paramètres!$A$1:$I$89,3,0)*VLOOKUP('Données projet'!$B$14,Paramètres!$A$1:$I$89,5,0)</f>
        <v>0</v>
      </c>
      <c r="DQ26" s="14" t="e">
        <f t="shared" si="43"/>
        <v>#NUM!</v>
      </c>
      <c r="DR26" s="22" t="e">
        <f t="shared" si="16"/>
        <v>#NUM!</v>
      </c>
      <c r="DS26" s="62" t="e">
        <f t="shared" si="17"/>
        <v>#NUM!</v>
      </c>
      <c r="DT26" s="62">
        <f ca="1">AVERAGE(OFFSET($DS$3,0,0,'Données projet'!$E$14+1,1))-AVERAGE(OFFSET($H$3,0,0,'Données projet'!$E$14+1,1))</f>
        <v>89.751456703373435</v>
      </c>
      <c r="DU26" s="62">
        <f t="shared" si="44"/>
        <v>433.35713950666889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76.211331162893046</v>
      </c>
      <c r="EB26" s="23">
        <f>EXP(-LN(2)/25)*EB25+(1-EXP(-LN(2)/25))/(LN(2)/25)*Calculateur!DW26*Calculateur!DY26*VLOOKUP('Données projet'!$B$14,Paramètres!$A$1:$I$89,3,0)*0.475*44/12</f>
        <v>21.716277725316797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97.927608888209846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>
        <f>VLOOKUP(A26,'Données projet'!$A$191:$I$211,2,0)</f>
        <v>215</v>
      </c>
      <c r="EH26" s="13">
        <f>VLOOKUP(A26,'Données projet'!$A$191:$I$211,9,0)</f>
        <v>17.8</v>
      </c>
      <c r="EI26" s="13">
        <f t="array" ref="EI26">INDEX(EH:EH,MIN(IF(ISNUMBER(EH26:EH222),ROW(EH26:EH222),"")))</f>
        <v>17.8</v>
      </c>
      <c r="EJ26" s="13">
        <f>IF('Données projet'!$A$192&gt;35,EJ25+EI26-ER25,IF(A26&lt;'Données projet'!$A$192,$EG$205^A26,IF(A26='Données projet'!$A$192,'Données projet'!$B$192,EJ25+EI26-ER25)))</f>
        <v>215.00000000000003</v>
      </c>
      <c r="EK26" s="18">
        <f>EJ26*VLOOKUP('Données projet'!$B$15,Paramètres!$A$1:$I$89,3,0)*VLOOKUP('Données projet'!$B$15,Paramètres!$A$1:$I$89,5,0)</f>
        <v>128.57000000000002</v>
      </c>
      <c r="EL26" s="14">
        <f t="shared" si="45"/>
        <v>33.665715905233277</v>
      </c>
      <c r="EM26" s="22">
        <f t="shared" si="19"/>
        <v>282.56053853494797</v>
      </c>
      <c r="EN26" s="62">
        <f t="shared" si="20"/>
        <v>515.16607130744728</v>
      </c>
      <c r="EO26" s="62">
        <f ca="1">AVERAGE(OFFSET($EN$3,0,0,'Données projet'!$E$15+1,1))-AVERAGE(OFFSET($H$3,0,0,'Données projet'!$E$15+1,1))</f>
        <v>204.71144247550794</v>
      </c>
      <c r="EP26" s="62">
        <f t="shared" si="46"/>
        <v>409.91012463636184</v>
      </c>
      <c r="EQ26" s="16">
        <f>IF(ISNA(VLOOKUP(A26,'Données projet'!$A$191:$I$211,3,0)),0,VLOOKUP(A26,'Données projet'!$A$191:$I$211,3,0))</f>
        <v>3</v>
      </c>
      <c r="ER26" s="16">
        <f>IF(ISNA(VLOOKUP(A26,'Données projet'!$A$191:$I$211,4,0)),0,VLOOKUP(A26,'Données projet'!$A$191:$I$211,4,0))</f>
        <v>52</v>
      </c>
      <c r="ES26" s="17">
        <f>IF(ISNA(VLOOKUP(A26,'Données projet'!$A$191:$I$211,5,0)),0%,VLOOKUP(A26,'Données projet'!$A$191:$I$211,5,0)*VLOOKUP('Données projet'!$B$15,Paramètres!$A$1:$I$89,7,0))</f>
        <v>0.22500000000000001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0.5</v>
      </c>
      <c r="EV26" s="23">
        <f>EXP(-LN(2)/35)*EV25+(1-EXP(-LN(2)/35))/(LN(2)/35)*ER26*ES26*VLOOKUP('Données projet'!$B$15,Paramètres!$A$1:$I$89,3,0)*0.475*44/12</f>
        <v>12.514679574103097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21.787120284157577</v>
      </c>
      <c r="EY26" s="24">
        <f t="shared" si="21"/>
        <v>34.301799858260672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55.771205907651336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2.8000000000000003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10.266666666666667</v>
      </c>
      <c r="H27" s="70">
        <f t="shared" si="1"/>
        <v>188.90666666666664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67.924693763448758</v>
      </c>
      <c r="O27" s="14">
        <f>N27*VLOOKUP('Données projet'!$B$9,Paramètres!$A$1:$I$89,3,0)*VLOOKUP('Données projet'!$B$9,Paramètres!$A$1:$I$89,5,0)</f>
        <v>31.788756681294021</v>
      </c>
      <c r="P27" s="14">
        <f t="shared" si="33"/>
        <v>9.7940195531688623</v>
      </c>
      <c r="Q27" s="22">
        <f t="shared" si="2"/>
        <v>72.423335275022851</v>
      </c>
      <c r="R27" s="62">
        <f t="shared" si="0"/>
        <v>307.15616208092001</v>
      </c>
      <c r="S27" s="62">
        <f ca="1">AVERAGE(OFFSET($R$3,0,0,'Données projet'!$E$9+1,1))-AVERAGE(OFFSET($H$3,0,0,'Données projet'!$E$9+1,1))</f>
        <v>349.50936264852089</v>
      </c>
      <c r="T27" s="62">
        <f t="shared" si="34"/>
        <v>260.52733851266106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60.708006194089528</v>
      </c>
      <c r="AK27" s="14">
        <f t="shared" si="35"/>
        <v>17.347152793180882</v>
      </c>
      <c r="AL27" s="22">
        <f t="shared" si="4"/>
        <v>135.94606856949596</v>
      </c>
      <c r="AM27" s="62">
        <f t="shared" si="5"/>
        <v>370.67889537539315</v>
      </c>
      <c r="AN27" s="62">
        <f ca="1">AVERAGE(OFFSET($AM$3,0,0,'Données projet'!$E$10+1,1))-AVERAGE(OFFSET($H$3,0,0,'Données projet'!$E$10+1,1))</f>
        <v>447.04988989014134</v>
      </c>
      <c r="AO27" s="62">
        <f t="shared" si="36"/>
        <v>278.04061554501783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65.377852824404087</v>
      </c>
      <c r="BF27" s="14">
        <f t="shared" si="37"/>
        <v>18.521092041102079</v>
      </c>
      <c r="BG27" s="22">
        <f t="shared" si="7"/>
        <v>146.12399564075659</v>
      </c>
      <c r="BH27" s="62">
        <f t="shared" si="8"/>
        <v>380.85682244665372</v>
      </c>
      <c r="BI27" s="62">
        <f ca="1">AVERAGE(OFFSET($BH$3,0,0,'Données projet'!$E$11+1,1))-AVERAGE(OFFSET($H$3,0,0,'Données projet'!$E$11+1,1))</f>
        <v>475.58735584427552</v>
      </c>
      <c r="BJ27" s="62">
        <f t="shared" si="38"/>
        <v>294.51413339056131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13.8</v>
      </c>
      <c r="BY27" s="13">
        <f>IF('Données projet'!$A$114&gt;35,BY26+BX27-CG26,IF(A27&lt;'Données projet'!$A$114,$BV$205^A27,IF(A27='Données projet'!$A$114,'Données projet'!$B$114,BY26+BX27-CG26)))</f>
        <v>149.20000000000002</v>
      </c>
      <c r="BZ27" s="14">
        <f>BY27*VLOOKUP('Données projet'!$B$12,Paramètres!$A$1:$I$89,3,0)*VLOOKUP('Données projet'!$B$12,Paramètres!$A$1:$I$89,5,0)</f>
        <v>130.34112000000005</v>
      </c>
      <c r="CA27" s="14">
        <f t="shared" si="39"/>
        <v>34.075170122989917</v>
      </c>
      <c r="CB27" s="22">
        <f t="shared" si="10"/>
        <v>286.35837196420749</v>
      </c>
      <c r="CC27" s="62">
        <f t="shared" si="11"/>
        <v>521.09119877010471</v>
      </c>
      <c r="CD27" s="62">
        <f ca="1">AVERAGE(OFFSET($CC$3,0,0,'Données projet'!$E$12+1,1))-AVERAGE(OFFSET($H$3,0,0,'Données projet'!$E$12+1,1))</f>
        <v>344.32696811748974</v>
      </c>
      <c r="CE27" s="62">
        <f t="shared" si="40"/>
        <v>411.51927518440766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95.800000000000011</v>
      </c>
      <c r="CU27" s="18">
        <f>CT27*VLOOKUP('Données projet'!$B$13,Paramètres!$A$1:$I$89,3,0)*VLOOKUP('Données projet'!$B$13,Paramètres!$A$1:$I$89,5,0)</f>
        <v>86.679839999999999</v>
      </c>
      <c r="CV27" s="14">
        <f t="shared" si="41"/>
        <v>23.762739053789723</v>
      </c>
      <c r="CW27" s="22">
        <f t="shared" si="13"/>
        <v>192.35415851868379</v>
      </c>
      <c r="CX27" s="62">
        <f t="shared" si="14"/>
        <v>427.08698532458095</v>
      </c>
      <c r="CY27" s="62">
        <f ca="1">AVERAGE(OFFSET($CX$3,0,0,'Données projet'!$E$13+1,1))-AVERAGE(OFFSET($H$3,0,0,'Données projet'!$E$13+1,1))</f>
        <v>473.14533251757302</v>
      </c>
      <c r="CZ27" s="62">
        <f t="shared" si="42"/>
        <v>299.82031908667142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>
        <f>DO27*VLOOKUP('Données projet'!$B$14,Paramètres!$A$1:$I$89,3,0)*VLOOKUP('Données projet'!$B$14,Paramètres!$A$1:$I$89,5,0)</f>
        <v>0</v>
      </c>
      <c r="DQ27" s="14" t="e">
        <f t="shared" si="43"/>
        <v>#NUM!</v>
      </c>
      <c r="DR27" s="22" t="e">
        <f t="shared" si="16"/>
        <v>#NUM!</v>
      </c>
      <c r="DS27" s="62" t="e">
        <f t="shared" si="17"/>
        <v>#NUM!</v>
      </c>
      <c r="DT27" s="62">
        <f ca="1">AVERAGE(OFFSET($DS$3,0,0,'Données projet'!$E$14+1,1))-AVERAGE(OFFSET($H$3,0,0,'Données projet'!$E$14+1,1))</f>
        <v>89.751456703373435</v>
      </c>
      <c r="DU27" s="62">
        <f t="shared" si="44"/>
        <v>433.35713950666889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74.716873443110771</v>
      </c>
      <c r="EB27" s="23">
        <f>EXP(-LN(2)/25)*EB26+(1-EXP(-LN(2)/25))/(LN(2)/25)*Calculateur!DW27*Calculateur!DY27*VLOOKUP('Données projet'!$B$14,Paramètres!$A$1:$I$89,3,0)*0.475*44/12</f>
        <v>21.122444968908596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95.839318412019367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15.142857142857142</v>
      </c>
      <c r="EJ27" s="13">
        <f>IF('Données projet'!$A$192&gt;35,EJ26+EI27-ER26,IF(A27&lt;'Données projet'!$A$192,$EG$205^A27,IF(A27='Données projet'!$A$192,'Données projet'!$B$192,EJ26+EI27-ER26)))</f>
        <v>178.14285714285717</v>
      </c>
      <c r="EK27" s="18">
        <f>EJ27*VLOOKUP('Données projet'!$B$15,Paramètres!$A$1:$I$89,3,0)*VLOOKUP('Données projet'!$B$15,Paramètres!$A$1:$I$89,5,0)</f>
        <v>106.5294285714286</v>
      </c>
      <c r="EL27" s="14">
        <f t="shared" si="45"/>
        <v>28.511771457031461</v>
      </c>
      <c r="EM27" s="22">
        <f t="shared" si="19"/>
        <v>235.19675671623455</v>
      </c>
      <c r="EN27" s="62">
        <f t="shared" si="20"/>
        <v>469.92958352213168</v>
      </c>
      <c r="EO27" s="62">
        <f ca="1">AVERAGE(OFFSET($EN$3,0,0,'Données projet'!$E$15+1,1))-AVERAGE(OFFSET($H$3,0,0,'Données projet'!$E$15+1,1))</f>
        <v>204.71144247550794</v>
      </c>
      <c r="EP27" s="62">
        <f t="shared" si="46"/>
        <v>409.91012463636184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12.269274340855759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15.405820495454805</v>
      </c>
      <c r="EY27" s="24">
        <f t="shared" si="21"/>
        <v>27.675094836310564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56.018043674335594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2.8000000000000003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10.266666666666667</v>
      </c>
      <c r="H28" s="70">
        <f t="shared" si="1"/>
        <v>188.90666666666664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80.977091914581294</v>
      </c>
      <c r="O28" s="14">
        <f>N28*VLOOKUP('Données projet'!$B$9,Paramètres!$A$1:$I$89,3,0)*VLOOKUP('Données projet'!$B$9,Paramètres!$A$1:$I$89,5,0)</f>
        <v>37.897279016024044</v>
      </c>
      <c r="P28" s="14">
        <f t="shared" si="33"/>
        <v>11.43958104552808</v>
      </c>
      <c r="Q28" s="22">
        <f t="shared" si="2"/>
        <v>85.928364607203278</v>
      </c>
      <c r="R28" s="62">
        <f t="shared" si="0"/>
        <v>322.77278447401187</v>
      </c>
      <c r="S28" s="62">
        <f ca="1">AVERAGE(OFFSET($R$3,0,0,'Données projet'!$E$9+1,1))-AVERAGE(OFFSET($H$3,0,0,'Données projet'!$E$9+1,1))</f>
        <v>349.50936264852089</v>
      </c>
      <c r="T28" s="62">
        <f t="shared" si="34"/>
        <v>260.52733851266106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71.994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397.35959958958546</v>
      </c>
      <c r="AN28" s="62">
        <f ca="1">AVERAGE(OFFSET($AM$3,0,0,'Données projet'!$E$10+1,1))-AVERAGE(OFFSET($H$3,0,0,'Données projet'!$E$10+1,1))</f>
        <v>447.04988989014134</v>
      </c>
      <c r="AO28" s="62">
        <f t="shared" si="36"/>
        <v>278.04061554501783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77.531999999999996</v>
      </c>
      <c r="BF28" s="14">
        <f t="shared" si="37"/>
        <v>21.532649196514885</v>
      </c>
      <c r="BG28" s="22">
        <f t="shared" si="7"/>
        <v>172.53759735059677</v>
      </c>
      <c r="BH28" s="62">
        <f t="shared" si="8"/>
        <v>409.38201721740535</v>
      </c>
      <c r="BI28" s="62">
        <f ca="1">AVERAGE(OFFSET($BH$3,0,0,'Données projet'!$E$11+1,1))-AVERAGE(OFFSET($H$3,0,0,'Données projet'!$E$11+1,1))</f>
        <v>475.58735584427552</v>
      </c>
      <c r="BJ28" s="62">
        <f t="shared" si="38"/>
        <v>294.51413339056131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163</v>
      </c>
      <c r="BW28" s="13">
        <f>VLOOKUP(A28,'Données projet'!$A$113:$I$133,9,0)</f>
        <v>13.8</v>
      </c>
      <c r="BX28" s="13">
        <f t="array" ref="BX28">INDEX(BW:BW,MIN(IF(ISNUMBER(BW28:BW224),ROW(BW28:BW224),"")))</f>
        <v>13.8</v>
      </c>
      <c r="BY28" s="13">
        <f>IF('Données projet'!$A$114&gt;35,BY27+BX28-CG27,IF(A28&lt;'Données projet'!$A$114,$BV$205^A28,IF(A28='Données projet'!$A$114,'Données projet'!$B$114,BY27+BX28-CG27)))</f>
        <v>163.00000000000003</v>
      </c>
      <c r="BZ28" s="14">
        <f>BY28*VLOOKUP('Données projet'!$B$12,Paramètres!$A$1:$I$89,3,0)*VLOOKUP('Données projet'!$B$12,Paramètres!$A$1:$I$89,5,0)</f>
        <v>142.39680000000004</v>
      </c>
      <c r="CA28" s="14">
        <f t="shared" si="39"/>
        <v>36.845535084476985</v>
      </c>
      <c r="CB28" s="22">
        <f t="shared" si="10"/>
        <v>312.18040027213078</v>
      </c>
      <c r="CC28" s="62">
        <f t="shared" si="11"/>
        <v>549.02482013893939</v>
      </c>
      <c r="CD28" s="62">
        <f ca="1">AVERAGE(OFFSET($CC$3,0,0,'Données projet'!$E$12+1,1))-AVERAGE(OFFSET($H$3,0,0,'Données projet'!$E$12+1,1))</f>
        <v>344.32696811748974</v>
      </c>
      <c r="CE28" s="62">
        <f t="shared" si="40"/>
        <v>411.51927518440766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44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8.6000000000000007E-2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3.6399674944186131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3.6399674944186131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103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103.00000000000001</v>
      </c>
      <c r="CU28" s="18">
        <f>CT28*VLOOKUP('Données projet'!$B$13,Paramètres!$A$1:$I$89,3,0)*VLOOKUP('Données projet'!$B$13,Paramètres!$A$1:$I$89,5,0)</f>
        <v>93.194400000000002</v>
      </c>
      <c r="CV28" s="14">
        <f t="shared" si="41"/>
        <v>25.33406653691528</v>
      </c>
      <c r="CW28" s="22">
        <f t="shared" si="13"/>
        <v>206.43707921846078</v>
      </c>
      <c r="CX28" s="62">
        <f t="shared" si="14"/>
        <v>443.28149908526939</v>
      </c>
      <c r="CY28" s="62">
        <f ca="1">AVERAGE(OFFSET($CX$3,0,0,'Données projet'!$E$13+1,1))-AVERAGE(OFFSET($H$3,0,0,'Données projet'!$E$13+1,1))</f>
        <v>473.14533251757302</v>
      </c>
      <c r="CZ28" s="62">
        <f t="shared" si="42"/>
        <v>299.82031908667142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>
        <f>DO28*VLOOKUP('Données projet'!$B$14,Paramètres!$A$1:$I$89,3,0)*VLOOKUP('Données projet'!$B$14,Paramètres!$A$1:$I$89,5,0)</f>
        <v>0</v>
      </c>
      <c r="DQ28" s="14" t="e">
        <f t="shared" si="43"/>
        <v>#NUM!</v>
      </c>
      <c r="DR28" s="22" t="e">
        <f t="shared" si="16"/>
        <v>#NUM!</v>
      </c>
      <c r="DS28" s="62" t="e">
        <f t="shared" si="17"/>
        <v>#NUM!</v>
      </c>
      <c r="DT28" s="62">
        <f ca="1">AVERAGE(OFFSET($DS$3,0,0,'Données projet'!$E$14+1,1))-AVERAGE(OFFSET($H$3,0,0,'Données projet'!$E$14+1,1))</f>
        <v>89.751456703373435</v>
      </c>
      <c r="DU28" s="62">
        <f t="shared" si="44"/>
        <v>433.35713950666889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73.251721127684235</v>
      </c>
      <c r="EB28" s="23">
        <f>EXP(-LN(2)/25)*EB27+(1-EXP(-LN(2)/25))/(LN(2)/25)*Calculateur!DW28*Calculateur!DY28*VLOOKUP('Données projet'!$B$14,Paramètres!$A$1:$I$89,3,0)*0.475*44/12</f>
        <v>20.544850600452687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93.796571728136925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15.142857142857142</v>
      </c>
      <c r="EJ28" s="13">
        <f>IF('Données projet'!$A$192&gt;35,EJ27+EI28-ER27,IF(A28&lt;'Données projet'!$A$192,$EG$205^A28,IF(A28='Données projet'!$A$192,'Données projet'!$B$192,EJ27+EI28-ER27)))</f>
        <v>193.28571428571431</v>
      </c>
      <c r="EK28" s="18">
        <f>EJ28*VLOOKUP('Données projet'!$B$15,Paramètres!$A$1:$I$89,3,0)*VLOOKUP('Données projet'!$B$15,Paramètres!$A$1:$I$89,5,0)</f>
        <v>115.58485714285716</v>
      </c>
      <c r="EL28" s="14">
        <f t="shared" si="45"/>
        <v>30.643003864758004</v>
      </c>
      <c r="EM28" s="22">
        <f t="shared" si="19"/>
        <v>254.68019125492972</v>
      </c>
      <c r="EN28" s="62">
        <f t="shared" si="20"/>
        <v>491.5246111217383</v>
      </c>
      <c r="EO28" s="62">
        <f ca="1">AVERAGE(OFFSET($EN$3,0,0,'Données projet'!$E$15+1,1))-AVERAGE(OFFSET($H$3,0,0,'Données projet'!$E$15+1,1))</f>
        <v>204.71144247550794</v>
      </c>
      <c r="EP28" s="62">
        <f t="shared" si="46"/>
        <v>409.91012463636184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12.02868135454999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10.89356014207879</v>
      </c>
      <c r="EY28" s="24">
        <f t="shared" si="21"/>
        <v>22.922241496628779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56.26059935761446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2.8000000000000003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10.266666666666667</v>
      </c>
      <c r="H29" s="70">
        <f t="shared" si="1"/>
        <v>188.90666666666664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96.537636780206071</v>
      </c>
      <c r="O29" s="14">
        <f>N29*VLOOKUP('Données projet'!$B$9,Paramètres!$A$1:$I$89,3,0)*VLOOKUP('Données projet'!$B$9,Paramètres!$A$1:$I$89,5,0)</f>
        <v>45.179614013136444</v>
      </c>
      <c r="P29" s="14">
        <f t="shared" si="33"/>
        <v>13.361624794271938</v>
      </c>
      <c r="Q29" s="22">
        <f t="shared" si="2"/>
        <v>101.95932425623626</v>
      </c>
      <c r="R29" s="62">
        <f t="shared" si="0"/>
        <v>340.89990858824029</v>
      </c>
      <c r="S29" s="62">
        <f ca="1">AVERAGE(OFFSET($R$3,0,0,'Données projet'!$E$9+1,1))-AVERAGE(OFFSET($H$3,0,0,'Données projet'!$E$9+1,1))</f>
        <v>349.50936264852089</v>
      </c>
      <c r="T29" s="62">
        <f t="shared" si="34"/>
        <v>260.52733851266106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70.98</v>
      </c>
      <c r="AK29" s="14">
        <f t="shared" si="35"/>
        <v>19.916628839746853</v>
      </c>
      <c r="AL29" s="22">
        <f t="shared" si="4"/>
        <v>158.31162856255909</v>
      </c>
      <c r="AM29" s="62">
        <f t="shared" si="5"/>
        <v>397.25221289456317</v>
      </c>
      <c r="AN29" s="62">
        <f ca="1">AVERAGE(OFFSET($AM$3,0,0,'Données projet'!$E$10+1,1))-AVERAGE(OFFSET($H$3,0,0,'Données projet'!$E$10+1,1))</f>
        <v>447.04988989014134</v>
      </c>
      <c r="AO29" s="62">
        <f t="shared" si="36"/>
        <v>278.04061554501783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76.44</v>
      </c>
      <c r="BF29" s="14">
        <f t="shared" si="37"/>
        <v>21.264453036605779</v>
      </c>
      <c r="BG29" s="22">
        <f t="shared" si="7"/>
        <v>170.16858903875504</v>
      </c>
      <c r="BH29" s="62">
        <f t="shared" si="8"/>
        <v>409.10917337075909</v>
      </c>
      <c r="BI29" s="62">
        <f ca="1">AVERAGE(OFFSET($BH$3,0,0,'Données projet'!$E$11+1,1))-AVERAGE(OFFSET($H$3,0,0,'Données projet'!$E$11+1,1))</f>
        <v>475.58735584427552</v>
      </c>
      <c r="BJ29" s="62">
        <f t="shared" si="38"/>
        <v>294.51413339056131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13.2</v>
      </c>
      <c r="BY29" s="13">
        <f>IF('Données projet'!$A$114&gt;35,BY28+BX29-CG28,IF(A29&lt;'Données projet'!$A$114,$BV$205^A29,IF(A29='Données projet'!$A$114,'Données projet'!$B$114,BY28+BX29-CG28)))</f>
        <v>132.20000000000002</v>
      </c>
      <c r="BZ29" s="14">
        <f>BY29*VLOOKUP('Données projet'!$B$12,Paramètres!$A$1:$I$89,3,0)*VLOOKUP('Données projet'!$B$12,Paramètres!$A$1:$I$89,5,0)</f>
        <v>115.48992000000003</v>
      </c>
      <c r="CA29" s="14">
        <f t="shared" si="39"/>
        <v>30.620763442598491</v>
      </c>
      <c r="CB29" s="22">
        <f t="shared" si="10"/>
        <v>254.47610699585906</v>
      </c>
      <c r="CC29" s="62">
        <f t="shared" si="11"/>
        <v>493.41669132786308</v>
      </c>
      <c r="CD29" s="62">
        <f ca="1">AVERAGE(OFFSET($CC$3,0,0,'Données projet'!$E$12+1,1))-AVERAGE(OFFSET($H$3,0,0,'Données projet'!$E$12+1,1))</f>
        <v>344.32696811748974</v>
      </c>
      <c r="CE29" s="62">
        <f t="shared" si="40"/>
        <v>411.51927518440766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3.5404323918661649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3.5404323918661649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76.184160000000006</v>
      </c>
      <c r="CV29" s="14">
        <f t="shared" si="41"/>
        <v>21.201554232857223</v>
      </c>
      <c r="CW29" s="22">
        <f t="shared" si="13"/>
        <v>169.613452288893</v>
      </c>
      <c r="CX29" s="62">
        <f t="shared" si="14"/>
        <v>408.55403662089702</v>
      </c>
      <c r="CY29" s="62">
        <f ca="1">AVERAGE(OFFSET($CX$3,0,0,'Données projet'!$E$13+1,1))-AVERAGE(OFFSET($H$3,0,0,'Données projet'!$E$13+1,1))</f>
        <v>473.14533251757302</v>
      </c>
      <c r="CZ29" s="62">
        <f t="shared" si="42"/>
        <v>299.82031908667142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>
        <f>DO29*VLOOKUP('Données projet'!$B$14,Paramètres!$A$1:$I$89,3,0)*VLOOKUP('Données projet'!$B$14,Paramètres!$A$1:$I$89,5,0)</f>
        <v>0</v>
      </c>
      <c r="DQ29" s="14" t="e">
        <f t="shared" si="43"/>
        <v>#NUM!</v>
      </c>
      <c r="DR29" s="22" t="e">
        <f t="shared" si="16"/>
        <v>#NUM!</v>
      </c>
      <c r="DS29" s="62" t="e">
        <f t="shared" si="17"/>
        <v>#NUM!</v>
      </c>
      <c r="DT29" s="62">
        <f ca="1">AVERAGE(OFFSET($DS$3,0,0,'Données projet'!$E$14+1,1))-AVERAGE(OFFSET($H$3,0,0,'Données projet'!$E$14+1,1))</f>
        <v>89.751456703373435</v>
      </c>
      <c r="DU29" s="62">
        <f t="shared" si="44"/>
        <v>433.35713950666889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71.815299555508531</v>
      </c>
      <c r="EB29" s="23">
        <f>EXP(-LN(2)/25)*EB28+(1-EXP(-LN(2)/25))/(LN(2)/25)*Calculateur!DW29*Calculateur!DY29*VLOOKUP('Données projet'!$B$14,Paramètres!$A$1:$I$89,3,0)*0.475*44/12</f>
        <v>19.98305058037657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91.798350135885102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15.142857142857142</v>
      </c>
      <c r="EJ29" s="13">
        <f>IF('Données projet'!$A$192&gt;35,EJ28+EI29-ER28,IF(A29&lt;'Données projet'!$A$192,$EG$205^A29,IF(A29='Données projet'!$A$192,'Données projet'!$B$192,EJ28+EI29-ER28)))</f>
        <v>208.42857142857144</v>
      </c>
      <c r="EK29" s="18">
        <f>EJ29*VLOOKUP('Données projet'!$B$15,Paramètres!$A$1:$I$89,3,0)*VLOOKUP('Données projet'!$B$15,Paramètres!$A$1:$I$89,5,0)</f>
        <v>124.64028571428574</v>
      </c>
      <c r="EL29" s="14">
        <f t="shared" si="45"/>
        <v>32.754868392894572</v>
      </c>
      <c r="EM29" s="22">
        <f t="shared" si="19"/>
        <v>274.129893403339</v>
      </c>
      <c r="EN29" s="62">
        <f t="shared" si="20"/>
        <v>513.07047773534305</v>
      </c>
      <c r="EO29" s="62">
        <f ca="1">AVERAGE(OFFSET($EN$3,0,0,'Données projet'!$E$15+1,1))-AVERAGE(OFFSET($H$3,0,0,'Données projet'!$E$15+1,1))</f>
        <v>204.71144247550794</v>
      </c>
      <c r="EP29" s="62">
        <f t="shared" si="46"/>
        <v>409.91012463636184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11.792806249958446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7.7029102477274032</v>
      </c>
      <c r="EY29" s="24">
        <f t="shared" si="21"/>
        <v>19.495716497685848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56.49894724206171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2.8000000000000003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10.266666666666667</v>
      </c>
      <c r="H30" s="70">
        <f t="shared" si="1"/>
        <v>188.90666666666664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115.08829342671002</v>
      </c>
      <c r="O30" s="14">
        <f>N30*VLOOKUP('Données projet'!$B$9,Paramètres!$A$1:$I$89,3,0)*VLOOKUP('Données projet'!$B$9,Paramètres!$A$1:$I$89,5,0)</f>
        <v>53.861321323700288</v>
      </c>
      <c r="P30" s="14">
        <f t="shared" si="33"/>
        <v>15.606604510459258</v>
      </c>
      <c r="Q30" s="22">
        <f t="shared" si="2"/>
        <v>120.98997082782786</v>
      </c>
      <c r="R30" s="62">
        <f t="shared" si="0"/>
        <v>362.01155868095395</v>
      </c>
      <c r="S30" s="62">
        <f ca="1">AVERAGE(OFFSET($R$3,0,0,'Données projet'!$E$9+1,1))-AVERAGE(OFFSET($H$3,0,0,'Données projet'!$E$9+1,1))</f>
        <v>349.50936264852089</v>
      </c>
      <c r="T30" s="62">
        <f t="shared" si="34"/>
        <v>260.52733851266106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78.078000000000003</v>
      </c>
      <c r="AK30" s="14">
        <f t="shared" si="35"/>
        <v>21.666582091642084</v>
      </c>
      <c r="AL30" s="22">
        <f t="shared" si="4"/>
        <v>173.72181380960993</v>
      </c>
      <c r="AM30" s="62">
        <f t="shared" si="5"/>
        <v>414.74340166273601</v>
      </c>
      <c r="AN30" s="62">
        <f ca="1">AVERAGE(OFFSET($AM$3,0,0,'Données projet'!$E$10+1,1))-AVERAGE(OFFSET($H$3,0,0,'Données projet'!$E$10+1,1))</f>
        <v>447.04988989014134</v>
      </c>
      <c r="AO30" s="62">
        <f t="shared" si="36"/>
        <v>278.04061554501783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84.084000000000003</v>
      </c>
      <c r="BF30" s="14">
        <f t="shared" si="37"/>
        <v>23.132831417334526</v>
      </c>
      <c r="BG30" s="22">
        <f t="shared" si="7"/>
        <v>186.73598138519097</v>
      </c>
      <c r="BH30" s="62">
        <f t="shared" si="8"/>
        <v>427.75756923831705</v>
      </c>
      <c r="BI30" s="62">
        <f ca="1">AVERAGE(OFFSET($BH$3,0,0,'Données projet'!$E$11+1,1))-AVERAGE(OFFSET($H$3,0,0,'Données projet'!$E$11+1,1))</f>
        <v>475.58735584427552</v>
      </c>
      <c r="BJ30" s="62">
        <f t="shared" si="38"/>
        <v>294.51413339056131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13.2</v>
      </c>
      <c r="BY30" s="13">
        <f>IF('Données projet'!$A$114&gt;35,BY29+BX30-CG29,IF(A30&lt;'Données projet'!$A$114,$BV$205^A30,IF(A30='Données projet'!$A$114,'Données projet'!$B$114,BY29+BX30-CG29)))</f>
        <v>145.4</v>
      </c>
      <c r="BZ30" s="14">
        <f>BY30*VLOOKUP('Données projet'!$B$12,Paramètres!$A$1:$I$89,3,0)*VLOOKUP('Données projet'!$B$12,Paramètres!$A$1:$I$89,5,0)</f>
        <v>127.02144000000001</v>
      </c>
      <c r="CA30" s="14">
        <f t="shared" si="39"/>
        <v>33.30717587066443</v>
      </c>
      <c r="CB30" s="22">
        <f t="shared" si="10"/>
        <v>279.23900597474056</v>
      </c>
      <c r="CC30" s="62">
        <f t="shared" si="11"/>
        <v>520.26059382786661</v>
      </c>
      <c r="CD30" s="62">
        <f ca="1">AVERAGE(OFFSET($CC$3,0,0,'Données projet'!$E$12+1,1))-AVERAGE(OFFSET($H$3,0,0,'Données projet'!$E$12+1,1))</f>
        <v>344.32696811748974</v>
      </c>
      <c r="CE30" s="62">
        <f t="shared" si="40"/>
        <v>411.51927518440766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3.4436190819273369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3.4436190819273369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84.508320000000026</v>
      </c>
      <c r="CV30" s="14">
        <f t="shared" si="41"/>
        <v>23.235950088324714</v>
      </c>
      <c r="CW30" s="22">
        <f t="shared" si="13"/>
        <v>187.65460373716556</v>
      </c>
      <c r="CX30" s="62">
        <f t="shared" si="14"/>
        <v>428.67619159029164</v>
      </c>
      <c r="CY30" s="62">
        <f ca="1">AVERAGE(OFFSET($CX$3,0,0,'Données projet'!$E$13+1,1))-AVERAGE(OFFSET($H$3,0,0,'Données projet'!$E$13+1,1))</f>
        <v>473.14533251757302</v>
      </c>
      <c r="CZ30" s="62">
        <f t="shared" si="42"/>
        <v>299.82031908667142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>
        <f>DO30*VLOOKUP('Données projet'!$B$14,Paramètres!$A$1:$I$89,3,0)*VLOOKUP('Données projet'!$B$14,Paramètres!$A$1:$I$89,5,0)</f>
        <v>0</v>
      </c>
      <c r="DQ30" s="14" t="e">
        <f t="shared" si="43"/>
        <v>#NUM!</v>
      </c>
      <c r="DR30" s="22" t="e">
        <f t="shared" si="16"/>
        <v>#NUM!</v>
      </c>
      <c r="DS30" s="62" t="e">
        <f t="shared" si="17"/>
        <v>#NUM!</v>
      </c>
      <c r="DT30" s="62">
        <f ca="1">AVERAGE(OFFSET($DS$3,0,0,'Données projet'!$E$14+1,1))-AVERAGE(OFFSET($H$3,0,0,'Données projet'!$E$14+1,1))</f>
        <v>89.751456703373435</v>
      </c>
      <c r="DU30" s="62">
        <f t="shared" si="44"/>
        <v>433.35713950666889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70.407045334232549</v>
      </c>
      <c r="EB30" s="23">
        <f>EXP(-LN(2)/25)*EB29+(1-EXP(-LN(2)/25))/(LN(2)/25)*Calculateur!DW30*Calculateur!DY30*VLOOKUP('Données projet'!$B$14,Paramètres!$A$1:$I$89,3,0)*0.475*44/12</f>
        <v>19.436613011393217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89.843658345625769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15.142857142857142</v>
      </c>
      <c r="EJ30" s="13">
        <f>IF('Données projet'!$A$192&gt;35,EJ29+EI30-ER29,IF(A30&lt;'Données projet'!$A$192,$EG$205^A30,IF(A30='Données projet'!$A$192,'Données projet'!$B$192,EJ29+EI30-ER29)))</f>
        <v>223.57142857142858</v>
      </c>
      <c r="EK30" s="18">
        <f>EJ30*VLOOKUP('Données projet'!$B$15,Paramètres!$A$1:$I$89,3,0)*VLOOKUP('Données projet'!$B$15,Paramètres!$A$1:$I$89,5,0)</f>
        <v>133.6957142857143</v>
      </c>
      <c r="EL30" s="14">
        <f t="shared" si="45"/>
        <v>34.848932189999701</v>
      </c>
      <c r="EM30" s="22">
        <f t="shared" si="19"/>
        <v>293.54859261186851</v>
      </c>
      <c r="EN30" s="62">
        <f t="shared" si="20"/>
        <v>534.57018046499456</v>
      </c>
      <c r="EO30" s="62">
        <f ca="1">AVERAGE(OFFSET($EN$3,0,0,'Données projet'!$E$15+1,1))-AVERAGE(OFFSET($H$3,0,0,'Données projet'!$E$15+1,1))</f>
        <v>204.71144247550794</v>
      </c>
      <c r="EP30" s="62">
        <f t="shared" si="46"/>
        <v>409.91012463636184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11.561556512298333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5.4467800710393961</v>
      </c>
      <c r="EY30" s="24">
        <f t="shared" si="21"/>
        <v>17.00833658333773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56.733160323579838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2.8000000000000003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10.266666666666667</v>
      </c>
      <c r="H31" s="70">
        <f t="shared" si="1"/>
        <v>188.90666666666664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137.20364124956808</v>
      </c>
      <c r="O31" s="14">
        <f>N31*VLOOKUP('Données projet'!$B$9,Paramètres!$A$1:$I$89,3,0)*VLOOKUP('Données projet'!$B$9,Paramètres!$A$1:$I$89,5,0)</f>
        <v>64.211304104797861</v>
      </c>
      <c r="P31" s="14">
        <f t="shared" si="33"/>
        <v>18.228778916940001</v>
      </c>
      <c r="Q31" s="22">
        <f t="shared" si="2"/>
        <v>143.58314459619342</v>
      </c>
      <c r="R31" s="62">
        <f t="shared" si="0"/>
        <v>386.67083803485298</v>
      </c>
      <c r="S31" s="62">
        <f ca="1">AVERAGE(OFFSET($R$3,0,0,'Données projet'!$E$9+1,1))-AVERAGE(OFFSET($H$3,0,0,'Données projet'!$E$9+1,1))</f>
        <v>349.50936264852089</v>
      </c>
      <c r="T31" s="62">
        <f t="shared" si="34"/>
        <v>260.52733851266106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85.176000000000002</v>
      </c>
      <c r="AK31" s="14">
        <f t="shared" si="35"/>
        <v>23.398088487656441</v>
      </c>
      <c r="AL31" s="22">
        <f t="shared" si="4"/>
        <v>189.09987078266829</v>
      </c>
      <c r="AM31" s="62">
        <f t="shared" si="5"/>
        <v>432.18756422132788</v>
      </c>
      <c r="AN31" s="62">
        <f ca="1">AVERAGE(OFFSET($AM$3,0,0,'Données projet'!$E$10+1,1))-AVERAGE(OFFSET($H$3,0,0,'Données projet'!$E$10+1,1))</f>
        <v>447.04988989014134</v>
      </c>
      <c r="AO31" s="62">
        <f t="shared" si="36"/>
        <v>278.04061554501783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91.727999999999994</v>
      </c>
      <c r="BF31" s="14">
        <f t="shared" si="37"/>
        <v>24.981514582386563</v>
      </c>
      <c r="BG31" s="22">
        <f t="shared" si="7"/>
        <v>203.26907123098991</v>
      </c>
      <c r="BH31" s="62">
        <f t="shared" si="8"/>
        <v>446.35676466964946</v>
      </c>
      <c r="BI31" s="62">
        <f ca="1">AVERAGE(OFFSET($BH$3,0,0,'Données projet'!$E$11+1,1))-AVERAGE(OFFSET($H$3,0,0,'Données projet'!$E$11+1,1))</f>
        <v>475.58735584427552</v>
      </c>
      <c r="BJ31" s="62">
        <f t="shared" si="38"/>
        <v>294.51413339056131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13.2</v>
      </c>
      <c r="BY31" s="13">
        <f>IF('Données projet'!$A$114&gt;35,BY30+BX31-CG30,IF(A31&lt;'Données projet'!$A$114,$BV$205^A31,IF(A31='Données projet'!$A$114,'Données projet'!$B$114,BY30+BX31-CG30)))</f>
        <v>158.6</v>
      </c>
      <c r="BZ31" s="14">
        <f>BY31*VLOOKUP('Données projet'!$B$12,Paramètres!$A$1:$I$89,3,0)*VLOOKUP('Données projet'!$B$12,Paramètres!$A$1:$I$89,5,0)</f>
        <v>138.55296000000001</v>
      </c>
      <c r="CA31" s="14">
        <f t="shared" si="39"/>
        <v>35.965308766301796</v>
      </c>
      <c r="CB31" s="22">
        <f t="shared" si="10"/>
        <v>303.95265143464229</v>
      </c>
      <c r="CC31" s="62">
        <f t="shared" si="11"/>
        <v>547.04034487330182</v>
      </c>
      <c r="CD31" s="62">
        <f ca="1">AVERAGE(OFFSET($CC$3,0,0,'Données projet'!$E$12+1,1))-AVERAGE(OFFSET($H$3,0,0,'Données projet'!$E$12+1,1))</f>
        <v>344.32696811748974</v>
      </c>
      <c r="CE31" s="62">
        <f t="shared" si="40"/>
        <v>411.51927518440766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3.3494531370399767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3.3494531370399767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92.832480000000018</v>
      </c>
      <c r="CV31" s="14">
        <f t="shared" si="41"/>
        <v>25.247114117480137</v>
      </c>
      <c r="CW31" s="22">
        <f t="shared" si="13"/>
        <v>205.65529308794461</v>
      </c>
      <c r="CX31" s="62">
        <f t="shared" si="14"/>
        <v>448.74298652660417</v>
      </c>
      <c r="CY31" s="62">
        <f ca="1">AVERAGE(OFFSET($CX$3,0,0,'Données projet'!$E$13+1,1))-AVERAGE(OFFSET($H$3,0,0,'Données projet'!$E$13+1,1))</f>
        <v>473.14533251757302</v>
      </c>
      <c r="CZ31" s="62">
        <f t="shared" si="42"/>
        <v>299.82031908667142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>
        <f>DO31*VLOOKUP('Données projet'!$B$14,Paramètres!$A$1:$I$89,3,0)*VLOOKUP('Données projet'!$B$14,Paramètres!$A$1:$I$89,5,0)</f>
        <v>0</v>
      </c>
      <c r="DQ31" s="14" t="e">
        <f t="shared" si="43"/>
        <v>#NUM!</v>
      </c>
      <c r="DR31" s="22" t="e">
        <f t="shared" si="16"/>
        <v>#NUM!</v>
      </c>
      <c r="DS31" s="62" t="e">
        <f t="shared" si="17"/>
        <v>#NUM!</v>
      </c>
      <c r="DT31" s="62">
        <f ca="1">AVERAGE(OFFSET($DS$3,0,0,'Données projet'!$E$14+1,1))-AVERAGE(OFFSET($H$3,0,0,'Données projet'!$E$14+1,1))</f>
        <v>89.751456703373435</v>
      </c>
      <c r="DU31" s="62">
        <f t="shared" si="44"/>
        <v>433.35713950666889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69.026406119285525</v>
      </c>
      <c r="EB31" s="23">
        <f>EXP(-LN(2)/25)*EB30+(1-EXP(-LN(2)/25))/(LN(2)/25)*Calculateur!DW31*Calculateur!DY31*VLOOKUP('Données projet'!$B$14,Paramètres!$A$1:$I$89,3,0)*0.475*44/12</f>
        <v>18.905117806469615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87.931523925755144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15.142857142857142</v>
      </c>
      <c r="EJ31" s="13">
        <f>IF('Données projet'!$A$192&gt;35,EJ30+EI31-ER30,IF(A31&lt;'Données projet'!$A$192,$EG$205^A31,IF(A31='Données projet'!$A$192,'Données projet'!$B$192,EJ30+EI31-ER30)))</f>
        <v>238.71428571428572</v>
      </c>
      <c r="EK31" s="18">
        <f>EJ31*VLOOKUP('Données projet'!$B$15,Paramètres!$A$1:$I$89,3,0)*VLOOKUP('Données projet'!$B$15,Paramètres!$A$1:$I$89,5,0)</f>
        <v>142.75114285714287</v>
      </c>
      <c r="EL31" s="14">
        <f t="shared" si="45"/>
        <v>36.926538099571019</v>
      </c>
      <c r="EM31" s="22">
        <f t="shared" si="19"/>
        <v>312.93862766627666</v>
      </c>
      <c r="EN31" s="62">
        <f t="shared" si="20"/>
        <v>556.02632110493619</v>
      </c>
      <c r="EO31" s="62">
        <f ca="1">AVERAGE(OFFSET($EN$3,0,0,'Données projet'!$E$15+1,1))-AVERAGE(OFFSET($H$3,0,0,'Données projet'!$E$15+1,1))</f>
        <v>204.71144247550794</v>
      </c>
      <c r="EP31" s="62">
        <f t="shared" si="46"/>
        <v>409.91012463636184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11.334841440945322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3.8514551238637025</v>
      </c>
      <c r="EY31" s="24">
        <f t="shared" si="21"/>
        <v>15.186296564809025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56.963310331755629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2.8000000000000003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10.266666666666667</v>
      </c>
      <c r="H32" s="70">
        <f t="shared" si="1"/>
        <v>188.90666666666664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163.5686707278193</v>
      </c>
      <c r="O32" s="14">
        <f>N32*VLOOKUP('Données projet'!$B$9,Paramètres!$A$1:$I$89,3,0)*VLOOKUP('Données projet'!$B$9,Paramètres!$A$1:$I$89,5,0)</f>
        <v>76.550137900619433</v>
      </c>
      <c r="P32" s="14">
        <f t="shared" si="33"/>
        <v>21.291523122789648</v>
      </c>
      <c r="Q32" s="22">
        <f t="shared" si="2"/>
        <v>170.40755961577079</v>
      </c>
      <c r="R32" s="62">
        <f t="shared" si="0"/>
        <v>415.54671915025091</v>
      </c>
      <c r="S32" s="62">
        <f ca="1">AVERAGE(OFFSET($R$3,0,0,'Données projet'!$E$9+1,1))-AVERAGE(OFFSET($H$3,0,0,'Données projet'!$E$9+1,1))</f>
        <v>349.50936264852089</v>
      </c>
      <c r="T32" s="62">
        <f t="shared" si="34"/>
        <v>260.52733851266106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92.274000000000001</v>
      </c>
      <c r="AK32" s="14">
        <f t="shared" si="35"/>
        <v>25.112860036087575</v>
      </c>
      <c r="AL32" s="22">
        <f t="shared" si="4"/>
        <v>204.4487812295192</v>
      </c>
      <c r="AM32" s="62">
        <f t="shared" si="5"/>
        <v>449.58794076399931</v>
      </c>
      <c r="AN32" s="62">
        <f ca="1">AVERAGE(OFFSET($AM$3,0,0,'Données projet'!$E$10+1,1))-AVERAGE(OFFSET($H$3,0,0,'Données projet'!$E$10+1,1))</f>
        <v>447.04988989014134</v>
      </c>
      <c r="AO32" s="62">
        <f t="shared" si="36"/>
        <v>278.04061554501783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99.372</v>
      </c>
      <c r="BF32" s="14">
        <f t="shared" si="37"/>
        <v>26.812330397327713</v>
      </c>
      <c r="BG32" s="22">
        <f t="shared" si="7"/>
        <v>219.7710421086791</v>
      </c>
      <c r="BH32" s="62">
        <f t="shared" si="8"/>
        <v>464.91020164315921</v>
      </c>
      <c r="BI32" s="62">
        <f ca="1">AVERAGE(OFFSET($BH$3,0,0,'Données projet'!$E$11+1,1))-AVERAGE(OFFSET($H$3,0,0,'Données projet'!$E$11+1,1))</f>
        <v>475.58735584427552</v>
      </c>
      <c r="BJ32" s="62">
        <f t="shared" si="38"/>
        <v>294.51413339056131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13.2</v>
      </c>
      <c r="BY32" s="13">
        <f>IF('Données projet'!$A$114&gt;35,BY31+BX32-CG31,IF(A32&lt;'Données projet'!$A$114,$BV$205^A32,IF(A32='Données projet'!$A$114,'Données projet'!$B$114,BY31+BX32-CG31)))</f>
        <v>171.79999999999998</v>
      </c>
      <c r="BZ32" s="14">
        <f>BY32*VLOOKUP('Données projet'!$B$12,Paramètres!$A$1:$I$89,3,0)*VLOOKUP('Données projet'!$B$12,Paramètres!$A$1:$I$89,5,0)</f>
        <v>150.08448000000001</v>
      </c>
      <c r="CA32" s="14">
        <f t="shared" si="39"/>
        <v>38.597783374841299</v>
      </c>
      <c r="CB32" s="22">
        <f t="shared" si="10"/>
        <v>328.62160871118198</v>
      </c>
      <c r="CC32" s="62">
        <f t="shared" si="11"/>
        <v>573.76076824566212</v>
      </c>
      <c r="CD32" s="62">
        <f ca="1">AVERAGE(OFFSET($CC$3,0,0,'Données projet'!$E$12+1,1))-AVERAGE(OFFSET($H$3,0,0,'Données projet'!$E$12+1,1))</f>
        <v>344.32696811748974</v>
      </c>
      <c r="CE32" s="62">
        <f t="shared" si="40"/>
        <v>411.51927518440766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3.2578621648675332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3.2578621648675332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101.15664000000001</v>
      </c>
      <c r="CV32" s="14">
        <f t="shared" si="41"/>
        <v>27.237366379381644</v>
      </c>
      <c r="CW32" s="22">
        <f t="shared" si="13"/>
        <v>223.61956111075639</v>
      </c>
      <c r="CX32" s="62">
        <f t="shared" si="14"/>
        <v>468.75872064523651</v>
      </c>
      <c r="CY32" s="62">
        <f ca="1">AVERAGE(OFFSET($CX$3,0,0,'Données projet'!$E$13+1,1))-AVERAGE(OFFSET($H$3,0,0,'Données projet'!$E$13+1,1))</f>
        <v>473.14533251757302</v>
      </c>
      <c r="CZ32" s="62">
        <f t="shared" si="42"/>
        <v>299.82031908667142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>
        <f>DO32*VLOOKUP('Données projet'!$B$14,Paramètres!$A$1:$I$89,3,0)*VLOOKUP('Données projet'!$B$14,Paramètres!$A$1:$I$89,5,0)</f>
        <v>0</v>
      </c>
      <c r="DQ32" s="14" t="e">
        <f t="shared" si="43"/>
        <v>#NUM!</v>
      </c>
      <c r="DR32" s="22" t="e">
        <f t="shared" si="16"/>
        <v>#NUM!</v>
      </c>
      <c r="DS32" s="62" t="e">
        <f t="shared" si="17"/>
        <v>#NUM!</v>
      </c>
      <c r="DT32" s="62">
        <f ca="1">AVERAGE(OFFSET($DS$3,0,0,'Données projet'!$E$14+1,1))-AVERAGE(OFFSET($H$3,0,0,'Données projet'!$E$14+1,1))</f>
        <v>89.751456703373435</v>
      </c>
      <c r="DU32" s="62">
        <f t="shared" si="44"/>
        <v>433.35713950666889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67.67284039723684</v>
      </c>
      <c r="EB32" s="23">
        <f>EXP(-LN(2)/25)*EB31+(1-EXP(-LN(2)/25))/(LN(2)/25)*Calculateur!DW32*Calculateur!DY32*VLOOKUP('Données projet'!$B$14,Paramètres!$A$1:$I$89,3,0)*0.475*44/12</f>
        <v>18.388156365874767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86.060996763111604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15.142857142857142</v>
      </c>
      <c r="EJ32" s="13">
        <f>IF('Données projet'!$A$192&gt;35,EJ31+EI32-ER31,IF(A32&lt;'Données projet'!$A$192,$EG$205^A32,IF(A32='Données projet'!$A$192,'Données projet'!$B$192,EJ31+EI32-ER31)))</f>
        <v>253.85714285714286</v>
      </c>
      <c r="EK32" s="18">
        <f>EJ32*VLOOKUP('Données projet'!$B$15,Paramètres!$A$1:$I$89,3,0)*VLOOKUP('Données projet'!$B$15,Paramètres!$A$1:$I$89,5,0)</f>
        <v>151.80657142857146</v>
      </c>
      <c r="EL32" s="14">
        <f t="shared" si="45"/>
        <v>38.988848967460292</v>
      </c>
      <c r="EM32" s="22">
        <f t="shared" si="19"/>
        <v>332.30202385642195</v>
      </c>
      <c r="EN32" s="62">
        <f t="shared" si="20"/>
        <v>577.4411833909021</v>
      </c>
      <c r="EO32" s="62">
        <f ca="1">AVERAGE(OFFSET($EN$3,0,0,'Données projet'!$E$15+1,1))-AVERAGE(OFFSET($H$3,0,0,'Données projet'!$E$15+1,1))</f>
        <v>204.71144247550794</v>
      </c>
      <c r="EP32" s="62">
        <f t="shared" si="46"/>
        <v>409.91012463636184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11.112572113859004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2.7233900355196985</v>
      </c>
      <c r="EY32" s="24">
        <f t="shared" si="21"/>
        <v>13.835962149378702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57.189467751827905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2.8000000000000003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10.266666666666667</v>
      </c>
      <c r="H33" s="70">
        <f t="shared" si="1"/>
        <v>188.90666666666664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195</v>
      </c>
      <c r="O33" s="14">
        <f>N33*VLOOKUP('Données projet'!$B$9,Paramètres!$A$1:$I$89,3,0)*VLOOKUP('Données projet'!$B$9,Paramètres!$A$1:$I$89,5,0)</f>
        <v>91.26</v>
      </c>
      <c r="P33" s="14">
        <f t="shared" si="33"/>
        <v>24.868860330902777</v>
      </c>
      <c r="Q33" s="22">
        <f t="shared" si="2"/>
        <v>202.25776507632233</v>
      </c>
      <c r="R33" s="62">
        <f t="shared" si="0"/>
        <v>449.4340051793277</v>
      </c>
      <c r="S33" s="62">
        <f ca="1">AVERAGE(OFFSET($R$3,0,0,'Données projet'!$E$9+1,1))-AVERAGE(OFFSET($H$3,0,0,'Données projet'!$E$9+1,1))</f>
        <v>349.50936264852089</v>
      </c>
      <c r="T33" s="62">
        <f t="shared" si="34"/>
        <v>260.52733851266106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99.372000000000014</v>
      </c>
      <c r="AK33" s="14">
        <f t="shared" si="35"/>
        <v>26.812330397327713</v>
      </c>
      <c r="AL33" s="22">
        <f t="shared" si="4"/>
        <v>219.7710421086791</v>
      </c>
      <c r="AM33" s="62">
        <f t="shared" si="5"/>
        <v>466.94728221168447</v>
      </c>
      <c r="AN33" s="62">
        <f ca="1">AVERAGE(OFFSET($AM$3,0,0,'Données projet'!$E$10+1,1))-AVERAGE(OFFSET($H$3,0,0,'Données projet'!$E$10+1,1))</f>
        <v>447.04988989014134</v>
      </c>
      <c r="AO33" s="62">
        <f t="shared" si="36"/>
        <v>278.04061554501783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107.01599999999999</v>
      </c>
      <c r="BF33" s="14">
        <f t="shared" si="37"/>
        <v>28.626809543094307</v>
      </c>
      <c r="BG33" s="22">
        <f t="shared" si="7"/>
        <v>236.24455995422258</v>
      </c>
      <c r="BH33" s="62">
        <f t="shared" si="8"/>
        <v>483.42080005722795</v>
      </c>
      <c r="BI33" s="62">
        <f ca="1">AVERAGE(OFFSET($BH$3,0,0,'Données projet'!$E$11+1,1))-AVERAGE(OFFSET($H$3,0,0,'Données projet'!$E$11+1,1))</f>
        <v>475.58735584427552</v>
      </c>
      <c r="BJ33" s="62">
        <f t="shared" si="38"/>
        <v>294.51413339056131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185</v>
      </c>
      <c r="BW33" s="13">
        <f>VLOOKUP(A33,'Données projet'!$A$113:$I$133,9,0)</f>
        <v>13.2</v>
      </c>
      <c r="BX33" s="13">
        <f t="array" ref="BX33">INDEX(BW:BW,MIN(IF(ISNUMBER(BW33:BW229),ROW(BW33:BW229),"")))</f>
        <v>13.2</v>
      </c>
      <c r="BY33" s="13">
        <f>IF('Données projet'!$A$114&gt;35,BY32+BX33-CG32,IF(A33&lt;'Données projet'!$A$114,$BV$205^A33,IF(A33='Données projet'!$A$114,'Données projet'!$B$114,BY32+BX33-CG32)))</f>
        <v>184.99999999999997</v>
      </c>
      <c r="BZ33" s="14">
        <f>BY33*VLOOKUP('Données projet'!$B$12,Paramètres!$A$1:$I$89,3,0)*VLOOKUP('Données projet'!$B$12,Paramètres!$A$1:$I$89,5,0)</f>
        <v>161.61599999999999</v>
      </c>
      <c r="CA33" s="14">
        <f t="shared" si="39"/>
        <v>41.20679526204917</v>
      </c>
      <c r="CB33" s="22">
        <f t="shared" si="10"/>
        <v>353.24970174806896</v>
      </c>
      <c r="CC33" s="62">
        <f t="shared" si="11"/>
        <v>600.4259418510743</v>
      </c>
      <c r="CD33" s="62">
        <f ca="1">AVERAGE(OFFSET($CC$3,0,0,'Données projet'!$E$12+1,1))-AVERAGE(OFFSET($H$3,0,0,'Données projet'!$E$12+1,1))</f>
        <v>344.32696811748974</v>
      </c>
      <c r="CE33" s="62">
        <f t="shared" si="40"/>
        <v>411.51927518440766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44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0.17200000000000001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10.448710741482932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10.448710741482932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109.48080000000002</v>
      </c>
      <c r="CV33" s="14">
        <f t="shared" si="41"/>
        <v>29.208623339903898</v>
      </c>
      <c r="CW33" s="22">
        <f t="shared" si="13"/>
        <v>241.55074565033269</v>
      </c>
      <c r="CX33" s="62">
        <f t="shared" si="14"/>
        <v>488.72698575333806</v>
      </c>
      <c r="CY33" s="62">
        <f ca="1">AVERAGE(OFFSET($CX$3,0,0,'Données projet'!$E$13+1,1))-AVERAGE(OFFSET($H$3,0,0,'Données projet'!$E$13+1,1))</f>
        <v>473.14533251757302</v>
      </c>
      <c r="CZ33" s="62">
        <f t="shared" si="42"/>
        <v>299.82031908667142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8.6000000000000007E-2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2.3990694849577223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2.3990694849577223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>
        <f>DO33*VLOOKUP('Données projet'!$B$14,Paramètres!$A$1:$I$89,3,0)*VLOOKUP('Données projet'!$B$14,Paramètres!$A$1:$I$89,5,0)</f>
        <v>0</v>
      </c>
      <c r="DQ33" s="14" t="e">
        <f t="shared" si="43"/>
        <v>#NUM!</v>
      </c>
      <c r="DR33" s="22" t="e">
        <f t="shared" si="16"/>
        <v>#NUM!</v>
      </c>
      <c r="DS33" s="62" t="e">
        <f t="shared" si="17"/>
        <v>#NUM!</v>
      </c>
      <c r="DT33" s="62">
        <f ca="1">AVERAGE(OFFSET($DS$3,0,0,'Données projet'!$E$14+1,1))-AVERAGE(OFFSET($H$3,0,0,'Données projet'!$E$14+1,1))</f>
        <v>89.751456703373435</v>
      </c>
      <c r="DU33" s="62">
        <f t="shared" si="44"/>
        <v>433.35713950666889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66.345817273403966</v>
      </c>
      <c r="EB33" s="23">
        <f>EXP(-LN(2)/25)*EB32+(1-EXP(-LN(2)/25))/(LN(2)/25)*Calculateur!DW33*Calculateur!DY33*VLOOKUP('Données projet'!$B$14,Paramètres!$A$1:$I$89,3,0)*0.475*44/12</f>
        <v>17.885331263058806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84.231148536462769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269</v>
      </c>
      <c r="EH33" s="13">
        <f>VLOOKUP(A33,'Données projet'!$A$191:$I$211,9,0)</f>
        <v>15.142857142857142</v>
      </c>
      <c r="EI33" s="13">
        <f t="array" ref="EI33">INDEX(EH:EH,MIN(IF(ISNUMBER(EH33:EH229),ROW(EH33:EH229),"")))</f>
        <v>15.142857142857142</v>
      </c>
      <c r="EJ33" s="13">
        <f>IF('Données projet'!$A$192&gt;35,EJ32+EI33-ER32,IF(A33&lt;'Données projet'!$A$192,$EG$205^A33,IF(A33='Données projet'!$A$192,'Données projet'!$B$192,EJ32+EI33-ER32)))</f>
        <v>269</v>
      </c>
      <c r="EK33" s="18">
        <f>EJ33*VLOOKUP('Données projet'!$B$15,Paramètres!$A$1:$I$89,3,0)*VLOOKUP('Données projet'!$B$15,Paramètres!$A$1:$I$89,5,0)</f>
        <v>160.86200000000002</v>
      </c>
      <c r="EL33" s="14">
        <f t="shared" si="45"/>
        <v>41.03688107178359</v>
      </c>
      <c r="EM33" s="22">
        <f t="shared" si="19"/>
        <v>351.64055120002314</v>
      </c>
      <c r="EN33" s="62">
        <f t="shared" si="20"/>
        <v>598.81679130302848</v>
      </c>
      <c r="EO33" s="62">
        <f ca="1">AVERAGE(OFFSET($EN$3,0,0,'Données projet'!$E$15+1,1))-AVERAGE(OFFSET($H$3,0,0,'Données projet'!$E$15+1,1))</f>
        <v>204.71144247550794</v>
      </c>
      <c r="EP33" s="62">
        <f t="shared" si="46"/>
        <v>409.91012463636184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10.894661352705947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1.9257275619318515</v>
      </c>
      <c r="EY33" s="24">
        <f t="shared" si="21"/>
        <v>12.8203889146378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57.411701846274184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2.8000000000000003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10.266666666666667</v>
      </c>
      <c r="H34" s="70">
        <f t="shared" si="1"/>
        <v>188.90666666666664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17</v>
      </c>
      <c r="N34" s="14">
        <f>IF('Données projet'!$A$36&gt;35,N33+M34-V33,IF(A34&lt;'Données projet'!$A$36,$K$205^A34,IF(A34='Données projet'!$A$36,'Données projet'!$B$36,N33+M34-V33)))</f>
        <v>212</v>
      </c>
      <c r="O34" s="14">
        <f>N34*VLOOKUP('Données projet'!$B$9,Paramètres!$A$1:$I$89,3,0)*VLOOKUP('Données projet'!$B$9,Paramètres!$A$1:$I$89,5,0)</f>
        <v>99.215999999999994</v>
      </c>
      <c r="P34" s="14">
        <f t="shared" si="33"/>
        <v>26.775134885576414</v>
      </c>
      <c r="Q34" s="22">
        <f t="shared" si="2"/>
        <v>219.43455992571219</v>
      </c>
      <c r="R34" s="62">
        <f t="shared" si="0"/>
        <v>467.41152240446252</v>
      </c>
      <c r="S34" s="62">
        <f ca="1">AVERAGE(OFFSET($R$3,0,0,'Données projet'!$E$9+1,1))-AVERAGE(OFFSET($H$3,0,0,'Données projet'!$E$9+1,1))</f>
        <v>349.50936264852089</v>
      </c>
      <c r="T34" s="62">
        <f t="shared" si="34"/>
        <v>260.52733851266106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85.987200000000001</v>
      </c>
      <c r="AK34" s="14">
        <f t="shared" si="35"/>
        <v>23.594880218992504</v>
      </c>
      <c r="AL34" s="22">
        <f t="shared" si="4"/>
        <v>190.85545638141195</v>
      </c>
      <c r="AM34" s="62">
        <f t="shared" si="5"/>
        <v>438.83241886016231</v>
      </c>
      <c r="AN34" s="62">
        <f ca="1">AVERAGE(OFFSET($AM$3,0,0,'Données projet'!$E$10+1,1))-AVERAGE(OFFSET($H$3,0,0,'Données projet'!$E$10+1,1))</f>
        <v>447.04988989014134</v>
      </c>
      <c r="AO34" s="62">
        <f t="shared" si="36"/>
        <v>278.04061554501783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92.601599999999991</v>
      </c>
      <c r="BF34" s="14">
        <f t="shared" si="37"/>
        <v>25.191623861555186</v>
      </c>
      <c r="BG34" s="22">
        <f t="shared" si="7"/>
        <v>205.15653155887526</v>
      </c>
      <c r="BH34" s="62">
        <f t="shared" si="8"/>
        <v>453.13349403762561</v>
      </c>
      <c r="BI34" s="62">
        <f ca="1">AVERAGE(OFFSET($BH$3,0,0,'Données projet'!$E$11+1,1))-AVERAGE(OFFSET($H$3,0,0,'Données projet'!$E$11+1,1))</f>
        <v>475.58735584427552</v>
      </c>
      <c r="BJ34" s="62">
        <f t="shared" si="38"/>
        <v>294.51413339056131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</v>
      </c>
      <c r="BY34" s="13">
        <f>IF('Données projet'!$A$114&gt;35,BY33+BX34-CG33,IF(A34&lt;'Données projet'!$A$114,$BV$205^A34,IF(A34='Données projet'!$A$114,'Données projet'!$B$114,BY33+BX34-CG33)))</f>
        <v>152.99999999999997</v>
      </c>
      <c r="BZ34" s="14">
        <f>BY34*VLOOKUP('Données projet'!$B$12,Paramètres!$A$1:$I$89,3,0)*VLOOKUP('Données projet'!$B$12,Paramètres!$A$1:$I$89,5,0)</f>
        <v>133.66079999999999</v>
      </c>
      <c r="CA34" s="14">
        <f t="shared" si="39"/>
        <v>34.840890682716747</v>
      </c>
      <c r="CB34" s="22">
        <f t="shared" si="10"/>
        <v>293.47377793906497</v>
      </c>
      <c r="CC34" s="62">
        <f t="shared" si="11"/>
        <v>541.45074041781527</v>
      </c>
      <c r="CD34" s="62">
        <f ca="1">AVERAGE(OFFSET($CC$3,0,0,'Données projet'!$E$12+1,1))-AVERAGE(OFFSET($H$3,0,0,'Données projet'!$E$12+1,1))</f>
        <v>344.32696811748974</v>
      </c>
      <c r="CE34" s="62">
        <f t="shared" si="40"/>
        <v>411.51927518440766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10.162990196783264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10.162990196783264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103.80000000000004</v>
      </c>
      <c r="CU34" s="18">
        <f>CT34*VLOOKUP('Données projet'!$B$13,Paramètres!$A$1:$I$89,3,0)*VLOOKUP('Données projet'!$B$13,Paramètres!$A$1:$I$89,5,0)</f>
        <v>93.91824000000004</v>
      </c>
      <c r="CV34" s="14">
        <f t="shared" si="41"/>
        <v>25.507853654186022</v>
      </c>
      <c r="CW34" s="22">
        <f t="shared" si="13"/>
        <v>208.00044644770739</v>
      </c>
      <c r="CX34" s="62">
        <f t="shared" si="14"/>
        <v>455.97740892645771</v>
      </c>
      <c r="CY34" s="62">
        <f ca="1">AVERAGE(OFFSET($CX$3,0,0,'Données projet'!$E$13+1,1))-AVERAGE(OFFSET($H$3,0,0,'Données projet'!$E$13+1,1))</f>
        <v>473.14533251757302</v>
      </c>
      <c r="CZ34" s="62">
        <f t="shared" si="42"/>
        <v>299.82031908667142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2.3334668037299724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2.3334668037299724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>
        <f>DO34*VLOOKUP('Données projet'!$B$14,Paramètres!$A$1:$I$89,3,0)*VLOOKUP('Données projet'!$B$14,Paramètres!$A$1:$I$89,5,0)</f>
        <v>0</v>
      </c>
      <c r="DQ34" s="14" t="e">
        <f t="shared" si="43"/>
        <v>#NUM!</v>
      </c>
      <c r="DR34" s="22" t="e">
        <f t="shared" si="16"/>
        <v>#NUM!</v>
      </c>
      <c r="DS34" s="62" t="e">
        <f t="shared" si="17"/>
        <v>#NUM!</v>
      </c>
      <c r="DT34" s="62">
        <f ca="1">AVERAGE(OFFSET($DS$3,0,0,'Données projet'!$E$14+1,1))-AVERAGE(OFFSET($H$3,0,0,'Données projet'!$E$14+1,1))</f>
        <v>89.751456703373435</v>
      </c>
      <c r="DU34" s="62">
        <f t="shared" si="44"/>
        <v>433.35713950666889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65.044816263625265</v>
      </c>
      <c r="EB34" s="23">
        <f>EXP(-LN(2)/25)*EB33+(1-EXP(-LN(2)/25))/(LN(2)/25)*Calculateur!DW34*Calculateur!DY34*VLOOKUP('Données projet'!$B$14,Paramètres!$A$1:$I$89,3,0)*0.475*44/12</f>
        <v>17.396255939121769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82.441072202747037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14</v>
      </c>
      <c r="EJ34" s="13">
        <f>IF('Données projet'!$A$192&gt;35,EJ33+EI34-ER33,IF(A34&lt;'Données projet'!$A$192,$EG$205^A34,IF(A34='Données projet'!$A$192,'Données projet'!$B$192,EJ33+EI34-ER33)))</f>
        <v>283</v>
      </c>
      <c r="EK34" s="18">
        <f>EJ34*VLOOKUP('Données projet'!$B$15,Paramètres!$A$1:$I$89,3,0)*VLOOKUP('Données projet'!$B$15,Paramètres!$A$1:$I$89,5,0)</f>
        <v>169.23400000000001</v>
      </c>
      <c r="EL34" s="14">
        <f t="shared" si="45"/>
        <v>42.918420001269354</v>
      </c>
      <c r="EM34" s="22">
        <f t="shared" si="19"/>
        <v>369.4987981688775</v>
      </c>
      <c r="EN34" s="62">
        <f t="shared" si="20"/>
        <v>617.47576064762779</v>
      </c>
      <c r="EO34" s="62">
        <f ca="1">AVERAGE(OFFSET($EN$3,0,0,'Données projet'!$E$15+1,1))-AVERAGE(OFFSET($H$3,0,0,'Données projet'!$E$15+1,1))</f>
        <v>204.71144247550794</v>
      </c>
      <c r="EP34" s="62">
        <f t="shared" si="46"/>
        <v>409.91012463636184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10.681023688666661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1.3616950177598495</v>
      </c>
      <c r="EY34" s="24">
        <f t="shared" si="21"/>
        <v>12.042718706426511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57.630080676022814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2.8000000000000003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10.266666666666667</v>
      </c>
      <c r="H35" s="70">
        <f t="shared" si="1"/>
        <v>188.90666666666664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17</v>
      </c>
      <c r="N35" s="14">
        <f>IF('Données projet'!$A$36&gt;35,N34+M35-V34,IF(A35&lt;'Données projet'!$A$36,$K$205^A35,IF(A35='Données projet'!$A$36,'Données projet'!$B$36,N34+M35-V34)))</f>
        <v>229</v>
      </c>
      <c r="O35" s="14">
        <f>N35*VLOOKUP('Données projet'!$B$9,Paramètres!$A$1:$I$89,3,0)*VLOOKUP('Données projet'!$B$9,Paramètres!$A$1:$I$89,5,0)</f>
        <v>107.172</v>
      </c>
      <c r="P35" s="14">
        <f t="shared" si="33"/>
        <v>28.663679082578788</v>
      </c>
      <c r="Q35" s="22">
        <f t="shared" ref="Q35:Q66" si="53">(O35+P35)*0.475*44/12</f>
        <v>236.58047440215805</v>
      </c>
      <c r="R35" s="62">
        <f t="shared" si="0"/>
        <v>485.3442685135812</v>
      </c>
      <c r="S35" s="62">
        <f ca="1">AVERAGE(OFFSET($R$3,0,0,'Données projet'!$E$9+1,1))-AVERAGE(OFFSET($H$3,0,0,'Données projet'!$E$9+1,1))</f>
        <v>349.50936264852089</v>
      </c>
      <c r="T35" s="62">
        <f t="shared" si="34"/>
        <v>260.52733851266106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93.8964</v>
      </c>
      <c r="AK35" s="14">
        <f t="shared" si="35"/>
        <v>25.502612364176063</v>
      </c>
      <c r="AL35" s="22">
        <f t="shared" si="4"/>
        <v>207.95327986760662</v>
      </c>
      <c r="AM35" s="62">
        <f t="shared" si="5"/>
        <v>456.71707397902981</v>
      </c>
      <c r="AN35" s="62">
        <f ca="1">AVERAGE(OFFSET($AM$3,0,0,'Données projet'!$E$10+1,1))-AVERAGE(OFFSET($H$3,0,0,'Données projet'!$E$10+1,1))</f>
        <v>447.04988989014134</v>
      </c>
      <c r="AO35" s="62">
        <f t="shared" si="36"/>
        <v>278.04061554501783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101.11919999999999</v>
      </c>
      <c r="BF35" s="14">
        <f t="shared" si="37"/>
        <v>27.228458555523137</v>
      </c>
      <c r="BG35" s="22">
        <f t="shared" si="7"/>
        <v>223.53883865086948</v>
      </c>
      <c r="BH35" s="62">
        <f t="shared" si="8"/>
        <v>472.30263276229266</v>
      </c>
      <c r="BI35" s="62">
        <f ca="1">AVERAGE(OFFSET($BH$3,0,0,'Données projet'!$E$11+1,1))-AVERAGE(OFFSET($H$3,0,0,'Données projet'!$E$11+1,1))</f>
        <v>475.58735584427552</v>
      </c>
      <c r="BJ35" s="62">
        <f t="shared" si="38"/>
        <v>294.51413339056131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</v>
      </c>
      <c r="BY35" s="13">
        <f>IF('Données projet'!$A$114&gt;35,BY34+BX35-CG34,IF(A35&lt;'Données projet'!$A$114,$BV$205^A35,IF(A35='Données projet'!$A$114,'Données projet'!$B$114,BY34+BX35-CG34)))</f>
        <v>164.99999999999997</v>
      </c>
      <c r="BZ35" s="14">
        <f>BY35*VLOOKUP('Données projet'!$B$12,Paramètres!$A$1:$I$89,3,0)*VLOOKUP('Données projet'!$B$12,Paramètres!$A$1:$I$89,5,0)</f>
        <v>144.14400000000001</v>
      </c>
      <c r="CA35" s="14">
        <f t="shared" si="39"/>
        <v>37.244720006976252</v>
      </c>
      <c r="CB35" s="22">
        <f t="shared" si="10"/>
        <v>315.91868734548365</v>
      </c>
      <c r="CC35" s="62">
        <f t="shared" si="11"/>
        <v>564.68248145690677</v>
      </c>
      <c r="CD35" s="62">
        <f ca="1">AVERAGE(OFFSET($CC$3,0,0,'Données projet'!$E$12+1,1))-AVERAGE(OFFSET($H$3,0,0,'Données projet'!$E$12+1,1))</f>
        <v>344.32696811748974</v>
      </c>
      <c r="CE35" s="62">
        <f t="shared" si="40"/>
        <v>411.51927518440766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9.8850826954037991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9.8850826954037991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114.60000000000004</v>
      </c>
      <c r="CU35" s="18">
        <f>CT35*VLOOKUP('Données projet'!$B$13,Paramètres!$A$1:$I$89,3,0)*VLOOKUP('Données projet'!$B$13,Paramètres!$A$1:$I$89,5,0)</f>
        <v>103.69008000000004</v>
      </c>
      <c r="CV35" s="14">
        <f t="shared" si="41"/>
        <v>27.83924565319537</v>
      </c>
      <c r="CW35" s="22">
        <f t="shared" si="13"/>
        <v>229.08024217931529</v>
      </c>
      <c r="CX35" s="62">
        <f t="shared" si="14"/>
        <v>477.84403629073847</v>
      </c>
      <c r="CY35" s="62">
        <f ca="1">AVERAGE(OFFSET($CX$3,0,0,'Données projet'!$E$13+1,1))-AVERAGE(OFFSET($H$3,0,0,'Données projet'!$E$13+1,1))</f>
        <v>473.14533251757302</v>
      </c>
      <c r="CZ35" s="62">
        <f t="shared" si="42"/>
        <v>299.82031908667142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2.2696580312702901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2.2696580312702901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>
        <f>DO35*VLOOKUP('Données projet'!$B$14,Paramètres!$A$1:$I$89,3,0)*VLOOKUP('Données projet'!$B$14,Paramètres!$A$1:$I$89,5,0)</f>
        <v>0</v>
      </c>
      <c r="DQ35" s="14" t="e">
        <f t="shared" si="43"/>
        <v>#NUM!</v>
      </c>
      <c r="DR35" s="22" t="e">
        <f t="shared" si="16"/>
        <v>#NUM!</v>
      </c>
      <c r="DS35" s="62" t="e">
        <f t="shared" si="17"/>
        <v>#NUM!</v>
      </c>
      <c r="DT35" s="62">
        <f ca="1">AVERAGE(OFFSET($DS$3,0,0,'Données projet'!$E$14+1,1))-AVERAGE(OFFSET($H$3,0,0,'Données projet'!$E$14+1,1))</f>
        <v>89.751456703373435</v>
      </c>
      <c r="DU35" s="62">
        <f t="shared" si="44"/>
        <v>433.35713950666889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63.769327090116072</v>
      </c>
      <c r="EB35" s="23">
        <f>EXP(-LN(2)/25)*EB34+(1-EXP(-LN(2)/25))/(LN(2)/25)*Calculateur!DW35*Calculateur!DY35*VLOOKUP('Données projet'!$B$14,Paramètres!$A$1:$I$89,3,0)*0.475*44/12</f>
        <v>16.920554405637144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80.689881495753212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14</v>
      </c>
      <c r="EJ35" s="13">
        <f>IF('Données projet'!$A$192&gt;35,EJ34+EI35-ER34,IF(A35&lt;'Données projet'!$A$192,$EG$205^A35,IF(A35='Données projet'!$A$192,'Données projet'!$B$192,EJ34+EI35-ER34)))</f>
        <v>297</v>
      </c>
      <c r="EK35" s="18">
        <f>EJ35*VLOOKUP('Données projet'!$B$15,Paramètres!$A$1:$I$89,3,0)*VLOOKUP('Données projet'!$B$15,Paramètres!$A$1:$I$89,5,0)</f>
        <v>177.60600000000002</v>
      </c>
      <c r="EL35" s="14">
        <f t="shared" si="45"/>
        <v>44.789150937858665</v>
      </c>
      <c r="EM35" s="22">
        <f t="shared" si="19"/>
        <v>387.33822121677053</v>
      </c>
      <c r="EN35" s="62">
        <f t="shared" si="20"/>
        <v>636.10201532819372</v>
      </c>
      <c r="EO35" s="62">
        <f ca="1">AVERAGE(OFFSET($EN$3,0,0,'Données projet'!$E$15+1,1))-AVERAGE(OFFSET($H$3,0,0,'Données projet'!$E$15+1,1))</f>
        <v>204.71144247550794</v>
      </c>
      <c r="EP35" s="62">
        <f t="shared" si="46"/>
        <v>409.91012463636184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10.471575328913076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0.96286378096592584</v>
      </c>
      <c r="EY35" s="24">
        <f t="shared" si="21"/>
        <v>11.434439109879001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57.844671121297225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2.8000000000000003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10.266666666666667</v>
      </c>
      <c r="H36" s="70">
        <f t="shared" si="1"/>
        <v>188.90666666666664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17</v>
      </c>
      <c r="N36" s="14">
        <f>IF('Données projet'!$A$36&gt;35,N35+M36-V35,IF(A36&lt;'Données projet'!$A$36,$K$205^A36,IF(A36='Données projet'!$A$36,'Données projet'!$B$36,N35+M36-V35)))</f>
        <v>246</v>
      </c>
      <c r="O36" s="14">
        <f>N36*VLOOKUP('Données projet'!$B$9,Paramètres!$A$1:$I$89,3,0)*VLOOKUP('Données projet'!$B$9,Paramètres!$A$1:$I$89,5,0)</f>
        <v>115.128</v>
      </c>
      <c r="P36" s="14">
        <f t="shared" si="33"/>
        <v>30.53595882135</v>
      </c>
      <c r="Q36" s="22">
        <f t="shared" si="53"/>
        <v>253.69806161385125</v>
      </c>
      <c r="R36" s="62">
        <f t="shared" si="0"/>
        <v>503.23503758821238</v>
      </c>
      <c r="S36" s="62">
        <f ca="1">AVERAGE(OFFSET($R$3,0,0,'Données projet'!$E$9+1,1))-AVERAGE(OFFSET($H$3,0,0,'Données projet'!$E$9+1,1))</f>
        <v>349.50936264852089</v>
      </c>
      <c r="T36" s="62">
        <f t="shared" si="34"/>
        <v>260.52733851266106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101.80559999999998</v>
      </c>
      <c r="AK36" s="14">
        <f t="shared" si="35"/>
        <v>27.391707821525987</v>
      </c>
      <c r="AL36" s="22">
        <f t="shared" si="4"/>
        <v>225.01864445582441</v>
      </c>
      <c r="AM36" s="62">
        <f t="shared" si="5"/>
        <v>474.55562043018551</v>
      </c>
      <c r="AN36" s="62">
        <f ca="1">AVERAGE(OFFSET($AM$3,0,0,'Données projet'!$E$10+1,1))-AVERAGE(OFFSET($H$3,0,0,'Données projet'!$E$10+1,1))</f>
        <v>447.04988989014134</v>
      </c>
      <c r="AO36" s="62">
        <f t="shared" si="36"/>
        <v>278.04061554501783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109.63679999999998</v>
      </c>
      <c r="BF36" s="14">
        <f t="shared" si="37"/>
        <v>29.245395355305003</v>
      </c>
      <c r="BG36" s="22">
        <f t="shared" si="7"/>
        <v>241.88649024382281</v>
      </c>
      <c r="BH36" s="62">
        <f t="shared" si="8"/>
        <v>491.42346621818393</v>
      </c>
      <c r="BI36" s="62">
        <f ca="1">AVERAGE(OFFSET($BH$3,0,0,'Données projet'!$E$11+1,1))-AVERAGE(OFFSET($H$3,0,0,'Données projet'!$E$11+1,1))</f>
        <v>475.58735584427552</v>
      </c>
      <c r="BJ36" s="62">
        <f t="shared" si="38"/>
        <v>294.51413339056131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</v>
      </c>
      <c r="BY36" s="13">
        <f>IF('Données projet'!$A$114&gt;35,BY35+BX36-CG35,IF(A36&lt;'Données projet'!$A$114,$BV$205^A36,IF(A36='Données projet'!$A$114,'Données projet'!$B$114,BY35+BX36-CG35)))</f>
        <v>176.99999999999997</v>
      </c>
      <c r="BZ36" s="14">
        <f>BY36*VLOOKUP('Données projet'!$B$12,Paramètres!$A$1:$I$89,3,0)*VLOOKUP('Données projet'!$B$12,Paramètres!$A$1:$I$89,5,0)</f>
        <v>154.62719999999999</v>
      </c>
      <c r="CA36" s="14">
        <f t="shared" si="39"/>
        <v>39.62826685000794</v>
      </c>
      <c r="CB36" s="22">
        <f t="shared" si="10"/>
        <v>338.32827143043045</v>
      </c>
      <c r="CC36" s="62">
        <f t="shared" si="11"/>
        <v>587.8652474047916</v>
      </c>
      <c r="CD36" s="62">
        <f ca="1">AVERAGE(OFFSET($CC$3,0,0,'Données projet'!$E$12+1,1))-AVERAGE(OFFSET($H$3,0,0,'Données projet'!$E$12+1,1))</f>
        <v>344.32696811748974</v>
      </c>
      <c r="CE36" s="62">
        <f t="shared" si="40"/>
        <v>411.51927518440766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9.6147745892640764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9.6147745892640764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125.40000000000003</v>
      </c>
      <c r="CU36" s="18">
        <f>CT36*VLOOKUP('Données projet'!$B$13,Paramètres!$A$1:$I$89,3,0)*VLOOKUP('Données projet'!$B$13,Paramètres!$A$1:$I$89,5,0)</f>
        <v>113.46192000000002</v>
      </c>
      <c r="CV36" s="14">
        <f t="shared" si="41"/>
        <v>30.145163126535493</v>
      </c>
      <c r="CW36" s="22">
        <f t="shared" si="13"/>
        <v>250.11566977871598</v>
      </c>
      <c r="CX36" s="62">
        <f t="shared" si="14"/>
        <v>499.65264575307708</v>
      </c>
      <c r="CY36" s="62">
        <f ca="1">AVERAGE(OFFSET($CX$3,0,0,'Données projet'!$E$13+1,1))-AVERAGE(OFFSET($H$3,0,0,'Données projet'!$E$13+1,1))</f>
        <v>473.14533251757302</v>
      </c>
      <c r="CZ36" s="62">
        <f t="shared" si="42"/>
        <v>299.82031908667142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2.2075941130490757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2.2075941130490757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>
        <f>DO36*VLOOKUP('Données projet'!$B$14,Paramètres!$A$1:$I$89,3,0)*VLOOKUP('Données projet'!$B$14,Paramètres!$A$1:$I$89,5,0)</f>
        <v>0</v>
      </c>
      <c r="DQ36" s="14" t="e">
        <f t="shared" si="43"/>
        <v>#NUM!</v>
      </c>
      <c r="DR36" s="22" t="e">
        <f t="shared" si="16"/>
        <v>#NUM!</v>
      </c>
      <c r="DS36" s="62" t="e">
        <f t="shared" si="17"/>
        <v>#NUM!</v>
      </c>
      <c r="DT36" s="62">
        <f ca="1">AVERAGE(OFFSET($DS$3,0,0,'Données projet'!$E$14+1,1))-AVERAGE(OFFSET($H$3,0,0,'Données projet'!$E$14+1,1))</f>
        <v>89.751456703373435</v>
      </c>
      <c r="DU36" s="62">
        <f t="shared" si="44"/>
        <v>433.35713950666889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62.518849481327813</v>
      </c>
      <c r="EB36" s="23">
        <f>EXP(-LN(2)/25)*EB35+(1-EXP(-LN(2)/25))/(LN(2)/25)*Calculateur!DW36*Calculateur!DY36*VLOOKUP('Données projet'!$B$14,Paramètres!$A$1:$I$89,3,0)*0.475*44/12</f>
        <v>16.457860955601713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78.976710436929523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14</v>
      </c>
      <c r="EJ36" s="13">
        <f>IF('Données projet'!$A$192&gt;35,EJ35+EI36-ER35,IF(A36&lt;'Données projet'!$A$192,$EG$205^A36,IF(A36='Données projet'!$A$192,'Données projet'!$B$192,EJ35+EI36-ER35)))</f>
        <v>311</v>
      </c>
      <c r="EK36" s="18">
        <f>EJ36*VLOOKUP('Données projet'!$B$15,Paramètres!$A$1:$I$89,3,0)*VLOOKUP('Données projet'!$B$15,Paramètres!$A$1:$I$89,5,0)</f>
        <v>185.97800000000001</v>
      </c>
      <c r="EL36" s="14">
        <f t="shared" si="45"/>
        <v>46.649641523668571</v>
      </c>
      <c r="EM36" s="22">
        <f t="shared" si="19"/>
        <v>405.15980898705612</v>
      </c>
      <c r="EN36" s="62">
        <f t="shared" si="20"/>
        <v>654.69678496141728</v>
      </c>
      <c r="EO36" s="62">
        <f ca="1">AVERAGE(OFFSET($EN$3,0,0,'Données projet'!$E$15+1,1))-AVERAGE(OFFSET($H$3,0,0,'Données projet'!$E$15+1,1))</f>
        <v>204.71144247550794</v>
      </c>
      <c r="EP36" s="62">
        <f t="shared" si="46"/>
        <v>409.91012463636184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10.266234123743374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0.68084750887992485</v>
      </c>
      <c r="EY36" s="24">
        <f t="shared" si="21"/>
        <v>10.947081632623298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58.05553890209849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2.8000000000000003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10.266666666666667</v>
      </c>
      <c r="H37" s="70">
        <f t="shared" si="1"/>
        <v>188.90666666666664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17</v>
      </c>
      <c r="N37" s="14">
        <f>IF('Données projet'!$A$36&gt;35,N36+M37-V36,IF(A37&lt;'Données projet'!$A$36,$K$205^A37,IF(A37='Données projet'!$A$36,'Données projet'!$B$36,N36+M37-V36)))</f>
        <v>263</v>
      </c>
      <c r="O37" s="14">
        <f>N37*VLOOKUP('Données projet'!$B$9,Paramètres!$A$1:$I$89,3,0)*VLOOKUP('Données projet'!$B$9,Paramètres!$A$1:$I$89,5,0)</f>
        <v>123.08399999999999</v>
      </c>
      <c r="P37" s="14">
        <f t="shared" si="33"/>
        <v>32.393225926509828</v>
      </c>
      <c r="Q37" s="22">
        <f t="shared" si="53"/>
        <v>270.78950182200458</v>
      </c>
      <c r="R37" s="62">
        <f t="shared" si="0"/>
        <v>521.08624668255743</v>
      </c>
      <c r="S37" s="62">
        <f ca="1">AVERAGE(OFFSET($R$3,0,0,'Données projet'!$E$9+1,1))-AVERAGE(OFFSET($H$3,0,0,'Données projet'!$E$9+1,1))</f>
        <v>349.50936264852089</v>
      </c>
      <c r="T37" s="62">
        <f t="shared" si="34"/>
        <v>260.52733851266106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109.7148</v>
      </c>
      <c r="AK37" s="14">
        <f t="shared" si="35"/>
        <v>29.263779078727129</v>
      </c>
      <c r="AL37" s="22">
        <f t="shared" si="4"/>
        <v>242.05435856211645</v>
      </c>
      <c r="AM37" s="62">
        <f t="shared" si="5"/>
        <v>492.35110342266933</v>
      </c>
      <c r="AN37" s="62">
        <f ca="1">AVERAGE(OFFSET($AM$3,0,0,'Données projet'!$E$10+1,1))-AVERAGE(OFFSET($H$3,0,0,'Données projet'!$E$10+1,1))</f>
        <v>447.04988989014134</v>
      </c>
      <c r="AO37" s="62">
        <f t="shared" si="36"/>
        <v>278.04061554501783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118.15439999999997</v>
      </c>
      <c r="BF37" s="14">
        <f t="shared" si="37"/>
        <v>31.244155870964601</v>
      </c>
      <c r="BG37" s="22">
        <f t="shared" si="7"/>
        <v>260.20248480859658</v>
      </c>
      <c r="BH37" s="62">
        <f t="shared" si="8"/>
        <v>510.49922966914943</v>
      </c>
      <c r="BI37" s="62">
        <f ca="1">AVERAGE(OFFSET($BH$3,0,0,'Données projet'!$E$11+1,1))-AVERAGE(OFFSET($H$3,0,0,'Données projet'!$E$11+1,1))</f>
        <v>475.58735584427552</v>
      </c>
      <c r="BJ37" s="62">
        <f t="shared" si="38"/>
        <v>294.51413339056131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</v>
      </c>
      <c r="BY37" s="13">
        <f>IF('Données projet'!$A$114&gt;35,BY36+BX37-CG36,IF(A37&lt;'Données projet'!$A$114,$BV$205^A37,IF(A37='Données projet'!$A$114,'Données projet'!$B$114,BY36+BX37-CG36)))</f>
        <v>188.99999999999997</v>
      </c>
      <c r="BZ37" s="14">
        <f>BY37*VLOOKUP('Données projet'!$B$12,Paramètres!$A$1:$I$89,3,0)*VLOOKUP('Données projet'!$B$12,Paramètres!$A$1:$I$89,5,0)</f>
        <v>165.1104</v>
      </c>
      <c r="CA37" s="14">
        <f t="shared" si="39"/>
        <v>41.993062739333446</v>
      </c>
      <c r="CB37" s="22">
        <f t="shared" si="10"/>
        <v>360.70519760433905</v>
      </c>
      <c r="CC37" s="62">
        <f t="shared" si="11"/>
        <v>611.00194246489195</v>
      </c>
      <c r="CD37" s="62">
        <f ca="1">AVERAGE(OFFSET($CC$3,0,0,'Données projet'!$E$12+1,1))-AVERAGE(OFFSET($H$3,0,0,'Données projet'!$E$12+1,1))</f>
        <v>344.32696811748974</v>
      </c>
      <c r="CE37" s="62">
        <f t="shared" si="40"/>
        <v>411.51927518440766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9.3518580725016296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9.3518580725016296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136.20000000000005</v>
      </c>
      <c r="CU37" s="18">
        <f>CT37*VLOOKUP('Données projet'!$B$13,Paramètres!$A$1:$I$89,3,0)*VLOOKUP('Données projet'!$B$13,Paramètres!$A$1:$I$89,5,0)</f>
        <v>123.23376000000005</v>
      </c>
      <c r="CV37" s="14">
        <f t="shared" si="41"/>
        <v>32.428049504876491</v>
      </c>
      <c r="CW37" s="22">
        <f t="shared" si="13"/>
        <v>271.11098488765998</v>
      </c>
      <c r="CX37" s="62">
        <f t="shared" si="14"/>
        <v>521.40772974821289</v>
      </c>
      <c r="CY37" s="62">
        <f ca="1">AVERAGE(OFFSET($CX$3,0,0,'Données projet'!$E$13+1,1))-AVERAGE(OFFSET($H$3,0,0,'Données projet'!$E$13+1,1))</f>
        <v>473.14533251757302</v>
      </c>
      <c r="CZ37" s="62">
        <f t="shared" si="42"/>
        <v>299.82031908667142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2.1472273359354199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2.1472273359354199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>
        <f>DO37*VLOOKUP('Données projet'!$B$14,Paramètres!$A$1:$I$89,3,0)*VLOOKUP('Données projet'!$B$14,Paramètres!$A$1:$I$89,5,0)</f>
        <v>0</v>
      </c>
      <c r="DQ37" s="14" t="e">
        <f t="shared" si="43"/>
        <v>#NUM!</v>
      </c>
      <c r="DR37" s="22" t="e">
        <f t="shared" si="16"/>
        <v>#NUM!</v>
      </c>
      <c r="DS37" s="62" t="e">
        <f t="shared" si="17"/>
        <v>#NUM!</v>
      </c>
      <c r="DT37" s="62">
        <f ca="1">AVERAGE(OFFSET($DS$3,0,0,'Données projet'!$E$14+1,1))-AVERAGE(OFFSET($H$3,0,0,'Données projet'!$E$14+1,1))</f>
        <v>89.751456703373435</v>
      </c>
      <c r="DU37" s="62">
        <f t="shared" si="44"/>
        <v>433.35713950666889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61.29289297573186</v>
      </c>
      <c r="EB37" s="23">
        <f>EXP(-LN(2)/25)*EB36+(1-EXP(-LN(2)/25))/(LN(2)/25)*Calculateur!DW37*Calculateur!DY37*VLOOKUP('Données projet'!$B$14,Paramètres!$A$1:$I$89,3,0)*0.475*44/12</f>
        <v>16.007819882289493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77.300712858021356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>
        <f>VLOOKUP(A37,'Données projet'!$A$191:$I$211,2,0)</f>
        <v>325</v>
      </c>
      <c r="EH37" s="13">
        <f>VLOOKUP(A37,'Données projet'!$A$191:$I$211,9,0)</f>
        <v>14</v>
      </c>
      <c r="EI37" s="13">
        <f t="array" ref="EI37">INDEX(EH:EH,MIN(IF(ISNUMBER(EH37:EH233),ROW(EH37:EH233),"")))</f>
        <v>14</v>
      </c>
      <c r="EJ37" s="13">
        <f>IF('Données projet'!$A$192&gt;35,EJ36+EI37-ER36,IF(A37&lt;'Données projet'!$A$192,$EG$205^A37,IF(A37='Données projet'!$A$192,'Données projet'!$B$192,EJ36+EI37-ER36)))</f>
        <v>325</v>
      </c>
      <c r="EK37" s="18">
        <f>EJ37*VLOOKUP('Données projet'!$B$15,Paramètres!$A$1:$I$89,3,0)*VLOOKUP('Données projet'!$B$15,Paramètres!$A$1:$I$89,5,0)</f>
        <v>194.35</v>
      </c>
      <c r="EL37" s="14">
        <f t="shared" si="45"/>
        <v>48.500405405690429</v>
      </c>
      <c r="EM37" s="22">
        <f t="shared" si="19"/>
        <v>422.96445608157745</v>
      </c>
      <c r="EN37" s="62">
        <f t="shared" si="20"/>
        <v>673.26120094213024</v>
      </c>
      <c r="EO37" s="62">
        <f ca="1">AVERAGE(OFFSET($EN$3,0,0,'Données projet'!$E$15+1,1))-AVERAGE(OFFSET($H$3,0,0,'Données projet'!$E$15+1,1))</f>
        <v>204.71144247550794</v>
      </c>
      <c r="EP37" s="62">
        <f t="shared" si="46"/>
        <v>409.91012463636184</v>
      </c>
      <c r="EQ37" s="16">
        <f>IF(ISNA(VLOOKUP(A37,'Données projet'!$A$191:$I$211,3,0)),0,VLOOKUP(A37,'Données projet'!$A$191:$I$211,3,0))</f>
        <v>5</v>
      </c>
      <c r="ER37" s="16">
        <f>IF(ISNA(VLOOKUP(A37,'Données projet'!$A$191:$I$211,4,0)),0,VLOOKUP(A37,'Données projet'!$A$191:$I$211,4,0))</f>
        <v>325</v>
      </c>
      <c r="ES37" s="17">
        <f>IF(ISNA(VLOOKUP(A37,'Données projet'!$A$191:$I$211,5,0)),0%,VLOOKUP(A37,'Données projet'!$A$191:$I$211,5,0)*VLOOKUP('Données projet'!$B$15,Paramètres!$A$1:$I$89,7,0))</f>
        <v>0.315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0.3</v>
      </c>
      <c r="EV37" s="23">
        <f>EXP(-LN(2)/35)*EV36+(1-EXP(-LN(2)/35))/(LN(2)/35)*ER37*ES37*VLOOKUP('Données projet'!$B$15,Paramètres!$A$1:$I$89,3,0)*0.475*44/12</f>
        <v>91.277527137483801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66.496235997763563</v>
      </c>
      <c r="EY37" s="24">
        <f t="shared" si="21"/>
        <v>157.77376313524735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58.262748598332585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2.8000000000000003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10.266666666666667</v>
      </c>
      <c r="H38" s="70">
        <f t="shared" si="1"/>
        <v>188.90666666666664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280</v>
      </c>
      <c r="L38" s="13">
        <f>VLOOKUP(A38,'Données projet'!$A$35:$I$55,9,0)</f>
        <v>17</v>
      </c>
      <c r="M38" s="13">
        <f t="array" ref="M38">INDEX(L:L,MIN(IF(ISNUMBER(L38:L234),ROW(L38:L234),"")))</f>
        <v>17</v>
      </c>
      <c r="N38" s="14">
        <f>IF('Données projet'!$A$36&gt;35,N37+M38-V37,IF(A38&lt;'Données projet'!$A$36,$K$205^A38,IF(A38='Données projet'!$A$36,'Données projet'!$B$36,N37+M38-V37)))</f>
        <v>280</v>
      </c>
      <c r="O38" s="14">
        <f>N38*VLOOKUP('Données projet'!$B$9,Paramètres!$A$1:$I$89,3,0)*VLOOKUP('Données projet'!$B$9,Paramètres!$A$1:$I$89,5,0)</f>
        <v>131.04</v>
      </c>
      <c r="P38" s="14">
        <f t="shared" si="33"/>
        <v>34.236561238949918</v>
      </c>
      <c r="Q38" s="22">
        <f t="shared" si="53"/>
        <v>287.85667749117107</v>
      </c>
      <c r="R38" s="62">
        <f t="shared" si="0"/>
        <v>538.90001094632885</v>
      </c>
      <c r="S38" s="62">
        <f ca="1">AVERAGE(OFFSET($R$3,0,0,'Données projet'!$E$9+1,1))-AVERAGE(OFFSET($H$3,0,0,'Données projet'!$E$9+1,1))</f>
        <v>349.50936264852089</v>
      </c>
      <c r="T38" s="62">
        <f t="shared" si="34"/>
        <v>260.52733851266106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117.624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510.10613619728241</v>
      </c>
      <c r="AN38" s="62">
        <f ca="1">AVERAGE(OFFSET($AM$3,0,0,'Données projet'!$E$10+1,1))-AVERAGE(OFFSET($H$3,0,0,'Données projet'!$E$10+1,1))</f>
        <v>447.04988989014134</v>
      </c>
      <c r="AO38" s="62">
        <f t="shared" si="36"/>
        <v>278.04061554501783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126.67199999999998</v>
      </c>
      <c r="BF38" s="14">
        <f t="shared" si="37"/>
        <v>33.226199426361347</v>
      </c>
      <c r="BG38" s="22">
        <f t="shared" si="7"/>
        <v>278.48936400091264</v>
      </c>
      <c r="BH38" s="62">
        <f t="shared" si="8"/>
        <v>529.53269745607054</v>
      </c>
      <c r="BI38" s="62">
        <f ca="1">AVERAGE(OFFSET($BH$3,0,0,'Données projet'!$E$11+1,1))-AVERAGE(OFFSET($H$3,0,0,'Données projet'!$E$11+1,1))</f>
        <v>475.58735584427552</v>
      </c>
      <c r="BJ38" s="62">
        <f t="shared" si="38"/>
        <v>294.51413339056131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201</v>
      </c>
      <c r="BW38" s="13">
        <f>VLOOKUP(A38,'Données projet'!$A$113:$I$133,9,0)</f>
        <v>12</v>
      </c>
      <c r="BX38" s="13">
        <f t="array" ref="BX38">INDEX(BW:BW,MIN(IF(ISNUMBER(BW38:BW234),ROW(BW38:BW234),"")))</f>
        <v>12</v>
      </c>
      <c r="BY38" s="13">
        <f>IF('Données projet'!$A$114&gt;35,BY37+BX38-CG37,IF(A38&lt;'Données projet'!$A$114,$BV$205^A38,IF(A38='Données projet'!$A$114,'Données projet'!$B$114,BY37+BX38-CG37)))</f>
        <v>200.99999999999997</v>
      </c>
      <c r="BZ38" s="14">
        <f>BY38*VLOOKUP('Données projet'!$B$12,Paramètres!$A$1:$I$89,3,0)*VLOOKUP('Données projet'!$B$12,Paramètres!$A$1:$I$89,5,0)</f>
        <v>175.59359999999998</v>
      </c>
      <c r="CA38" s="14">
        <f t="shared" si="39"/>
        <v>44.340433728638573</v>
      </c>
      <c r="CB38" s="22">
        <f t="shared" si="10"/>
        <v>383.05177541071208</v>
      </c>
      <c r="CC38" s="62">
        <f t="shared" si="11"/>
        <v>634.09510886586986</v>
      </c>
      <c r="CD38" s="62">
        <f ca="1">AVERAGE(OFFSET($CC$3,0,0,'Données projet'!$E$12+1,1))-AVERAGE(OFFSET($H$3,0,0,'Données projet'!$E$12+1,1))</f>
        <v>344.32696811748974</v>
      </c>
      <c r="CE38" s="62">
        <f t="shared" si="40"/>
        <v>411.51927518440766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9.0961310217162303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9.0961310217162303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147.00000000000006</v>
      </c>
      <c r="CU38" s="18">
        <f>CT38*VLOOKUP('Données projet'!$B$13,Paramètres!$A$1:$I$89,3,0)*VLOOKUP('Données projet'!$B$13,Paramètres!$A$1:$I$89,5,0)</f>
        <v>133.00560000000004</v>
      </c>
      <c r="CV38" s="14">
        <f t="shared" si="41"/>
        <v>34.689938673073549</v>
      </c>
      <c r="CW38" s="22">
        <f t="shared" si="13"/>
        <v>292.06972985560316</v>
      </c>
      <c r="CX38" s="62">
        <f t="shared" si="14"/>
        <v>543.11306331076094</v>
      </c>
      <c r="CY38" s="62">
        <f ca="1">AVERAGE(OFFSET($CX$3,0,0,'Données projet'!$E$13+1,1))-AVERAGE(OFFSET($H$3,0,0,'Données projet'!$E$13+1,1))</f>
        <v>473.14533251757302</v>
      </c>
      <c r="CZ38" s="62">
        <f t="shared" si="42"/>
        <v>299.82031908667142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2.0885112915164878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2.0885112915164878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>
        <f>DO38*VLOOKUP('Données projet'!$B$14,Paramètres!$A$1:$I$89,3,0)*VLOOKUP('Données projet'!$B$14,Paramètres!$A$1:$I$89,5,0)</f>
        <v>0</v>
      </c>
      <c r="DQ38" s="14" t="e">
        <f t="shared" si="43"/>
        <v>#NUM!</v>
      </c>
      <c r="DR38" s="22" t="e">
        <f t="shared" si="16"/>
        <v>#NUM!</v>
      </c>
      <c r="DS38" s="62" t="e">
        <f t="shared" si="17"/>
        <v>#NUM!</v>
      </c>
      <c r="DT38" s="62">
        <f ca="1">AVERAGE(OFFSET($DS$3,0,0,'Données projet'!$E$14+1,1))-AVERAGE(OFFSET($H$3,0,0,'Données projet'!$E$14+1,1))</f>
        <v>89.751456703373435</v>
      </c>
      <c r="DU38" s="62">
        <f t="shared" si="44"/>
        <v>433.35713950666889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60.090976729451015</v>
      </c>
      <c r="EB38" s="23">
        <f>EXP(-LN(2)/25)*EB37+(1-EXP(-LN(2)/25))/(LN(2)/25)*Calculateur!DW38*Calculateur!DY38*VLOOKUP('Données projet'!$B$14,Paramètres!$A$1:$I$89,3,0)*0.475*44/12</f>
        <v>15.570085205793625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75.661061935244646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>
        <f>EJ38*VLOOKUP('Données projet'!$B$15,Paramètres!$A$1:$I$89,3,0)*VLOOKUP('Données projet'!$B$15,Paramètres!$A$1:$I$89,5,0)</f>
        <v>0</v>
      </c>
      <c r="EL38" s="14" t="e">
        <f t="shared" si="45"/>
        <v>#NUM!</v>
      </c>
      <c r="EM38" s="22" t="e">
        <f t="shared" si="19"/>
        <v>#NUM!</v>
      </c>
      <c r="EN38" s="62" t="e">
        <f t="shared" si="20"/>
        <v>#NUM!</v>
      </c>
      <c r="EO38" s="62">
        <f ca="1">AVERAGE(OFFSET($EN$3,0,0,'Données projet'!$E$15+1,1))-AVERAGE(OFFSET($H$3,0,0,'Données projet'!$E$15+1,1))</f>
        <v>204.71144247550794</v>
      </c>
      <c r="EP38" s="62">
        <f t="shared" si="46"/>
        <v>409.91012463636184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89.487630504111962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47.019939397399625</v>
      </c>
      <c r="EY38" s="24">
        <f t="shared" si="21"/>
        <v>136.5075699015116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58.466363669588503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2.8000000000000003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10.266666666666667</v>
      </c>
      <c r="H39" s="70">
        <f t="shared" si="1"/>
        <v>188.90666666666664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299.57142857142856</v>
      </c>
      <c r="O39" s="14">
        <f>N39*VLOOKUP('Données projet'!$B$9,Paramètres!$A$1:$I$89,3,0)*VLOOKUP('Données projet'!$B$9,Paramètres!$A$1:$I$89,5,0)</f>
        <v>140.19942857142857</v>
      </c>
      <c r="P39" s="14">
        <f t="shared" si="33"/>
        <v>36.342687994625102</v>
      </c>
      <c r="Q39" s="22">
        <f t="shared" si="53"/>
        <v>307.47751968587681</v>
      </c>
      <c r="R39" s="62">
        <f t="shared" si="0"/>
        <v>559.25449009264537</v>
      </c>
      <c r="S39" s="62">
        <f ca="1">AVERAGE(OFFSET($R$3,0,0,'Données projet'!$E$9+1,1))-AVERAGE(OFFSET($H$3,0,0,'Données projet'!$E$9+1,1))</f>
        <v>349.50936264852089</v>
      </c>
      <c r="T39" s="62">
        <f t="shared" si="34"/>
        <v>260.52733851266106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483.35118313525328</v>
      </c>
      <c r="AN39" s="62">
        <f ca="1">AVERAGE(OFFSET($AM$3,0,0,'Données projet'!$E$10+1,1))-AVERAGE(OFFSET($H$3,0,0,'Données projet'!$E$10+1,1))</f>
        <v>447.04988989014134</v>
      </c>
      <c r="AO39" s="62">
        <f t="shared" si="36"/>
        <v>278.04061554501783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112.91279999999999</v>
      </c>
      <c r="BF39" s="14">
        <f t="shared" si="37"/>
        <v>30.016215601722575</v>
      </c>
      <c r="BG39" s="22">
        <f t="shared" si="7"/>
        <v>248.93470217300015</v>
      </c>
      <c r="BH39" s="62">
        <f t="shared" si="8"/>
        <v>500.71167257976867</v>
      </c>
      <c r="BI39" s="62">
        <f ca="1">AVERAGE(OFFSET($BH$3,0,0,'Données projet'!$E$11+1,1))-AVERAGE(OFFSET($H$3,0,0,'Données projet'!$E$11+1,1))</f>
        <v>475.58735584427552</v>
      </c>
      <c r="BJ39" s="62">
        <f t="shared" si="38"/>
        <v>294.51413339056131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</v>
      </c>
      <c r="BY39" s="13">
        <f>IF('Données projet'!$A$114&gt;35,BY38+BX39-CG38,IF(A39&lt;'Données projet'!$A$114,$BV$205^A39,IF(A39='Données projet'!$A$114,'Données projet'!$B$114,BY38+BX39-CG38)))</f>
        <v>169.99999999999997</v>
      </c>
      <c r="BZ39" s="14">
        <f>BY39*VLOOKUP('Données projet'!$B$12,Paramètres!$A$1:$I$89,3,0)*VLOOKUP('Données projet'!$B$12,Paramètres!$A$1:$I$89,5,0)</f>
        <v>148.512</v>
      </c>
      <c r="CA39" s="14">
        <f t="shared" si="39"/>
        <v>38.240236326053513</v>
      </c>
      <c r="CB39" s="22">
        <f t="shared" si="10"/>
        <v>325.26014493454323</v>
      </c>
      <c r="CC39" s="62">
        <f t="shared" si="11"/>
        <v>577.03711534131173</v>
      </c>
      <c r="CD39" s="62">
        <f ca="1">AVERAGE(OFFSET($CC$3,0,0,'Données projet'!$E$12+1,1))-AVERAGE(OFFSET($H$3,0,0,'Données projet'!$E$12+1,1))</f>
        <v>344.32696811748974</v>
      </c>
      <c r="CE39" s="62">
        <f t="shared" si="40"/>
        <v>411.51927518440766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8.8473968405826593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8.8473968405826593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130.20000000000005</v>
      </c>
      <c r="CU39" s="18">
        <f>CT39*VLOOKUP('Données projet'!$B$13,Paramètres!$A$1:$I$89,3,0)*VLOOKUP('Données projet'!$B$13,Paramètres!$A$1:$I$89,5,0)</f>
        <v>117.80496000000004</v>
      </c>
      <c r="CV39" s="14">
        <f t="shared" si="41"/>
        <v>31.162493487829593</v>
      </c>
      <c r="CW39" s="22">
        <f t="shared" si="13"/>
        <v>259.45164815796994</v>
      </c>
      <c r="CX39" s="62">
        <f t="shared" si="14"/>
        <v>511.22861856473844</v>
      </c>
      <c r="CY39" s="62">
        <f ca="1">AVERAGE(OFFSET($CX$3,0,0,'Données projet'!$E$13+1,1))-AVERAGE(OFFSET($H$3,0,0,'Données projet'!$E$13+1,1))</f>
        <v>473.14533251757302</v>
      </c>
      <c r="CZ39" s="62">
        <f t="shared" si="42"/>
        <v>299.82031908667142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2.0314008404199342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2.0314008404199342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>
        <f>DO39*VLOOKUP('Données projet'!$B$14,Paramètres!$A$1:$I$89,3,0)*VLOOKUP('Données projet'!$B$14,Paramètres!$A$1:$I$89,5,0)</f>
        <v>0</v>
      </c>
      <c r="DQ39" s="14" t="e">
        <f t="shared" si="43"/>
        <v>#NUM!</v>
      </c>
      <c r="DR39" s="22" t="e">
        <f t="shared" si="16"/>
        <v>#NUM!</v>
      </c>
      <c r="DS39" s="62" t="e">
        <f t="shared" si="17"/>
        <v>#NUM!</v>
      </c>
      <c r="DT39" s="62">
        <f ca="1">AVERAGE(OFFSET($DS$3,0,0,'Données projet'!$E$14+1,1))-AVERAGE(OFFSET($H$3,0,0,'Données projet'!$E$14+1,1))</f>
        <v>89.751456703373435</v>
      </c>
      <c r="DU39" s="62">
        <f t="shared" si="44"/>
        <v>433.35713950666889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58.912629327663211</v>
      </c>
      <c r="EB39" s="23">
        <f>EXP(-LN(2)/25)*EB38+(1-EXP(-LN(2)/25))/(LN(2)/25)*Calculateur!DW39*Calculateur!DY39*VLOOKUP('Données projet'!$B$14,Paramètres!$A$1:$I$89,3,0)*0.475*44/12</f>
        <v>15.144320407046003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74.056949734709207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>
        <f>EJ39*VLOOKUP('Données projet'!$B$15,Paramètres!$A$1:$I$89,3,0)*VLOOKUP('Données projet'!$B$15,Paramètres!$A$1:$I$89,5,0)</f>
        <v>0</v>
      </c>
      <c r="EL39" s="14" t="e">
        <f t="shared" si="45"/>
        <v>#NUM!</v>
      </c>
      <c r="EM39" s="22" t="e">
        <f t="shared" si="19"/>
        <v>#NUM!</v>
      </c>
      <c r="EN39" s="62" t="e">
        <f t="shared" si="20"/>
        <v>#NUM!</v>
      </c>
      <c r="EO39" s="62">
        <f ca="1">AVERAGE(OFFSET($EN$3,0,0,'Données projet'!$E$15+1,1))-AVERAGE(OFFSET($H$3,0,0,'Données projet'!$E$15+1,1))</f>
        <v>204.71144247550794</v>
      </c>
      <c r="EP39" s="62">
        <f t="shared" si="46"/>
        <v>409.91012463636184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87.732832651991401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33.248117998881781</v>
      </c>
      <c r="EY39" s="24">
        <f t="shared" si="21"/>
        <v>120.98095065087318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58.666446474573235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2.8000000000000003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10.266666666666667</v>
      </c>
      <c r="H40" s="70">
        <f t="shared" si="1"/>
        <v>188.90666666666664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319.14285714285711</v>
      </c>
      <c r="O40" s="14">
        <f>N40*VLOOKUP('Données projet'!$B$9,Paramètres!$A$1:$I$89,3,0)*VLOOKUP('Données projet'!$B$9,Paramètres!$A$1:$I$89,5,0)</f>
        <v>149.35885714285715</v>
      </c>
      <c r="P40" s="14">
        <f t="shared" si="33"/>
        <v>38.432847302798578</v>
      </c>
      <c r="Q40" s="22">
        <f t="shared" si="53"/>
        <v>327.07055190951706</v>
      </c>
      <c r="R40" s="62">
        <f t="shared" si="0"/>
        <v>579.56843230695233</v>
      </c>
      <c r="S40" s="62">
        <f ca="1">AVERAGE(OFFSET($R$3,0,0,'Données projet'!$E$9+1,1))-AVERAGE(OFFSET($H$3,0,0,'Données projet'!$E$9+1,1))</f>
        <v>349.50936264852089</v>
      </c>
      <c r="T40" s="62">
        <f t="shared" si="34"/>
        <v>260.52733851266106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113.3652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502.40554803298278</v>
      </c>
      <c r="AN40" s="62">
        <f ca="1">AVERAGE(OFFSET($AM$3,0,0,'Données projet'!$E$10+1,1))-AVERAGE(OFFSET($H$3,0,0,'Données projet'!$E$10+1,1))</f>
        <v>447.04988989014134</v>
      </c>
      <c r="AO40" s="62">
        <f t="shared" si="36"/>
        <v>278.04061554501783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122.08559999999999</v>
      </c>
      <c r="BF40" s="14">
        <f t="shared" si="37"/>
        <v>32.160942364346717</v>
      </c>
      <c r="BG40" s="22">
        <f t="shared" si="7"/>
        <v>268.64606128457052</v>
      </c>
      <c r="BH40" s="62">
        <f t="shared" si="8"/>
        <v>521.14394168200579</v>
      </c>
      <c r="BI40" s="62">
        <f ca="1">AVERAGE(OFFSET($BH$3,0,0,'Données projet'!$E$11+1,1))-AVERAGE(OFFSET($H$3,0,0,'Données projet'!$E$11+1,1))</f>
        <v>475.58735584427552</v>
      </c>
      <c r="BJ40" s="62">
        <f t="shared" si="38"/>
        <v>294.51413339056131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</v>
      </c>
      <c r="BY40" s="13">
        <f>IF('Données projet'!$A$114&gt;35,BY39+BX40-CG39,IF(A40&lt;'Données projet'!$A$114,$BV$205^A40,IF(A40='Données projet'!$A$114,'Données projet'!$B$114,BY39+BX40-CG39)))</f>
        <v>180.99999999999997</v>
      </c>
      <c r="BZ40" s="14">
        <f>BY40*VLOOKUP('Données projet'!$B$12,Paramètres!$A$1:$I$89,3,0)*VLOOKUP('Données projet'!$B$12,Paramètres!$A$1:$I$89,5,0)</f>
        <v>158.1216</v>
      </c>
      <c r="CA40" s="14">
        <f t="shared" si="39"/>
        <v>40.418546284954211</v>
      </c>
      <c r="CB40" s="22">
        <f t="shared" si="10"/>
        <v>345.79075477962851</v>
      </c>
      <c r="CC40" s="62">
        <f t="shared" si="11"/>
        <v>598.28863517706384</v>
      </c>
      <c r="CD40" s="62">
        <f ca="1">AVERAGE(OFFSET($CC$3,0,0,'Données projet'!$E$12+1,1))-AVERAGE(OFFSET($H$3,0,0,'Données projet'!$E$12+1,1))</f>
        <v>344.32696811748974</v>
      </c>
      <c r="CE40" s="62">
        <f t="shared" si="40"/>
        <v>411.51927518440766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8.6054643087125484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8.6054643087125484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141.40000000000003</v>
      </c>
      <c r="CU40" s="18">
        <f>CT40*VLOOKUP('Données projet'!$B$13,Paramètres!$A$1:$I$89,3,0)*VLOOKUP('Données projet'!$B$13,Paramètres!$A$1:$I$89,5,0)</f>
        <v>127.93872000000003</v>
      </c>
      <c r="CV40" s="14">
        <f t="shared" si="41"/>
        <v>33.519615889545641</v>
      </c>
      <c r="CW40" s="22">
        <f t="shared" si="13"/>
        <v>281.20660167429202</v>
      </c>
      <c r="CX40" s="62">
        <f t="shared" si="14"/>
        <v>533.70448207172728</v>
      </c>
      <c r="CY40" s="62">
        <f ca="1">AVERAGE(OFFSET($CX$3,0,0,'Données projet'!$E$13+1,1))-AVERAGE(OFFSET($H$3,0,0,'Données projet'!$E$13+1,1))</f>
        <v>473.14533251757302</v>
      </c>
      <c r="CZ40" s="62">
        <f t="shared" si="42"/>
        <v>299.82031908667142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1.9758520776119237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1.9758520776119237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>
        <f>DO40*VLOOKUP('Données projet'!$B$14,Paramètres!$A$1:$I$89,3,0)*VLOOKUP('Données projet'!$B$14,Paramètres!$A$1:$I$89,5,0)</f>
        <v>0</v>
      </c>
      <c r="DQ40" s="14" t="e">
        <f t="shared" si="43"/>
        <v>#NUM!</v>
      </c>
      <c r="DR40" s="22" t="e">
        <f t="shared" si="16"/>
        <v>#NUM!</v>
      </c>
      <c r="DS40" s="62" t="e">
        <f t="shared" si="17"/>
        <v>#NUM!</v>
      </c>
      <c r="DT40" s="62">
        <f ca="1">AVERAGE(OFFSET($DS$3,0,0,'Données projet'!$E$14+1,1))-AVERAGE(OFFSET($H$3,0,0,'Données projet'!$E$14+1,1))</f>
        <v>89.751456703373435</v>
      </c>
      <c r="DU40" s="62">
        <f t="shared" si="44"/>
        <v>433.35713950666889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57.757388599703518</v>
      </c>
      <c r="EB40" s="23">
        <f>EXP(-LN(2)/25)*EB39+(1-EXP(-LN(2)/25))/(LN(2)/25)*Calculateur!DW40*Calculateur!DY40*VLOOKUP('Données projet'!$B$14,Paramètres!$A$1:$I$89,3,0)*0.475*44/12</f>
        <v>14.730198169110132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72.487586768813657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>
        <f>EJ40*VLOOKUP('Données projet'!$B$15,Paramètres!$A$1:$I$89,3,0)*VLOOKUP('Données projet'!$B$15,Paramètres!$A$1:$I$89,5,0)</f>
        <v>0</v>
      </c>
      <c r="EL40" s="14" t="e">
        <f t="shared" si="45"/>
        <v>#NUM!</v>
      </c>
      <c r="EM40" s="22" t="e">
        <f t="shared" si="19"/>
        <v>#NUM!</v>
      </c>
      <c r="EN40" s="62" t="e">
        <f t="shared" si="20"/>
        <v>#NUM!</v>
      </c>
      <c r="EO40" s="62">
        <f ca="1">AVERAGE(OFFSET($EN$3,0,0,'Données projet'!$E$15+1,1))-AVERAGE(OFFSET($H$3,0,0,'Données projet'!$E$15+1,1))</f>
        <v>204.71144247550794</v>
      </c>
      <c r="EP40" s="62">
        <f t="shared" si="46"/>
        <v>409.91012463636184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86.012445315429929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23.509969698699813</v>
      </c>
      <c r="EY40" s="24">
        <f t="shared" si="21"/>
        <v>109.52241501412973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58.863058290209622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2.8000000000000003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10.266666666666667</v>
      </c>
      <c r="H41" s="70">
        <f t="shared" si="1"/>
        <v>188.90666666666664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338.71428571428567</v>
      </c>
      <c r="O41" s="14">
        <f>N41*VLOOKUP('Données projet'!$B$9,Paramètres!$A$1:$I$89,3,0)*VLOOKUP('Données projet'!$B$9,Paramètres!$A$1:$I$89,5,0)</f>
        <v>158.5182857142857</v>
      </c>
      <c r="P41" s="14">
        <f t="shared" si="33"/>
        <v>40.508129862224799</v>
      </c>
      <c r="Q41" s="22">
        <f t="shared" si="53"/>
        <v>346.63767379575575</v>
      </c>
      <c r="R41" s="62">
        <f t="shared" si="0"/>
        <v>599.84395800723291</v>
      </c>
      <c r="S41" s="62">
        <f ca="1">AVERAGE(OFFSET($R$3,0,0,'Données projet'!$E$9+1,1))-AVERAGE(OFFSET($H$3,0,0,'Données projet'!$E$9+1,1))</f>
        <v>349.50936264852089</v>
      </c>
      <c r="T41" s="62">
        <f t="shared" si="34"/>
        <v>260.52733851266106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521.41691217157245</v>
      </c>
      <c r="AN41" s="62">
        <f ca="1">AVERAGE(OFFSET($AM$3,0,0,'Données projet'!$E$10+1,1))-AVERAGE(OFFSET($H$3,0,0,'Données projet'!$E$10+1,1))</f>
        <v>447.04988989014134</v>
      </c>
      <c r="AO41" s="62">
        <f t="shared" si="36"/>
        <v>278.04061554501783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131.25839999999999</v>
      </c>
      <c r="BF41" s="14">
        <f t="shared" si="37"/>
        <v>34.286975393851307</v>
      </c>
      <c r="BG41" s="22">
        <f t="shared" si="7"/>
        <v>288.32486214429105</v>
      </c>
      <c r="BH41" s="62">
        <f t="shared" si="8"/>
        <v>541.53114635576821</v>
      </c>
      <c r="BI41" s="62">
        <f ca="1">AVERAGE(OFFSET($BH$3,0,0,'Données projet'!$E$11+1,1))-AVERAGE(OFFSET($H$3,0,0,'Données projet'!$E$11+1,1))</f>
        <v>475.58735584427552</v>
      </c>
      <c r="BJ41" s="62">
        <f t="shared" si="38"/>
        <v>294.51413339056131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</v>
      </c>
      <c r="BY41" s="13">
        <f>IF('Données projet'!$A$114&gt;35,BY40+BX41-CG40,IF(A41&lt;'Données projet'!$A$114,$BV$205^A41,IF(A41='Données projet'!$A$114,'Données projet'!$B$114,BY40+BX41-CG40)))</f>
        <v>191.99999999999997</v>
      </c>
      <c r="BZ41" s="14">
        <f>BY41*VLOOKUP('Données projet'!$B$12,Paramètres!$A$1:$I$89,3,0)*VLOOKUP('Données projet'!$B$12,Paramètres!$A$1:$I$89,5,0)</f>
        <v>167.7312</v>
      </c>
      <c r="CA41" s="14">
        <f t="shared" si="39"/>
        <v>42.581491199832655</v>
      </c>
      <c r="CB41" s="22">
        <f t="shared" si="10"/>
        <v>366.29460383970854</v>
      </c>
      <c r="CC41" s="62">
        <f t="shared" si="11"/>
        <v>619.50088805118571</v>
      </c>
      <c r="CD41" s="62">
        <f ca="1">AVERAGE(OFFSET($CC$3,0,0,'Données projet'!$E$12+1,1))-AVERAGE(OFFSET($H$3,0,0,'Données projet'!$E$12+1,1))</f>
        <v>344.32696811748974</v>
      </c>
      <c r="CE41" s="62">
        <f t="shared" si="40"/>
        <v>411.51927518440766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8.3701474346491036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8.3701474346491036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152.60000000000002</v>
      </c>
      <c r="CU41" s="18">
        <f>CT41*VLOOKUP('Données projet'!$B$13,Paramètres!$A$1:$I$89,3,0)*VLOOKUP('Données projet'!$B$13,Paramètres!$A$1:$I$89,5,0)</f>
        <v>138.07248000000001</v>
      </c>
      <c r="CV41" s="14">
        <f t="shared" si="41"/>
        <v>35.85508207677799</v>
      </c>
      <c r="CW41" s="22">
        <f t="shared" si="13"/>
        <v>302.9238372837217</v>
      </c>
      <c r="CX41" s="62">
        <f t="shared" si="14"/>
        <v>556.13012149519886</v>
      </c>
      <c r="CY41" s="62">
        <f ca="1">AVERAGE(OFFSET($CX$3,0,0,'Données projet'!$E$13+1,1))-AVERAGE(OFFSET($H$3,0,0,'Données projet'!$E$13+1,1))</f>
        <v>473.14533251757302</v>
      </c>
      <c r="CZ41" s="62">
        <f t="shared" si="42"/>
        <v>299.82031908667142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1.9218222986440807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1.9218222986440807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>
        <f>DO41*VLOOKUP('Données projet'!$B$14,Paramètres!$A$1:$I$89,3,0)*VLOOKUP('Données projet'!$B$14,Paramètres!$A$1:$I$89,5,0)</f>
        <v>0</v>
      </c>
      <c r="DQ41" s="14" t="e">
        <f t="shared" si="43"/>
        <v>#NUM!</v>
      </c>
      <c r="DR41" s="22" t="e">
        <f t="shared" si="16"/>
        <v>#NUM!</v>
      </c>
      <c r="DS41" s="62" t="e">
        <f t="shared" si="17"/>
        <v>#NUM!</v>
      </c>
      <c r="DT41" s="62">
        <f ca="1">AVERAGE(OFFSET($DS$3,0,0,'Données projet'!$E$14+1,1))-AVERAGE(OFFSET($H$3,0,0,'Données projet'!$E$14+1,1))</f>
        <v>89.751456703373435</v>
      </c>
      <c r="DU41" s="62">
        <f t="shared" si="44"/>
        <v>433.35713950666889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56.624801437791852</v>
      </c>
      <c r="EB41" s="23">
        <f>EXP(-LN(2)/25)*EB40+(1-EXP(-LN(2)/25))/(LN(2)/25)*Calculateur!DW41*Calculateur!DY41*VLOOKUP('Données projet'!$B$14,Paramètres!$A$1:$I$89,3,0)*0.475*44/12</f>
        <v>14.32740012554836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70.952201563340211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>
        <f>EJ41*VLOOKUP('Données projet'!$B$15,Paramètres!$A$1:$I$89,3,0)*VLOOKUP('Données projet'!$B$15,Paramètres!$A$1:$I$89,5,0)</f>
        <v>0</v>
      </c>
      <c r="EL41" s="14" t="e">
        <f t="shared" si="45"/>
        <v>#NUM!</v>
      </c>
      <c r="EM41" s="22" t="e">
        <f t="shared" si="19"/>
        <v>#NUM!</v>
      </c>
      <c r="EN41" s="62" t="e">
        <f t="shared" si="20"/>
        <v>#NUM!</v>
      </c>
      <c r="EO41" s="62">
        <f ca="1">AVERAGE(OFFSET($EN$3,0,0,'Données projet'!$E$15+1,1))-AVERAGE(OFFSET($H$3,0,0,'Données projet'!$E$15+1,1))</f>
        <v>204.71144247550794</v>
      </c>
      <c r="EP41" s="62">
        <f t="shared" si="46"/>
        <v>409.91012463636184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84.325793725205756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16.624058999440891</v>
      </c>
      <c r="EY41" s="24">
        <f t="shared" si="21"/>
        <v>100.94985272464665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59.056259330402874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2.8000000000000003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10.266666666666667</v>
      </c>
      <c r="H42" s="70">
        <f t="shared" si="1"/>
        <v>188.90666666666664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358.28571428571422</v>
      </c>
      <c r="O42" s="14">
        <f>N42*VLOOKUP('Données projet'!$B$9,Paramètres!$A$1:$I$89,3,0)*VLOOKUP('Données projet'!$B$9,Paramètres!$A$1:$I$89,5,0)</f>
        <v>167.67771428571425</v>
      </c>
      <c r="P42" s="14">
        <f t="shared" si="33"/>
        <v>42.569493207492975</v>
      </c>
      <c r="Q42" s="22">
        <f t="shared" si="53"/>
        <v>366.18055305066923</v>
      </c>
      <c r="R42" s="62">
        <f t="shared" si="0"/>
        <v>620.08295185376846</v>
      </c>
      <c r="S42" s="62">
        <f ca="1">AVERAGE(OFFSET($R$3,0,0,'Données projet'!$E$9+1,1))-AVERAGE(OFFSET($H$3,0,0,'Données projet'!$E$9+1,1))</f>
        <v>349.50936264852089</v>
      </c>
      <c r="T42" s="62">
        <f t="shared" si="34"/>
        <v>260.52733851266106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540.38786597922467</v>
      </c>
      <c r="AN42" s="62">
        <f ca="1">AVERAGE(OFFSET($AM$3,0,0,'Données projet'!$E$10+1,1))-AVERAGE(OFFSET($H$3,0,0,'Données projet'!$E$10+1,1))</f>
        <v>447.04988989014134</v>
      </c>
      <c r="AO42" s="62">
        <f t="shared" si="36"/>
        <v>278.04061554501783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140.43119999999999</v>
      </c>
      <c r="BF42" s="14">
        <f t="shared" si="37"/>
        <v>36.395769672919123</v>
      </c>
      <c r="BG42" s="22">
        <f t="shared" si="7"/>
        <v>307.97363884700081</v>
      </c>
      <c r="BH42" s="62">
        <f t="shared" si="8"/>
        <v>561.87603765009999</v>
      </c>
      <c r="BI42" s="62">
        <f ca="1">AVERAGE(OFFSET($BH$3,0,0,'Données projet'!$E$11+1,1))-AVERAGE(OFFSET($H$3,0,0,'Données projet'!$E$11+1,1))</f>
        <v>475.58735584427552</v>
      </c>
      <c r="BJ42" s="62">
        <f t="shared" si="38"/>
        <v>294.51413339056131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</v>
      </c>
      <c r="BY42" s="13">
        <f>IF('Données projet'!$A$114&gt;35,BY41+BX42-CG41,IF(A42&lt;'Données projet'!$A$114,$BV$205^A42,IF(A42='Données projet'!$A$114,'Données projet'!$B$114,BY41+BX42-CG41)))</f>
        <v>202.99999999999997</v>
      </c>
      <c r="BZ42" s="14">
        <f>BY42*VLOOKUP('Données projet'!$B$12,Paramètres!$A$1:$I$89,3,0)*VLOOKUP('Données projet'!$B$12,Paramètres!$A$1:$I$89,5,0)</f>
        <v>177.3408</v>
      </c>
      <c r="CA42" s="14">
        <f t="shared" si="39"/>
        <v>44.730051658603102</v>
      </c>
      <c r="CB42" s="22">
        <f t="shared" si="10"/>
        <v>386.77339997206701</v>
      </c>
      <c r="CC42" s="62">
        <f t="shared" si="11"/>
        <v>640.67579877516619</v>
      </c>
      <c r="CD42" s="62">
        <f ca="1">AVERAGE(OFFSET($CC$3,0,0,'Données projet'!$E$12+1,1))-AVERAGE(OFFSET($H$3,0,0,'Données projet'!$E$12+1,1))</f>
        <v>344.32696811748974</v>
      </c>
      <c r="CE42" s="62">
        <f t="shared" si="40"/>
        <v>411.51927518440766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8.1412653128816999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8.1412653128816999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163.80000000000001</v>
      </c>
      <c r="CU42" s="18">
        <f>CT42*VLOOKUP('Données projet'!$B$13,Paramètres!$A$1:$I$89,3,0)*VLOOKUP('Données projet'!$B$13,Paramètres!$A$1:$I$89,5,0)</f>
        <v>148.20624000000001</v>
      </c>
      <c r="CV42" s="14">
        <f t="shared" si="41"/>
        <v>38.170662245893794</v>
      </c>
      <c r="CW42" s="22">
        <f t="shared" si="13"/>
        <v>324.60643807826506</v>
      </c>
      <c r="CX42" s="62">
        <f t="shared" si="14"/>
        <v>578.50883688136423</v>
      </c>
      <c r="CY42" s="62">
        <f ca="1">AVERAGE(OFFSET($CX$3,0,0,'Données projet'!$E$13+1,1))-AVERAGE(OFFSET($H$3,0,0,'Données projet'!$E$13+1,1))</f>
        <v>473.14533251757302</v>
      </c>
      <c r="CZ42" s="62">
        <f t="shared" si="42"/>
        <v>299.82031908667142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1.8692699668234161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1.8692699668234161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>
        <f>DO42*VLOOKUP('Données projet'!$B$14,Paramètres!$A$1:$I$89,3,0)*VLOOKUP('Données projet'!$B$14,Paramètres!$A$1:$I$89,5,0)</f>
        <v>0</v>
      </c>
      <c r="DQ42" s="14" t="e">
        <f t="shared" si="43"/>
        <v>#NUM!</v>
      </c>
      <c r="DR42" s="22" t="e">
        <f t="shared" si="16"/>
        <v>#NUM!</v>
      </c>
      <c r="DS42" s="62" t="e">
        <f t="shared" si="17"/>
        <v>#NUM!</v>
      </c>
      <c r="DT42" s="62">
        <f ca="1">AVERAGE(OFFSET($DS$3,0,0,'Données projet'!$E$14+1,1))-AVERAGE(OFFSET($H$3,0,0,'Données projet'!$E$14+1,1))</f>
        <v>89.751456703373435</v>
      </c>
      <c r="DU42" s="62">
        <f t="shared" si="44"/>
        <v>433.35713950666889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55.514423619315316</v>
      </c>
      <c r="EB42" s="23">
        <f>EXP(-LN(2)/25)*EB41+(1-EXP(-LN(2)/25))/(LN(2)/25)*Calculateur!DW42*Calculateur!DY42*VLOOKUP('Données projet'!$B$14,Paramètres!$A$1:$I$89,3,0)*0.475*44/12</f>
        <v>13.935616615670014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69.450040234985323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>
        <f>EJ42*VLOOKUP('Données projet'!$B$15,Paramètres!$A$1:$I$89,3,0)*VLOOKUP('Données projet'!$B$15,Paramètres!$A$1:$I$89,5,0)</f>
        <v>0</v>
      </c>
      <c r="EL42" s="14" t="e">
        <f t="shared" si="45"/>
        <v>#NUM!</v>
      </c>
      <c r="EM42" s="22" t="e">
        <f t="shared" si="19"/>
        <v>#NUM!</v>
      </c>
      <c r="EN42" s="62" t="e">
        <f t="shared" si="20"/>
        <v>#NUM!</v>
      </c>
      <c r="EO42" s="62">
        <f ca="1">AVERAGE(OFFSET($EN$3,0,0,'Données projet'!$E$15+1,1))-AVERAGE(OFFSET($H$3,0,0,'Données projet'!$E$15+1,1))</f>
        <v>204.71144247550794</v>
      </c>
      <c r="EP42" s="62">
        <f t="shared" si="46"/>
        <v>409.91012463636184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82.672216343909994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11.754984849349906</v>
      </c>
      <c r="EY42" s="24">
        <f t="shared" si="21"/>
        <v>94.427201193259904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59.246108764481605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2.8000000000000003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10.266666666666667</v>
      </c>
      <c r="H43" s="70">
        <f t="shared" si="1"/>
        <v>188.90666666666664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377.85714285714278</v>
      </c>
      <c r="O43" s="14">
        <f>N43*VLOOKUP('Données projet'!$B$9,Paramètres!$A$1:$I$89,3,0)*VLOOKUP('Données projet'!$B$9,Paramètres!$A$1:$I$89,5,0)</f>
        <v>176.83714285714279</v>
      </c>
      <c r="P43" s="14">
        <f t="shared" si="33"/>
        <v>44.617784353930041</v>
      </c>
      <c r="Q43" s="22">
        <f t="shared" si="53"/>
        <v>385.70066489261848</v>
      </c>
      <c r="R43" s="62">
        <f t="shared" si="0"/>
        <v>640.2871022554541</v>
      </c>
      <c r="S43" s="62">
        <f ca="1">AVERAGE(OFFSET($R$3,0,0,'Données projet'!$E$9+1,1))-AVERAGE(OFFSET($H$3,0,0,'Données projet'!$E$9+1,1))</f>
        <v>349.50936264852089</v>
      </c>
      <c r="T43" s="62">
        <f t="shared" si="34"/>
        <v>260.52733851266106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559.32066851985439</v>
      </c>
      <c r="AN43" s="62">
        <f ca="1">AVERAGE(OFFSET($AM$3,0,0,'Données projet'!$E$10+1,1))-AVERAGE(OFFSET($H$3,0,0,'Données projet'!$E$10+1,1))</f>
        <v>447.04988989014134</v>
      </c>
      <c r="AO43" s="62">
        <f t="shared" si="36"/>
        <v>278.04061554501783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149.60399999999998</v>
      </c>
      <c r="BF43" s="14">
        <f t="shared" si="37"/>
        <v>38.488579359102815</v>
      </c>
      <c r="BG43" s="22">
        <f t="shared" si="7"/>
        <v>327.59457571710396</v>
      </c>
      <c r="BH43" s="62">
        <f t="shared" si="8"/>
        <v>582.18101307993959</v>
      </c>
      <c r="BI43" s="62">
        <f ca="1">AVERAGE(OFFSET($BH$3,0,0,'Données projet'!$E$11+1,1))-AVERAGE(OFFSET($H$3,0,0,'Données projet'!$E$11+1,1))</f>
        <v>475.58735584427552</v>
      </c>
      <c r="BJ43" s="62">
        <f t="shared" si="38"/>
        <v>294.51413339056131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214</v>
      </c>
      <c r="BW43" s="13">
        <f>VLOOKUP(A43,'Données projet'!$A$113:$I$133,9,0)</f>
        <v>11</v>
      </c>
      <c r="BX43" s="13">
        <f t="array" ref="BX43">INDEX(BW:BW,MIN(IF(ISNUMBER(BW43:BW239),ROW(BW43:BW239),"")))</f>
        <v>11</v>
      </c>
      <c r="BY43" s="13">
        <f>IF('Données projet'!$A$114&gt;35,BY42+BX43-CG42,IF(A43&lt;'Données projet'!$A$114,$BV$205^A43,IF(A43='Données projet'!$A$114,'Données projet'!$B$114,BY42+BX43-CG42)))</f>
        <v>213.99999999999997</v>
      </c>
      <c r="BZ43" s="14">
        <f>BY43*VLOOKUP('Données projet'!$B$12,Paramètres!$A$1:$I$89,3,0)*VLOOKUP('Données projet'!$B$12,Paramètres!$A$1:$I$89,5,0)</f>
        <v>186.9504</v>
      </c>
      <c r="CA43" s="14">
        <f t="shared" si="39"/>
        <v>46.865095976617653</v>
      </c>
      <c r="CB43" s="22">
        <f t="shared" si="10"/>
        <v>407.22865549260905</v>
      </c>
      <c r="CC43" s="62">
        <f t="shared" si="11"/>
        <v>661.81509285544473</v>
      </c>
      <c r="CD43" s="62">
        <f ca="1">AVERAGE(OFFSET($CC$3,0,0,'Données projet'!$E$12+1,1))-AVERAGE(OFFSET($H$3,0,0,'Données projet'!$E$12+1,1))</f>
        <v>344.32696811748974</v>
      </c>
      <c r="CE43" s="62">
        <f t="shared" si="40"/>
        <v>411.51927518440766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39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7.9186419847704137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7.9186419847704137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</v>
      </c>
      <c r="CU43" s="18">
        <f>CT43*VLOOKUP('Données projet'!$B$13,Paramètres!$A$1:$I$89,3,0)*VLOOKUP('Données projet'!$B$13,Paramètres!$A$1:$I$89,5,0)</f>
        <v>158.34</v>
      </c>
      <c r="CV43" s="14">
        <f t="shared" si="41"/>
        <v>40.467870812652819</v>
      </c>
      <c r="CW43" s="22">
        <f t="shared" si="13"/>
        <v>346.25704166537031</v>
      </c>
      <c r="CX43" s="62">
        <f t="shared" si="14"/>
        <v>600.84347902820593</v>
      </c>
      <c r="CY43" s="62">
        <f ca="1">AVERAGE(OFFSET($CX$3,0,0,'Données projet'!$E$13+1,1))-AVERAGE(OFFSET($H$3,0,0,'Données projet'!$E$13+1,1))</f>
        <v>473.14533251757302</v>
      </c>
      <c r="CZ43" s="62">
        <f t="shared" si="42"/>
        <v>299.82031908667142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1.8181546812799945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1.8181546812799945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>
        <f>DO43*VLOOKUP('Données projet'!$B$14,Paramètres!$A$1:$I$89,3,0)*VLOOKUP('Données projet'!$B$14,Paramètres!$A$1:$I$89,5,0)</f>
        <v>0</v>
      </c>
      <c r="DQ43" s="14" t="e">
        <f t="shared" si="43"/>
        <v>#NUM!</v>
      </c>
      <c r="DR43" s="22" t="e">
        <f t="shared" si="16"/>
        <v>#NUM!</v>
      </c>
      <c r="DS43" s="62" t="e">
        <f t="shared" si="17"/>
        <v>#NUM!</v>
      </c>
      <c r="DT43" s="62">
        <f ca="1">AVERAGE(OFFSET($DS$3,0,0,'Données projet'!$E$14+1,1))-AVERAGE(OFFSET($H$3,0,0,'Données projet'!$E$14+1,1))</f>
        <v>89.751456703373435</v>
      </c>
      <c r="DU43" s="62">
        <f t="shared" si="44"/>
        <v>433.35713950666889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54.425819632595505</v>
      </c>
      <c r="EB43" s="23">
        <f>EXP(-LN(2)/25)*EB42+(1-EXP(-LN(2)/25))/(LN(2)/25)*Calculateur!DW43*Calculateur!DY43*VLOOKUP('Données projet'!$B$14,Paramètres!$A$1:$I$89,3,0)*0.475*44/12</f>
        <v>13.55454644647229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67.980366079067792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>
        <f>EJ43*VLOOKUP('Données projet'!$B$15,Paramètres!$A$1:$I$89,3,0)*VLOOKUP('Données projet'!$B$15,Paramètres!$A$1:$I$89,5,0)</f>
        <v>0</v>
      </c>
      <c r="EL43" s="14" t="e">
        <f t="shared" si="45"/>
        <v>#NUM!</v>
      </c>
      <c r="EM43" s="22" t="e">
        <f t="shared" si="19"/>
        <v>#NUM!</v>
      </c>
      <c r="EN43" s="62" t="e">
        <f t="shared" si="20"/>
        <v>#NUM!</v>
      </c>
      <c r="EO43" s="62">
        <f ca="1">AVERAGE(OFFSET($EN$3,0,0,'Données projet'!$E$15+1,1))-AVERAGE(OFFSET($H$3,0,0,'Données projet'!$E$15+1,1))</f>
        <v>204.71144247550794</v>
      </c>
      <c r="EP43" s="62">
        <f t="shared" si="46"/>
        <v>409.91012463636184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81.051064606478832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8.3120294997204454</v>
      </c>
      <c r="EY43" s="24">
        <f t="shared" si="21"/>
        <v>89.36309410619927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59.432664735318809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2.8000000000000003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10.266666666666667</v>
      </c>
      <c r="H44" s="70">
        <f t="shared" si="1"/>
        <v>188.90666666666664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397.42857142857133</v>
      </c>
      <c r="O44" s="14">
        <f>N44*VLOOKUP('Données projet'!$B$9,Paramètres!$A$1:$I$89,3,0)*VLOOKUP('Données projet'!$B$9,Paramètres!$A$1:$I$89,5,0)</f>
        <v>185.9965714285714</v>
      </c>
      <c r="P44" s="14">
        <f t="shared" si="33"/>
        <v>46.653757617185917</v>
      </c>
      <c r="Q44" s="22">
        <f t="shared" si="53"/>
        <v>405.19932308802726</v>
      </c>
      <c r="R44" s="62">
        <f t="shared" si="0"/>
        <v>660.45793247086908</v>
      </c>
      <c r="S44" s="62">
        <f ca="1">AVERAGE(OFFSET($R$3,0,0,'Données projet'!$E$9+1,1))-AVERAGE(OFFSET($H$3,0,0,'Données projet'!$E$9+1,1))</f>
        <v>349.50936264852089</v>
      </c>
      <c r="T44" s="62">
        <f t="shared" si="34"/>
        <v>260.52733851266106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126.1416</v>
      </c>
      <c r="AK44" s="14">
        <f t="shared" si="35"/>
        <v>33.10323903126482</v>
      </c>
      <c r="AL44" s="22">
        <f t="shared" si="4"/>
        <v>277.35142797945286</v>
      </c>
      <c r="AM44" s="62">
        <f t="shared" si="5"/>
        <v>532.61003736229463</v>
      </c>
      <c r="AN44" s="62">
        <f ca="1">AVERAGE(OFFSET($AM$3,0,0,'Données projet'!$E$10+1,1))-AVERAGE(OFFSET($H$3,0,0,'Données projet'!$E$10+1,1))</f>
        <v>447.04988989014134</v>
      </c>
      <c r="AO44" s="62">
        <f t="shared" si="36"/>
        <v>278.04061554501783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135.84479999999999</v>
      </c>
      <c r="BF44" s="14">
        <f t="shared" si="37"/>
        <v>35.343444786954898</v>
      </c>
      <c r="BG44" s="22">
        <f t="shared" si="7"/>
        <v>298.15285967061311</v>
      </c>
      <c r="BH44" s="62">
        <f t="shared" si="8"/>
        <v>553.41146905345488</v>
      </c>
      <c r="BI44" s="62">
        <f ca="1">AVERAGE(OFFSET($BH$3,0,0,'Données projet'!$E$11+1,1))-AVERAGE(OFFSET($H$3,0,0,'Données projet'!$E$11+1,1))</f>
        <v>475.58735584427552</v>
      </c>
      <c r="BJ44" s="62">
        <f t="shared" si="38"/>
        <v>294.51413339056131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184.79999999999998</v>
      </c>
      <c r="BZ44" s="14">
        <f>BY44*VLOOKUP('Données projet'!$B$12,Paramètres!$A$1:$I$89,3,0)*VLOOKUP('Données projet'!$B$12,Paramètres!$A$1:$I$89,5,0)</f>
        <v>161.44128000000001</v>
      </c>
      <c r="CA44" s="14">
        <f t="shared" si="39"/>
        <v>41.167430271655704</v>
      </c>
      <c r="CB44" s="22">
        <f t="shared" si="10"/>
        <v>352.87683705646697</v>
      </c>
      <c r="CC44" s="62">
        <f t="shared" si="11"/>
        <v>608.13544643930868</v>
      </c>
      <c r="CD44" s="62">
        <f ca="1">AVERAGE(OFFSET($CC$3,0,0,'Données projet'!$E$12+1,1))-AVERAGE(OFFSET($H$3,0,0,'Données projet'!$E$12+1,1))</f>
        <v>344.32696811748974</v>
      </c>
      <c r="CE44" s="62">
        <f t="shared" si="40"/>
        <v>411.51927518440766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7.7021063032735828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7.7021063032735828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158.4</v>
      </c>
      <c r="CU44" s="18">
        <f>CT44*VLOOKUP('Données projet'!$B$13,Paramètres!$A$1:$I$89,3,0)*VLOOKUP('Données projet'!$B$13,Paramètres!$A$1:$I$89,5,0)</f>
        <v>143.32032000000001</v>
      </c>
      <c r="CV44" s="14">
        <f t="shared" si="41"/>
        <v>37.056603420232349</v>
      </c>
      <c r="CW44" s="22">
        <f t="shared" si="13"/>
        <v>314.15647495690467</v>
      </c>
      <c r="CX44" s="62">
        <f t="shared" si="14"/>
        <v>569.4150843397465</v>
      </c>
      <c r="CY44" s="62">
        <f ca="1">AVERAGE(OFFSET($CX$3,0,0,'Données projet'!$E$13+1,1))-AVERAGE(OFFSET($H$3,0,0,'Données projet'!$E$13+1,1))</f>
        <v>473.14533251757302</v>
      </c>
      <c r="CZ44" s="62">
        <f t="shared" si="42"/>
        <v>299.82031908667142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1.7684371459077939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1.7684371459077939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>
        <f>DO44*VLOOKUP('Données projet'!$B$14,Paramètres!$A$1:$I$89,3,0)*VLOOKUP('Données projet'!$B$14,Paramètres!$A$1:$I$89,5,0)</f>
        <v>0</v>
      </c>
      <c r="DQ44" s="14" t="e">
        <f t="shared" si="43"/>
        <v>#NUM!</v>
      </c>
      <c r="DR44" s="22" t="e">
        <f t="shared" si="16"/>
        <v>#NUM!</v>
      </c>
      <c r="DS44" s="62" t="e">
        <f t="shared" si="17"/>
        <v>#NUM!</v>
      </c>
      <c r="DT44" s="62">
        <f ca="1">AVERAGE(OFFSET($DS$3,0,0,'Données projet'!$E$14+1,1))-AVERAGE(OFFSET($H$3,0,0,'Données projet'!$E$14+1,1))</f>
        <v>89.751456703373435</v>
      </c>
      <c r="DU44" s="62">
        <f t="shared" si="44"/>
        <v>433.35713950666889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53.358562506072403</v>
      </c>
      <c r="EB44" s="23">
        <f>EXP(-LN(2)/25)*EB43+(1-EXP(-LN(2)/25))/(LN(2)/25)*Calculateur!DW44*Calculateur!DY44*VLOOKUP('Données projet'!$B$14,Paramètres!$A$1:$I$89,3,0)*0.475*44/12</f>
        <v>13.183896661090888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66.542459167163287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>
        <f>EJ44*VLOOKUP('Données projet'!$B$15,Paramètres!$A$1:$I$89,3,0)*VLOOKUP('Données projet'!$B$15,Paramètres!$A$1:$I$89,5,0)</f>
        <v>0</v>
      </c>
      <c r="EL44" s="14" t="e">
        <f t="shared" si="45"/>
        <v>#NUM!</v>
      </c>
      <c r="EM44" s="22" t="e">
        <f t="shared" si="19"/>
        <v>#NUM!</v>
      </c>
      <c r="EN44" s="62" t="e">
        <f t="shared" si="20"/>
        <v>#NUM!</v>
      </c>
      <c r="EO44" s="62">
        <f ca="1">AVERAGE(OFFSET($EN$3,0,0,'Données projet'!$E$15+1,1))-AVERAGE(OFFSET($H$3,0,0,'Données projet'!$E$15+1,1))</f>
        <v>204.71144247550794</v>
      </c>
      <c r="EP44" s="62">
        <f t="shared" si="46"/>
        <v>409.91012463636184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79.46170266581376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5.8774924246749531</v>
      </c>
      <c r="EY44" s="24">
        <f t="shared" si="21"/>
        <v>85.339195090488715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59.615984377138659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2.8000000000000003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10.266666666666667</v>
      </c>
      <c r="H45" s="70">
        <f t="shared" si="1"/>
        <v>188.90666666666664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417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416.99999999999989</v>
      </c>
      <c r="O45" s="14">
        <f>N45*VLOOKUP('Données projet'!$B$9,Paramètres!$A$1:$I$89,3,0)*VLOOKUP('Données projet'!$B$9,Paramètres!$A$1:$I$89,5,0)</f>
        <v>195.15599999999995</v>
      </c>
      <c r="P45" s="14">
        <f t="shared" si="33"/>
        <v>48.678088823054175</v>
      </c>
      <c r="Q45" s="22">
        <f t="shared" si="53"/>
        <v>424.67770470015256</v>
      </c>
      <c r="R45" s="62">
        <f t="shared" si="0"/>
        <v>680.59682542120481</v>
      </c>
      <c r="S45" s="62">
        <f ca="1">AVERAGE(OFFSET($R$3,0,0,'Données projet'!$E$9+1,1))-AVERAGE(OFFSET($H$3,0,0,'Données projet'!$E$9+1,1))</f>
        <v>349.50936264852089</v>
      </c>
      <c r="T45" s="62">
        <f t="shared" si="34"/>
        <v>260.52733851266106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182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134.65920000000003</v>
      </c>
      <c r="AK45" s="14">
        <f t="shared" si="35"/>
        <v>35.07074737441733</v>
      </c>
      <c r="AL45" s="22">
        <f t="shared" si="4"/>
        <v>295.61299167711019</v>
      </c>
      <c r="AM45" s="62">
        <f t="shared" si="5"/>
        <v>551.53211239816255</v>
      </c>
      <c r="AN45" s="62">
        <f ca="1">AVERAGE(OFFSET($AM$3,0,0,'Données projet'!$E$10+1,1))-AVERAGE(OFFSET($H$3,0,0,'Données projet'!$E$10+1,1))</f>
        <v>447.04988989014134</v>
      </c>
      <c r="AO45" s="62">
        <f t="shared" si="36"/>
        <v>278.04061554501783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145.01760000000002</v>
      </c>
      <c r="BF45" s="14">
        <f t="shared" si="37"/>
        <v>37.444100932065233</v>
      </c>
      <c r="BG45" s="22">
        <f t="shared" si="7"/>
        <v>317.78746245668026</v>
      </c>
      <c r="BH45" s="62">
        <f t="shared" si="8"/>
        <v>573.70658317773257</v>
      </c>
      <c r="BI45" s="62">
        <f ca="1">AVERAGE(OFFSET($BH$3,0,0,'Données projet'!$E$11+1,1))-AVERAGE(OFFSET($H$3,0,0,'Données projet'!$E$11+1,1))</f>
        <v>475.58735584427552</v>
      </c>
      <c r="BJ45" s="62">
        <f t="shared" si="38"/>
        <v>294.51413339056131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194.6</v>
      </c>
      <c r="BZ45" s="14">
        <f>BY45*VLOOKUP('Données projet'!$B$12,Paramètres!$A$1:$I$89,3,0)*VLOOKUP('Données projet'!$B$12,Paramètres!$A$1:$I$89,5,0)</f>
        <v>170.00256000000002</v>
      </c>
      <c r="CA45" s="14">
        <f t="shared" si="39"/>
        <v>43.090596939649579</v>
      </c>
      <c r="CB45" s="22">
        <f t="shared" si="10"/>
        <v>371.1372483365563</v>
      </c>
      <c r="CC45" s="62">
        <f t="shared" si="11"/>
        <v>627.05636905760866</v>
      </c>
      <c r="CD45" s="62">
        <f ca="1">AVERAGE(OFFSET($CC$3,0,0,'Données projet'!$E$12+1,1))-AVERAGE(OFFSET($H$3,0,0,'Données projet'!$E$12+1,1))</f>
        <v>344.32696811748974</v>
      </c>
      <c r="CE45" s="62">
        <f t="shared" si="40"/>
        <v>411.51927518440766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7.4914918013743996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7.4914918013743996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169.8</v>
      </c>
      <c r="CU45" s="18">
        <f>CT45*VLOOKUP('Données projet'!$B$13,Paramètres!$A$1:$I$89,3,0)*VLOOKUP('Données projet'!$B$13,Paramètres!$A$1:$I$89,5,0)</f>
        <v>153.63504</v>
      </c>
      <c r="CV45" s="14">
        <f t="shared" si="41"/>
        <v>39.403506785222667</v>
      </c>
      <c r="CW45" s="22">
        <f t="shared" si="13"/>
        <v>336.20880231759617</v>
      </c>
      <c r="CX45" s="62">
        <f t="shared" si="14"/>
        <v>592.12792303864853</v>
      </c>
      <c r="CY45" s="62">
        <f ca="1">AVERAGE(OFFSET($CX$3,0,0,'Données projet'!$E$13+1,1))-AVERAGE(OFFSET($H$3,0,0,'Données projet'!$E$13+1,1))</f>
        <v>473.14533251757302</v>
      </c>
      <c r="CZ45" s="62">
        <f t="shared" si="42"/>
        <v>299.82031908667142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1.7200791391548775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1.7200791391548775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>
        <f>DO45*VLOOKUP('Données projet'!$B$14,Paramètres!$A$1:$I$89,3,0)*VLOOKUP('Données projet'!$B$14,Paramètres!$A$1:$I$89,5,0)</f>
        <v>0</v>
      </c>
      <c r="DQ45" s="14" t="e">
        <f t="shared" si="43"/>
        <v>#NUM!</v>
      </c>
      <c r="DR45" s="22" t="e">
        <f t="shared" si="16"/>
        <v>#NUM!</v>
      </c>
      <c r="DS45" s="62" t="e">
        <f t="shared" si="17"/>
        <v>#NUM!</v>
      </c>
      <c r="DT45" s="62">
        <f ca="1">AVERAGE(OFFSET($DS$3,0,0,'Données projet'!$E$14+1,1))-AVERAGE(OFFSET($H$3,0,0,'Données projet'!$E$14+1,1))</f>
        <v>89.751456703373435</v>
      </c>
      <c r="DU45" s="62">
        <f t="shared" si="44"/>
        <v>433.35713950666889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52.312233640837846</v>
      </c>
      <c r="EB45" s="23">
        <f>EXP(-LN(2)/25)*EB44+(1-EXP(-LN(2)/25))/(LN(2)/25)*Calculateur!DW45*Calculateur!DY45*VLOOKUP('Données projet'!$B$14,Paramètres!$A$1:$I$89,3,0)*0.475*44/12</f>
        <v>12.823382313582364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65.135615954420217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>
        <f>EJ45*VLOOKUP('Données projet'!$B$15,Paramètres!$A$1:$I$89,3,0)*VLOOKUP('Données projet'!$B$15,Paramètres!$A$1:$I$89,5,0)</f>
        <v>0</v>
      </c>
      <c r="EL45" s="14" t="e">
        <f t="shared" si="45"/>
        <v>#NUM!</v>
      </c>
      <c r="EM45" s="22" t="e">
        <f t="shared" si="19"/>
        <v>#NUM!</v>
      </c>
      <c r="EN45" s="62" t="e">
        <f t="shared" si="20"/>
        <v>#NUM!</v>
      </c>
      <c r="EO45" s="62">
        <f ca="1">AVERAGE(OFFSET($EN$3,0,0,'Données projet'!$E$15+1,1))-AVERAGE(OFFSET($H$3,0,0,'Données projet'!$E$15+1,1))</f>
        <v>204.71144247550794</v>
      </c>
      <c r="EP45" s="62">
        <f t="shared" si="46"/>
        <v>409.91012463636184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77.903507143390073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4.1560147498602227</v>
      </c>
      <c r="EY45" s="24">
        <f t="shared" si="21"/>
        <v>82.059521893250292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59.796123833014256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2.8000000000000003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10.266666666666667</v>
      </c>
      <c r="H46" s="70">
        <f t="shared" si="1"/>
        <v>188.90666666666664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256</v>
      </c>
      <c r="L46" s="13">
        <f>VLOOKUP(A46,'Données projet'!$A$35:$I$55,9,0)</f>
        <v>21</v>
      </c>
      <c r="M46" s="13">
        <f t="array" ref="M46">INDEX(L:L,MIN(IF(ISNUMBER(L46:L242),ROW(L46:L242),"")))</f>
        <v>21</v>
      </c>
      <c r="N46" s="14">
        <f>IF('Données projet'!$A$36&gt;35,N45+M46-V45,IF(A46&lt;'Données projet'!$A$36,$K$205^A46,IF(A46='Données projet'!$A$36,'Données projet'!$B$36,N45+M46-V45)))</f>
        <v>255.99999999999989</v>
      </c>
      <c r="O46" s="14">
        <f>N46*VLOOKUP('Données projet'!$B$9,Paramètres!$A$1:$I$89,3,0)*VLOOKUP('Données projet'!$B$9,Paramètres!$A$1:$I$89,5,0)</f>
        <v>119.80799999999995</v>
      </c>
      <c r="P46" s="14">
        <f t="shared" si="33"/>
        <v>31.630214274643535</v>
      </c>
      <c r="Q46" s="22">
        <f t="shared" si="53"/>
        <v>263.75488986167073</v>
      </c>
      <c r="R46" s="62">
        <f t="shared" si="0"/>
        <v>520.32306352589774</v>
      </c>
      <c r="S46" s="62">
        <f ca="1">AVERAGE(OFFSET($R$3,0,0,'Données projet'!$E$9+1,1))-AVERAGE(OFFSET($H$3,0,0,'Données projet'!$E$9+1,1))</f>
        <v>349.50936264852089</v>
      </c>
      <c r="T46" s="62">
        <f t="shared" si="34"/>
        <v>260.52733851266106</v>
      </c>
      <c r="U46" s="16">
        <f>IF(ISNA(VLOOKUP(A46,'Données projet'!$A$35:$I$55,3,0)),0,VLOOKUP(A46,'Données projet'!$A$35:$I$55,3,0))</f>
        <v>4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570.41757407235207</v>
      </c>
      <c r="AN46" s="62">
        <f ca="1">AVERAGE(OFFSET($AM$3,0,0,'Données projet'!$E$10+1,1))-AVERAGE(OFFSET($H$3,0,0,'Données projet'!$E$10+1,1))</f>
        <v>447.04988989014134</v>
      </c>
      <c r="AO46" s="62">
        <f t="shared" si="36"/>
        <v>278.04061554501783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154.19040000000001</v>
      </c>
      <c r="BF46" s="14">
        <f t="shared" si="37"/>
        <v>39.529336625598283</v>
      </c>
      <c r="BG46" s="22">
        <f t="shared" si="7"/>
        <v>337.39520795625032</v>
      </c>
      <c r="BH46" s="62">
        <f t="shared" si="8"/>
        <v>593.96338162047732</v>
      </c>
      <c r="BI46" s="62">
        <f ca="1">AVERAGE(OFFSET($BH$3,0,0,'Données projet'!$E$11+1,1))-AVERAGE(OFFSET($H$3,0,0,'Données projet'!$E$11+1,1))</f>
        <v>475.58735584427552</v>
      </c>
      <c r="BJ46" s="62">
        <f t="shared" si="38"/>
        <v>294.51413339056131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204.4</v>
      </c>
      <c r="BZ46" s="14">
        <f>BY46*VLOOKUP('Données projet'!$B$12,Paramètres!$A$1:$I$89,3,0)*VLOOKUP('Données projet'!$B$12,Paramètres!$A$1:$I$89,5,0)</f>
        <v>178.56384000000003</v>
      </c>
      <c r="CA46" s="14">
        <f t="shared" si="39"/>
        <v>45.002518212442588</v>
      </c>
      <c r="CB46" s="22">
        <f t="shared" si="10"/>
        <v>389.37807388667096</v>
      </c>
      <c r="CC46" s="62">
        <f t="shared" si="11"/>
        <v>645.94624755089797</v>
      </c>
      <c r="CD46" s="62">
        <f ca="1">AVERAGE(OFFSET($CC$3,0,0,'Données projet'!$E$12+1,1))-AVERAGE(OFFSET($H$3,0,0,'Données projet'!$E$12+1,1))</f>
        <v>344.32696811748974</v>
      </c>
      <c r="CE46" s="62">
        <f t="shared" si="40"/>
        <v>411.51927518440766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7.2866365641053852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7.2866365641053852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181.20000000000002</v>
      </c>
      <c r="CU46" s="18">
        <f>CT46*VLOOKUP('Données projet'!$B$13,Paramètres!$A$1:$I$89,3,0)*VLOOKUP('Données projet'!$B$13,Paramètres!$A$1:$I$89,5,0)</f>
        <v>163.94976</v>
      </c>
      <c r="CV46" s="14">
        <f t="shared" si="41"/>
        <v>41.732126457893308</v>
      </c>
      <c r="CW46" s="22">
        <f t="shared" si="13"/>
        <v>358.22928558083089</v>
      </c>
      <c r="CX46" s="62">
        <f t="shared" si="14"/>
        <v>614.79745924505789</v>
      </c>
      <c r="CY46" s="62">
        <f ca="1">AVERAGE(OFFSET($CX$3,0,0,'Données projet'!$E$13+1,1))-AVERAGE(OFFSET($H$3,0,0,'Données projet'!$E$13+1,1))</f>
        <v>473.14533251757302</v>
      </c>
      <c r="CZ46" s="62">
        <f t="shared" si="42"/>
        <v>299.82031908667142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1.6730434846396567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1.6730434846396567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>
        <f>DO46*VLOOKUP('Données projet'!$B$14,Paramètres!$A$1:$I$89,3,0)*VLOOKUP('Données projet'!$B$14,Paramètres!$A$1:$I$89,5,0)</f>
        <v>0</v>
      </c>
      <c r="DQ46" s="14" t="e">
        <f t="shared" si="43"/>
        <v>#NUM!</v>
      </c>
      <c r="DR46" s="22" t="e">
        <f t="shared" si="16"/>
        <v>#NUM!</v>
      </c>
      <c r="DS46" s="62" t="e">
        <f t="shared" si="17"/>
        <v>#NUM!</v>
      </c>
      <c r="DT46" s="62">
        <f ca="1">AVERAGE(OFFSET($DS$3,0,0,'Données projet'!$E$14+1,1))-AVERAGE(OFFSET($H$3,0,0,'Données projet'!$E$14+1,1))</f>
        <v>89.751456703373435</v>
      </c>
      <c r="DU46" s="62">
        <f t="shared" si="44"/>
        <v>433.35713950666889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51.286422646452948</v>
      </c>
      <c r="EB46" s="23">
        <f>EXP(-LN(2)/25)*EB45+(1-EXP(-LN(2)/25))/(LN(2)/25)*Calculateur!DW46*Calculateur!DY46*VLOOKUP('Données projet'!$B$14,Paramètres!$A$1:$I$89,3,0)*0.475*44/12</f>
        <v>12.472726249865087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63.759148896318038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>
        <f>EJ46*VLOOKUP('Données projet'!$B$15,Paramètres!$A$1:$I$89,3,0)*VLOOKUP('Données projet'!$B$15,Paramètres!$A$1:$I$89,5,0)</f>
        <v>0</v>
      </c>
      <c r="EL46" s="14" t="e">
        <f t="shared" si="45"/>
        <v>#NUM!</v>
      </c>
      <c r="EM46" s="22" t="e">
        <f t="shared" si="19"/>
        <v>#NUM!</v>
      </c>
      <c r="EN46" s="62" t="e">
        <f t="shared" si="20"/>
        <v>#NUM!</v>
      </c>
      <c r="EO46" s="62">
        <f ca="1">AVERAGE(OFFSET($EN$3,0,0,'Données projet'!$E$15+1,1))-AVERAGE(OFFSET($H$3,0,0,'Données projet'!$E$15+1,1))</f>
        <v>204.71144247550794</v>
      </c>
      <c r="EP46" s="62">
        <f t="shared" si="46"/>
        <v>409.91012463636184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76.375866884755695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2.9387462123374766</v>
      </c>
      <c r="EY46" s="24">
        <f t="shared" si="21"/>
        <v>79.314613097093172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59.973138272061902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2.8000000000000003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10.266666666666667</v>
      </c>
      <c r="H47" s="70">
        <f t="shared" si="1"/>
        <v>188.90666666666664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</v>
      </c>
      <c r="N47" s="14">
        <f>IF('Données projet'!$A$36&gt;35,N46+M47-V46,IF(A47&lt;'Données projet'!$A$36,$K$205^A47,IF(A47='Données projet'!$A$36,'Données projet'!$B$36,N46+M47-V46)))</f>
        <v>273.49999999999989</v>
      </c>
      <c r="O47" s="14">
        <f>N47*VLOOKUP('Données projet'!$B$9,Paramètres!$A$1:$I$89,3,0)*VLOOKUP('Données projet'!$B$9,Paramètres!$A$1:$I$89,5,0)</f>
        <v>127.99799999999995</v>
      </c>
      <c r="P47" s="14">
        <f t="shared" si="33"/>
        <v>33.533338894635314</v>
      </c>
      <c r="Q47" s="22">
        <f t="shared" si="53"/>
        <v>281.33374857482306</v>
      </c>
      <c r="R47" s="62">
        <f t="shared" si="0"/>
        <v>538.53971556472561</v>
      </c>
      <c r="S47" s="62">
        <f ca="1">AVERAGE(OFFSET($R$3,0,0,'Données projet'!$E$9+1,1))-AVERAGE(OFFSET($H$3,0,0,'Données projet'!$E$9+1,1))</f>
        <v>349.50936264852089</v>
      </c>
      <c r="T47" s="62">
        <f t="shared" si="34"/>
        <v>260.52733851266106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151.69440000000003</v>
      </c>
      <c r="AK47" s="14">
        <f t="shared" si="35"/>
        <v>38.963392010880654</v>
      </c>
      <c r="AL47" s="22">
        <f t="shared" si="4"/>
        <v>332.06232108561716</v>
      </c>
      <c r="AM47" s="62">
        <f t="shared" si="5"/>
        <v>589.26828807551976</v>
      </c>
      <c r="AN47" s="62">
        <f ca="1">AVERAGE(OFFSET($AM$3,0,0,'Données projet'!$E$10+1,1))-AVERAGE(OFFSET($H$3,0,0,'Données projet'!$E$10+1,1))</f>
        <v>447.04988989014134</v>
      </c>
      <c r="AO47" s="62">
        <f t="shared" si="36"/>
        <v>278.04061554501783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163.36320000000003</v>
      </c>
      <c r="BF47" s="14">
        <f t="shared" si="37"/>
        <v>41.600173715581626</v>
      </c>
      <c r="BG47" s="22">
        <f t="shared" si="7"/>
        <v>356.97787588797138</v>
      </c>
      <c r="BH47" s="62">
        <f t="shared" si="8"/>
        <v>614.18384287787399</v>
      </c>
      <c r="BI47" s="62">
        <f ca="1">AVERAGE(OFFSET($BH$3,0,0,'Données projet'!$E$11+1,1))-AVERAGE(OFFSET($H$3,0,0,'Données projet'!$E$11+1,1))</f>
        <v>475.58735584427552</v>
      </c>
      <c r="BJ47" s="62">
        <f t="shared" si="38"/>
        <v>294.51413339056131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214.20000000000002</v>
      </c>
      <c r="BZ47" s="14">
        <f>BY47*VLOOKUP('Données projet'!$B$12,Paramètres!$A$1:$I$89,3,0)*VLOOKUP('Données projet'!$B$12,Paramètres!$A$1:$I$89,5,0)</f>
        <v>187.12512000000004</v>
      </c>
      <c r="CA47" s="14">
        <f t="shared" si="39"/>
        <v>46.903794805770545</v>
      </c>
      <c r="CB47" s="22">
        <f t="shared" si="10"/>
        <v>407.60035995338376</v>
      </c>
      <c r="CC47" s="62">
        <f t="shared" si="11"/>
        <v>664.80632694328642</v>
      </c>
      <c r="CD47" s="62">
        <f ca="1">AVERAGE(OFFSET($CC$3,0,0,'Données projet'!$E$12+1,1))-AVERAGE(OFFSET($H$3,0,0,'Données projet'!$E$12+1,1))</f>
        <v>344.32696811748974</v>
      </c>
      <c r="CE47" s="62">
        <f t="shared" si="40"/>
        <v>411.51927518440766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7.0873831040723605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7.0873831040723605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174.26447999999999</v>
      </c>
      <c r="CV47" s="14">
        <f t="shared" si="41"/>
        <v>44.043743683739521</v>
      </c>
      <c r="CW47" s="22">
        <f t="shared" si="13"/>
        <v>380.22015624917964</v>
      </c>
      <c r="CX47" s="62">
        <f t="shared" si="14"/>
        <v>637.42612323908224</v>
      </c>
      <c r="CY47" s="62">
        <f ca="1">AVERAGE(OFFSET($CX$3,0,0,'Données projet'!$E$13+1,1))-AVERAGE(OFFSET($H$3,0,0,'Données projet'!$E$13+1,1))</f>
        <v>473.14533251757302</v>
      </c>
      <c r="CZ47" s="62">
        <f t="shared" si="42"/>
        <v>299.82031908667142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1.6272940225706523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1.6272940225706523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>
        <f>DO47*VLOOKUP('Données projet'!$B$14,Paramètres!$A$1:$I$89,3,0)*VLOOKUP('Données projet'!$B$14,Paramètres!$A$1:$I$89,5,0)</f>
        <v>0</v>
      </c>
      <c r="DQ47" s="14" t="e">
        <f t="shared" si="43"/>
        <v>#NUM!</v>
      </c>
      <c r="DR47" s="22" t="e">
        <f t="shared" si="16"/>
        <v>#NUM!</v>
      </c>
      <c r="DS47" s="62" t="e">
        <f t="shared" si="17"/>
        <v>#NUM!</v>
      </c>
      <c r="DT47" s="62">
        <f ca="1">AVERAGE(OFFSET($DS$3,0,0,'Données projet'!$E$14+1,1))-AVERAGE(OFFSET($H$3,0,0,'Données projet'!$E$14+1,1))</f>
        <v>89.751456703373435</v>
      </c>
      <c r="DU47" s="62">
        <f t="shared" si="44"/>
        <v>433.35713950666889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50.280727179985014</v>
      </c>
      <c r="EB47" s="23">
        <f>EXP(-LN(2)/25)*EB46+(1-EXP(-LN(2)/25))/(LN(2)/25)*Calculateur!DW47*Calculateur!DY47*VLOOKUP('Données projet'!$B$14,Paramètres!$A$1:$I$89,3,0)*0.475*44/12</f>
        <v>12.131658894650359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62.412386074635371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>
        <f>EJ47*VLOOKUP('Données projet'!$B$15,Paramètres!$A$1:$I$89,3,0)*VLOOKUP('Données projet'!$B$15,Paramètres!$A$1:$I$89,5,0)</f>
        <v>0</v>
      </c>
      <c r="EL47" s="14" t="e">
        <f t="shared" si="45"/>
        <v>#NUM!</v>
      </c>
      <c r="EM47" s="22" t="e">
        <f t="shared" si="19"/>
        <v>#NUM!</v>
      </c>
      <c r="EN47" s="62" t="e">
        <f t="shared" si="20"/>
        <v>#NUM!</v>
      </c>
      <c r="EO47" s="62">
        <f ca="1">AVERAGE(OFFSET($EN$3,0,0,'Données projet'!$E$15+1,1))-AVERAGE(OFFSET($H$3,0,0,'Données projet'!$E$15+1,1))</f>
        <v>204.71144247550794</v>
      </c>
      <c r="EP47" s="62">
        <f t="shared" si="46"/>
        <v>409.91012463636184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74.878182719824579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2.0780073749301113</v>
      </c>
      <c r="EY47" s="24">
        <f t="shared" si="21"/>
        <v>76.956190094754689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60.147081906337064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2.8000000000000003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10.266666666666667</v>
      </c>
      <c r="H48" s="70">
        <f t="shared" si="1"/>
        <v>188.90666666666664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</v>
      </c>
      <c r="N48" s="14">
        <f>IF('Données projet'!$A$36&gt;35,N47+M48-V47,IF(A48&lt;'Données projet'!$A$36,$K$205^A48,IF(A48='Données projet'!$A$36,'Données projet'!$B$36,N47+M48-V47)))</f>
        <v>290.99999999999989</v>
      </c>
      <c r="O48" s="14">
        <f>N48*VLOOKUP('Données projet'!$B$9,Paramètres!$A$1:$I$89,3,0)*VLOOKUP('Données projet'!$B$9,Paramètres!$A$1:$I$89,5,0)</f>
        <v>136.18799999999993</v>
      </c>
      <c r="P48" s="14">
        <f t="shared" si="33"/>
        <v>35.422331714503152</v>
      </c>
      <c r="Q48" s="22">
        <f t="shared" si="53"/>
        <v>298.88799440275955</v>
      </c>
      <c r="R48" s="62">
        <f t="shared" si="0"/>
        <v>556.72069043002955</v>
      </c>
      <c r="S48" s="62">
        <f ca="1">AVERAGE(OFFSET($R$3,0,0,'Données projet'!$E$9+1,1))-AVERAGE(OFFSET($H$3,0,0,'Données projet'!$E$9+1,1))</f>
        <v>349.50936264852089</v>
      </c>
      <c r="T48" s="62">
        <f t="shared" si="34"/>
        <v>260.52733851266106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160.21200000000005</v>
      </c>
      <c r="AK48" s="14">
        <f t="shared" si="35"/>
        <v>40.890328912852695</v>
      </c>
      <c r="AL48" s="22">
        <f t="shared" si="4"/>
        <v>350.25322285655176</v>
      </c>
      <c r="AM48" s="62">
        <f t="shared" si="5"/>
        <v>608.08591888382171</v>
      </c>
      <c r="AN48" s="62">
        <f ca="1">AVERAGE(OFFSET($AM$3,0,0,'Données projet'!$E$10+1,1))-AVERAGE(OFFSET($H$3,0,0,'Données projet'!$E$10+1,1))</f>
        <v>447.04988989014134</v>
      </c>
      <c r="AO48" s="62">
        <f t="shared" si="36"/>
        <v>278.04061554501783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172.53600000000003</v>
      </c>
      <c r="BF48" s="14">
        <f t="shared" si="37"/>
        <v>43.657512815796977</v>
      </c>
      <c r="BG48" s="22">
        <f t="shared" si="7"/>
        <v>376.53703482084643</v>
      </c>
      <c r="BH48" s="62">
        <f t="shared" si="8"/>
        <v>634.36973084811643</v>
      </c>
      <c r="BI48" s="62">
        <f ca="1">AVERAGE(OFFSET($BH$3,0,0,'Données projet'!$E$11+1,1))-AVERAGE(OFFSET($H$3,0,0,'Données projet'!$E$11+1,1))</f>
        <v>475.58735584427552</v>
      </c>
      <c r="BJ48" s="62">
        <f t="shared" si="38"/>
        <v>294.51413339056131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224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224.00000000000003</v>
      </c>
      <c r="BZ48" s="14">
        <f>BY48*VLOOKUP('Données projet'!$B$12,Paramètres!$A$1:$I$89,3,0)*VLOOKUP('Données projet'!$B$12,Paramètres!$A$1:$I$89,5,0)</f>
        <v>195.68640000000005</v>
      </c>
      <c r="CA48" s="14">
        <f t="shared" si="39"/>
        <v>48.794969360985156</v>
      </c>
      <c r="CB48" s="22">
        <f t="shared" si="10"/>
        <v>425.80505163704925</v>
      </c>
      <c r="CC48" s="62">
        <f t="shared" si="11"/>
        <v>683.63774766431925</v>
      </c>
      <c r="CD48" s="62">
        <f ca="1">AVERAGE(OFFSET($CC$3,0,0,'Données projet'!$E$12+1,1))-AVERAGE(OFFSET($H$3,0,0,'Données projet'!$E$12+1,1))</f>
        <v>344.32696811748974</v>
      </c>
      <c r="CE48" s="62">
        <f t="shared" si="40"/>
        <v>411.51927518440766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36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6.8935782403822232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6.8935782403822232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204.00000000000003</v>
      </c>
      <c r="CU48" s="18">
        <f>CT48*VLOOKUP('Données projet'!$B$13,Paramètres!$A$1:$I$89,3,0)*VLOOKUP('Données projet'!$B$13,Paramètres!$A$1:$I$89,5,0)</f>
        <v>184.57920000000001</v>
      </c>
      <c r="CV48" s="14">
        <f t="shared" si="41"/>
        <v>46.339479465836661</v>
      </c>
      <c r="CW48" s="22">
        <f t="shared" si="13"/>
        <v>402.18336673633218</v>
      </c>
      <c r="CX48" s="62">
        <f t="shared" si="14"/>
        <v>660.01606276360212</v>
      </c>
      <c r="CY48" s="62">
        <f ca="1">AVERAGE(OFFSET($CX$3,0,0,'Données projet'!$E$13+1,1))-AVERAGE(OFFSET($H$3,0,0,'Données projet'!$E$13+1,1))</f>
        <v>473.14533251757302</v>
      </c>
      <c r="CZ48" s="62">
        <f t="shared" si="42"/>
        <v>299.82031908667142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1.5827955819477844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1.5827955819477844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>
        <f>DO48*VLOOKUP('Données projet'!$B$14,Paramètres!$A$1:$I$89,3,0)*VLOOKUP('Données projet'!$B$14,Paramètres!$A$1:$I$89,5,0)</f>
        <v>0</v>
      </c>
      <c r="DQ48" s="14" t="e">
        <f t="shared" si="43"/>
        <v>#NUM!</v>
      </c>
      <c r="DR48" s="22" t="e">
        <f t="shared" si="16"/>
        <v>#NUM!</v>
      </c>
      <c r="DS48" s="62" t="e">
        <f t="shared" si="17"/>
        <v>#NUM!</v>
      </c>
      <c r="DT48" s="62">
        <f ca="1">AVERAGE(OFFSET($DS$3,0,0,'Données projet'!$E$14+1,1))-AVERAGE(OFFSET($H$3,0,0,'Données projet'!$E$14+1,1))</f>
        <v>89.751456703373435</v>
      </c>
      <c r="DU48" s="62">
        <f t="shared" si="44"/>
        <v>433.35713950666889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49.294752788200853</v>
      </c>
      <c r="EB48" s="23">
        <f>EXP(-LN(2)/25)*EB47+(1-EXP(-LN(2)/25))/(LN(2)/25)*Calculateur!DW48*Calculateur!DY48*VLOOKUP('Données projet'!$B$14,Paramètres!$A$1:$I$89,3,0)*0.475*44/12</f>
        <v>11.799918044199931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61.09467083240078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>
        <f>EJ48*VLOOKUP('Données projet'!$B$15,Paramètres!$A$1:$I$89,3,0)*VLOOKUP('Données projet'!$B$15,Paramètres!$A$1:$I$89,5,0)</f>
        <v>0</v>
      </c>
      <c r="EL48" s="14" t="e">
        <f t="shared" si="45"/>
        <v>#NUM!</v>
      </c>
      <c r="EM48" s="22" t="e">
        <f t="shared" si="19"/>
        <v>#NUM!</v>
      </c>
      <c r="EN48" s="62" t="e">
        <f t="shared" si="20"/>
        <v>#NUM!</v>
      </c>
      <c r="EO48" s="62">
        <f ca="1">AVERAGE(OFFSET($EN$3,0,0,'Données projet'!$E$15+1,1))-AVERAGE(OFFSET($H$3,0,0,'Données projet'!$E$15+1,1))</f>
        <v>204.71144247550794</v>
      </c>
      <c r="EP48" s="62">
        <f t="shared" si="46"/>
        <v>409.91012463636184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73.40986722787062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1.4693731061687383</v>
      </c>
      <c r="EY48" s="24">
        <f t="shared" si="21"/>
        <v>74.879240334039352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60.318008007437271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2.8000000000000003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10.266666666666667</v>
      </c>
      <c r="H49" s="70">
        <f t="shared" si="1"/>
        <v>188.90666666666664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</v>
      </c>
      <c r="N49" s="14">
        <f>IF('Données projet'!$A$36&gt;35,N48+M49-V48,IF(A49&lt;'Données projet'!$A$36,$K$205^A49,IF(A49='Données projet'!$A$36,'Données projet'!$B$36,N48+M49-V48)))</f>
        <v>308.49999999999989</v>
      </c>
      <c r="O49" s="14">
        <f>N49*VLOOKUP('Données projet'!$B$9,Paramètres!$A$1:$I$89,3,0)*VLOOKUP('Données projet'!$B$9,Paramètres!$A$1:$I$89,5,0)</f>
        <v>144.37799999999996</v>
      </c>
      <c r="P49" s="14">
        <f t="shared" si="33"/>
        <v>37.298139369272413</v>
      </c>
      <c r="Q49" s="22">
        <f t="shared" si="53"/>
        <v>316.41927606814937</v>
      </c>
      <c r="R49" s="62">
        <f t="shared" si="0"/>
        <v>574.86782878514464</v>
      </c>
      <c r="S49" s="62">
        <f ca="1">AVERAGE(OFFSET($R$3,0,0,'Données projet'!$E$9+1,1))-AVERAGE(OFFSET($H$3,0,0,'Données projet'!$E$9+1,1))</f>
        <v>349.50936264852089</v>
      </c>
      <c r="T49" s="62">
        <f t="shared" si="34"/>
        <v>260.52733851266106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147.43560000000002</v>
      </c>
      <c r="AK49" s="14">
        <f t="shared" si="35"/>
        <v>37.99523294834102</v>
      </c>
      <c r="AL49" s="22">
        <f t="shared" si="4"/>
        <v>322.95870071836066</v>
      </c>
      <c r="AM49" s="62">
        <f t="shared" si="5"/>
        <v>581.40725343535587</v>
      </c>
      <c r="AN49" s="62">
        <f ca="1">AVERAGE(OFFSET($AM$3,0,0,'Données projet'!$E$10+1,1))-AVERAGE(OFFSET($H$3,0,0,'Données projet'!$E$10+1,1))</f>
        <v>447.04988989014134</v>
      </c>
      <c r="AO49" s="62">
        <f t="shared" si="36"/>
        <v>278.04061554501783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158.77680000000004</v>
      </c>
      <c r="BF49" s="14">
        <f t="shared" si="37"/>
        <v>40.566496124710788</v>
      </c>
      <c r="BG49" s="22">
        <f t="shared" si="7"/>
        <v>347.18957408387132</v>
      </c>
      <c r="BH49" s="62">
        <f t="shared" si="8"/>
        <v>605.63812680086653</v>
      </c>
      <c r="BI49" s="62">
        <f ca="1">AVERAGE(OFFSET($BH$3,0,0,'Données projet'!$E$11+1,1))-AVERAGE(OFFSET($H$3,0,0,'Données projet'!$E$11+1,1))</f>
        <v>475.58735584427552</v>
      </c>
      <c r="BJ49" s="62">
        <f t="shared" si="38"/>
        <v>294.51413339056131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8.6</v>
      </c>
      <c r="BY49" s="13">
        <f>IF('Données projet'!$A$114&gt;35,BY48+BX49-CG48,IF(A49&lt;'Données projet'!$A$114,$BV$205^A49,IF(A49='Données projet'!$A$114,'Données projet'!$B$114,BY48+BX49-CG48)))</f>
        <v>196.60000000000002</v>
      </c>
      <c r="BZ49" s="14">
        <f>BY49*VLOOKUP('Données projet'!$B$12,Paramètres!$A$1:$I$89,3,0)*VLOOKUP('Données projet'!$B$12,Paramètres!$A$1:$I$89,5,0)</f>
        <v>171.74976000000004</v>
      </c>
      <c r="CA49" s="14">
        <f t="shared" si="39"/>
        <v>43.481677757882629</v>
      </c>
      <c r="CB49" s="22">
        <f t="shared" si="10"/>
        <v>374.8614207616456</v>
      </c>
      <c r="CC49" s="62">
        <f t="shared" si="11"/>
        <v>633.30997347864081</v>
      </c>
      <c r="CD49" s="62">
        <f ca="1">AVERAGE(OFFSET($CC$3,0,0,'Données projet'!$E$12+1,1))-AVERAGE(OFFSET($H$3,0,0,'Données projet'!$E$12+1,1))</f>
        <v>344.32696811748974</v>
      </c>
      <c r="CE49" s="62">
        <f t="shared" si="40"/>
        <v>411.51927518440766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6.7050729808814475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6.7050729808814475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187.00000000000003</v>
      </c>
      <c r="CU49" s="18">
        <f>CT49*VLOOKUP('Données projet'!$B$13,Paramètres!$A$1:$I$89,3,0)*VLOOKUP('Données projet'!$B$13,Paramètres!$A$1:$I$89,5,0)</f>
        <v>169.19760000000002</v>
      </c>
      <c r="CV49" s="14">
        <f t="shared" si="41"/>
        <v>42.910263223432885</v>
      </c>
      <c r="CW49" s="22">
        <f t="shared" si="13"/>
        <v>369.42119511414558</v>
      </c>
      <c r="CX49" s="62">
        <f t="shared" si="14"/>
        <v>627.86974783114078</v>
      </c>
      <c r="CY49" s="62">
        <f ca="1">AVERAGE(OFFSET($CX$3,0,0,'Données projet'!$E$13+1,1))-AVERAGE(OFFSET($H$3,0,0,'Données projet'!$E$13+1,1))</f>
        <v>473.14533251757302</v>
      </c>
      <c r="CZ49" s="62">
        <f t="shared" si="42"/>
        <v>299.82031908667142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1.53951395352382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1.53951395352382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>
        <f>DO49*VLOOKUP('Données projet'!$B$14,Paramètres!$A$1:$I$89,3,0)*VLOOKUP('Données projet'!$B$14,Paramètres!$A$1:$I$89,5,0)</f>
        <v>0</v>
      </c>
      <c r="DQ49" s="14" t="e">
        <f t="shared" si="43"/>
        <v>#NUM!</v>
      </c>
      <c r="DR49" s="22" t="e">
        <f t="shared" si="16"/>
        <v>#NUM!</v>
      </c>
      <c r="DS49" s="62" t="e">
        <f t="shared" si="17"/>
        <v>#NUM!</v>
      </c>
      <c r="DT49" s="62">
        <f ca="1">AVERAGE(OFFSET($DS$3,0,0,'Données projet'!$E$14+1,1))-AVERAGE(OFFSET($H$3,0,0,'Données projet'!$E$14+1,1))</f>
        <v>89.751456703373435</v>
      </c>
      <c r="DU49" s="62">
        <f t="shared" si="44"/>
        <v>433.35713950666889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48.32811275285458</v>
      </c>
      <c r="EB49" s="23">
        <f>EXP(-LN(2)/25)*EB48+(1-EXP(-LN(2)/25))/(LN(2)/25)*Calculateur!DW49*Calculateur!DY49*VLOOKUP('Données projet'!$B$14,Paramètres!$A$1:$I$89,3,0)*0.475*44/12</f>
        <v>11.477248664750563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59.805361417605141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>
        <f>EJ49*VLOOKUP('Données projet'!$B$15,Paramètres!$A$1:$I$89,3,0)*VLOOKUP('Données projet'!$B$15,Paramètres!$A$1:$I$89,5,0)</f>
        <v>0</v>
      </c>
      <c r="EL49" s="14" t="e">
        <f t="shared" si="45"/>
        <v>#NUM!</v>
      </c>
      <c r="EM49" s="22" t="e">
        <f t="shared" si="19"/>
        <v>#NUM!</v>
      </c>
      <c r="EN49" s="62" t="e">
        <f t="shared" si="20"/>
        <v>#NUM!</v>
      </c>
      <c r="EO49" s="62">
        <f ca="1">AVERAGE(OFFSET($EN$3,0,0,'Données projet'!$E$15+1,1))-AVERAGE(OFFSET($H$3,0,0,'Données projet'!$E$15+1,1))</f>
        <v>204.71144247550794</v>
      </c>
      <c r="EP49" s="62">
        <f t="shared" si="46"/>
        <v>409.91012463636184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71.970344507129866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1.0390036874650557</v>
      </c>
      <c r="EY49" s="24">
        <f t="shared" si="21"/>
        <v>73.009348194594921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60.485968922816895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2.8000000000000003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10.266666666666667</v>
      </c>
      <c r="H50" s="70">
        <f t="shared" si="1"/>
        <v>188.90666666666664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</v>
      </c>
      <c r="N50" s="14">
        <f>IF('Données projet'!$A$36&gt;35,N49+M50-V49,IF(A50&lt;'Données projet'!$A$36,$K$205^A50,IF(A50='Données projet'!$A$36,'Données projet'!$B$36,N49+M50-V49)))</f>
        <v>325.99999999999989</v>
      </c>
      <c r="O50" s="14">
        <f>N50*VLOOKUP('Données projet'!$B$9,Paramètres!$A$1:$I$89,3,0)*VLOOKUP('Données projet'!$B$9,Paramètres!$A$1:$I$89,5,0)</f>
        <v>152.56799999999996</v>
      </c>
      <c r="P50" s="14">
        <f t="shared" si="33"/>
        <v>39.161595030150863</v>
      </c>
      <c r="Q50" s="22">
        <f t="shared" si="53"/>
        <v>333.92904467751265</v>
      </c>
      <c r="R50" s="62">
        <f t="shared" si="0"/>
        <v>592.98277034751584</v>
      </c>
      <c r="S50" s="62">
        <f ca="1">AVERAGE(OFFSET($R$3,0,0,'Données projet'!$E$9+1,1))-AVERAGE(OFFSET($H$3,0,0,'Données projet'!$E$9+1,1))</f>
        <v>349.50936264852089</v>
      </c>
      <c r="T50" s="62">
        <f t="shared" si="34"/>
        <v>260.52733851266106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155.95320000000004</v>
      </c>
      <c r="AK50" s="14">
        <f t="shared" si="35"/>
        <v>39.928391937903875</v>
      </c>
      <c r="AL50" s="22">
        <f t="shared" si="4"/>
        <v>341.16043929184929</v>
      </c>
      <c r="AM50" s="62">
        <f t="shared" si="5"/>
        <v>600.21416496185248</v>
      </c>
      <c r="AN50" s="62">
        <f ca="1">AVERAGE(OFFSET($AM$3,0,0,'Données projet'!$E$10+1,1))-AVERAGE(OFFSET($H$3,0,0,'Données projet'!$E$10+1,1))</f>
        <v>447.04988989014134</v>
      </c>
      <c r="AO50" s="62">
        <f t="shared" si="36"/>
        <v>278.04061554501783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167.94960000000003</v>
      </c>
      <c r="BF50" s="14">
        <f t="shared" si="37"/>
        <v>42.630478381779049</v>
      </c>
      <c r="BG50" s="22">
        <f t="shared" si="7"/>
        <v>366.7603031815986</v>
      </c>
      <c r="BH50" s="62">
        <f t="shared" si="8"/>
        <v>625.81402885160173</v>
      </c>
      <c r="BI50" s="62">
        <f ca="1">AVERAGE(OFFSET($BH$3,0,0,'Données projet'!$E$11+1,1))-AVERAGE(OFFSET($H$3,0,0,'Données projet'!$E$11+1,1))</f>
        <v>475.58735584427552</v>
      </c>
      <c r="BJ50" s="62">
        <f t="shared" si="38"/>
        <v>294.51413339056131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8.6</v>
      </c>
      <c r="BY50" s="13">
        <f>IF('Données projet'!$A$114&gt;35,BY49+BX50-CG49,IF(A50&lt;'Données projet'!$A$114,$BV$205^A50,IF(A50='Données projet'!$A$114,'Données projet'!$B$114,BY49+BX50-CG49)))</f>
        <v>205.20000000000002</v>
      </c>
      <c r="BZ50" s="14">
        <f>BY50*VLOOKUP('Données projet'!$B$12,Paramètres!$A$1:$I$89,3,0)*VLOOKUP('Données projet'!$B$12,Paramètres!$A$1:$I$89,5,0)</f>
        <v>179.26272000000003</v>
      </c>
      <c r="CA50" s="14">
        <f t="shared" si="39"/>
        <v>45.158115787467153</v>
      </c>
      <c r="CB50" s="22">
        <f t="shared" si="10"/>
        <v>390.86628899650532</v>
      </c>
      <c r="CC50" s="62">
        <f t="shared" si="11"/>
        <v>649.92001466650845</v>
      </c>
      <c r="CD50" s="62">
        <f ca="1">AVERAGE(OFFSET($CC$3,0,0,'Données projet'!$E$12+1,1))-AVERAGE(OFFSET($H$3,0,0,'Données projet'!$E$12+1,1))</f>
        <v>344.32696811748974</v>
      </c>
      <c r="CE50" s="62">
        <f t="shared" si="40"/>
        <v>411.51927518440766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6.5217224076147806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6.5217224076147806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198.00000000000003</v>
      </c>
      <c r="CU50" s="18">
        <f>CT50*VLOOKUP('Données projet'!$B$13,Paramètres!$A$1:$I$89,3,0)*VLOOKUP('Données projet'!$B$13,Paramètres!$A$1:$I$89,5,0)</f>
        <v>179.15040000000002</v>
      </c>
      <c r="CV50" s="14">
        <f t="shared" si="41"/>
        <v>45.133113803437304</v>
      </c>
      <c r="CW50" s="22">
        <f t="shared" si="13"/>
        <v>390.62711987431999</v>
      </c>
      <c r="CX50" s="62">
        <f t="shared" si="14"/>
        <v>649.68084554432312</v>
      </c>
      <c r="CY50" s="62">
        <f ca="1">AVERAGE(OFFSET($CX$3,0,0,'Données projet'!$E$13+1,1))-AVERAGE(OFFSET($H$3,0,0,'Données projet'!$E$13+1,1))</f>
        <v>473.14533251757302</v>
      </c>
      <c r="CZ50" s="62">
        <f t="shared" si="42"/>
        <v>299.82031908667142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1.4974158635051911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1.4974158635051911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>
        <f>DO50*VLOOKUP('Données projet'!$B$14,Paramètres!$A$1:$I$89,3,0)*VLOOKUP('Données projet'!$B$14,Paramètres!$A$1:$I$89,5,0)</f>
        <v>0</v>
      </c>
      <c r="DQ50" s="14" t="e">
        <f t="shared" si="43"/>
        <v>#NUM!</v>
      </c>
      <c r="DR50" s="22" t="e">
        <f t="shared" si="16"/>
        <v>#NUM!</v>
      </c>
      <c r="DS50" s="62" t="e">
        <f t="shared" si="17"/>
        <v>#NUM!</v>
      </c>
      <c r="DT50" s="62">
        <f ca="1">AVERAGE(OFFSET($DS$3,0,0,'Données projet'!$E$14+1,1))-AVERAGE(OFFSET($H$3,0,0,'Données projet'!$E$14+1,1))</f>
        <v>89.751456703373435</v>
      </c>
      <c r="DU50" s="62">
        <f t="shared" si="44"/>
        <v>433.35713950666889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47.380427939009245</v>
      </c>
      <c r="EB50" s="23">
        <f>EXP(-LN(2)/25)*EB49+(1-EXP(-LN(2)/25))/(LN(2)/25)*Calculateur!DW50*Calculateur!DY50*VLOOKUP('Données projet'!$B$14,Paramètres!$A$1:$I$89,3,0)*0.475*44/12</f>
        <v>11.163402696450683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58.543830635459926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>
        <f>EJ50*VLOOKUP('Données projet'!$B$15,Paramètres!$A$1:$I$89,3,0)*VLOOKUP('Données projet'!$B$15,Paramètres!$A$1:$I$89,5,0)</f>
        <v>0</v>
      </c>
      <c r="EL50" s="14" t="e">
        <f t="shared" si="45"/>
        <v>#NUM!</v>
      </c>
      <c r="EM50" s="22" t="e">
        <f t="shared" si="19"/>
        <v>#NUM!</v>
      </c>
      <c r="EN50" s="62" t="e">
        <f t="shared" si="20"/>
        <v>#NUM!</v>
      </c>
      <c r="EO50" s="62">
        <f ca="1">AVERAGE(OFFSET($EN$3,0,0,'Données projet'!$E$15+1,1))-AVERAGE(OFFSET($H$3,0,0,'Données projet'!$E$15+1,1))</f>
        <v>204.71144247550794</v>
      </c>
      <c r="EP50" s="62">
        <f t="shared" si="46"/>
        <v>409.91012463636184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70.559049948920674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0.73468655308436914</v>
      </c>
      <c r="EY50" s="24">
        <f t="shared" si="21"/>
        <v>71.293736502005046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60.651016091819045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2.8000000000000003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10.266666666666667</v>
      </c>
      <c r="H51" s="70">
        <f t="shared" si="1"/>
        <v>188.90666666666664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</v>
      </c>
      <c r="N51" s="14">
        <f>IF('Données projet'!$A$36&gt;35,N50+M51-V50,IF(A51&lt;'Données projet'!$A$36,$K$205^A51,IF(A51='Données projet'!$A$36,'Données projet'!$B$36,N50+M51-V50)))</f>
        <v>343.49999999999989</v>
      </c>
      <c r="O51" s="14">
        <f>N51*VLOOKUP('Données projet'!$B$9,Paramètres!$A$1:$I$89,3,0)*VLOOKUP('Données projet'!$B$9,Paramètres!$A$1:$I$89,5,0)</f>
        <v>160.75799999999995</v>
      </c>
      <c r="P51" s="14">
        <f t="shared" si="33"/>
        <v>41.013437365421375</v>
      </c>
      <c r="Q51" s="22">
        <f t="shared" si="53"/>
        <v>351.41858674477544</v>
      </c>
      <c r="R51" s="62">
        <f t="shared" si="0"/>
        <v>611.06698697001571</v>
      </c>
      <c r="S51" s="62">
        <f ca="1">AVERAGE(OFFSET($R$3,0,0,'Données projet'!$E$9+1,1))-AVERAGE(OFFSET($H$3,0,0,'Données projet'!$E$9+1,1))</f>
        <v>349.50936264852089</v>
      </c>
      <c r="T51" s="62">
        <f t="shared" si="34"/>
        <v>260.52733851266106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164.47080000000005</v>
      </c>
      <c r="AK51" s="14">
        <f t="shared" si="35"/>
        <v>41.849293714451377</v>
      </c>
      <c r="AL51" s="22">
        <f t="shared" si="4"/>
        <v>359.34082988600289</v>
      </c>
      <c r="AM51" s="62">
        <f t="shared" si="5"/>
        <v>618.98923011124316</v>
      </c>
      <c r="AN51" s="62">
        <f ca="1">AVERAGE(OFFSET($AM$3,0,0,'Données projet'!$E$10+1,1))-AVERAGE(OFFSET($H$3,0,0,'Données projet'!$E$10+1,1))</f>
        <v>447.04988989014134</v>
      </c>
      <c r="AO51" s="62">
        <f t="shared" si="36"/>
        <v>278.04061554501783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177.12240000000003</v>
      </c>
      <c r="BF51" s="14">
        <f t="shared" si="37"/>
        <v>44.681373939656346</v>
      </c>
      <c r="BG51" s="22">
        <f t="shared" si="7"/>
        <v>386.30823961156813</v>
      </c>
      <c r="BH51" s="62">
        <f t="shared" si="8"/>
        <v>645.95663983680845</v>
      </c>
      <c r="BI51" s="62">
        <f ca="1">AVERAGE(OFFSET($BH$3,0,0,'Données projet'!$E$11+1,1))-AVERAGE(OFFSET($H$3,0,0,'Données projet'!$E$11+1,1))</f>
        <v>475.58735584427552</v>
      </c>
      <c r="BJ51" s="62">
        <f t="shared" si="38"/>
        <v>294.51413339056131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8.6</v>
      </c>
      <c r="BY51" s="13">
        <f>IF('Données projet'!$A$114&gt;35,BY50+BX51-CG50,IF(A51&lt;'Données projet'!$A$114,$BV$205^A51,IF(A51='Données projet'!$A$114,'Données projet'!$B$114,BY50+BX51-CG50)))</f>
        <v>213.8</v>
      </c>
      <c r="BZ51" s="14">
        <f>BY51*VLOOKUP('Données projet'!$B$12,Paramètres!$A$1:$I$89,3,0)*VLOOKUP('Données projet'!$B$12,Paramètres!$A$1:$I$89,5,0)</f>
        <v>186.77568000000005</v>
      </c>
      <c r="CA51" s="14">
        <f t="shared" si="39"/>
        <v>46.826392937381165</v>
      </c>
      <c r="CB51" s="22">
        <f t="shared" si="10"/>
        <v>406.85694369927228</v>
      </c>
      <c r="CC51" s="62">
        <f t="shared" si="11"/>
        <v>666.50534392451254</v>
      </c>
      <c r="CD51" s="62">
        <f ca="1">AVERAGE(OFFSET($CC$3,0,0,'Données projet'!$E$12+1,1))-AVERAGE(OFFSET($H$3,0,0,'Données projet'!$E$12+1,1))</f>
        <v>344.32696811748974</v>
      </c>
      <c r="CE51" s="62">
        <f t="shared" si="40"/>
        <v>411.51927518440766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6.3433855654160789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6.3433855654160789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209.00000000000003</v>
      </c>
      <c r="CU51" s="18">
        <f>CT51*VLOOKUP('Données projet'!$B$13,Paramètres!$A$1:$I$89,3,0)*VLOOKUP('Données projet'!$B$13,Paramètres!$A$1:$I$89,5,0)</f>
        <v>189.10320000000002</v>
      </c>
      <c r="CV51" s="14">
        <f t="shared" si="41"/>
        <v>47.34162854278712</v>
      </c>
      <c r="CW51" s="22">
        <f t="shared" si="13"/>
        <v>411.80807637868764</v>
      </c>
      <c r="CX51" s="62">
        <f t="shared" si="14"/>
        <v>671.45647660392797</v>
      </c>
      <c r="CY51" s="62">
        <f ca="1">AVERAGE(OFFSET($CX$3,0,0,'Données projet'!$E$13+1,1))-AVERAGE(OFFSET($H$3,0,0,'Données projet'!$E$13+1,1))</f>
        <v>473.14533251757302</v>
      </c>
      <c r="CZ51" s="62">
        <f t="shared" si="42"/>
        <v>299.82031908667142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1.4564689479719637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1.4564689479719637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>
        <f>DO51*VLOOKUP('Données projet'!$B$14,Paramètres!$A$1:$I$89,3,0)*VLOOKUP('Données projet'!$B$14,Paramètres!$A$1:$I$89,5,0)</f>
        <v>0</v>
      </c>
      <c r="DQ51" s="14" t="e">
        <f t="shared" si="43"/>
        <v>#NUM!</v>
      </c>
      <c r="DR51" s="22" t="e">
        <f t="shared" si="16"/>
        <v>#NUM!</v>
      </c>
      <c r="DS51" s="62" t="e">
        <f t="shared" si="17"/>
        <v>#NUM!</v>
      </c>
      <c r="DT51" s="62">
        <f ca="1">AVERAGE(OFFSET($DS$3,0,0,'Données projet'!$E$14+1,1))-AVERAGE(OFFSET($H$3,0,0,'Données projet'!$E$14+1,1))</f>
        <v>89.751456703373435</v>
      </c>
      <c r="DU51" s="62">
        <f t="shared" si="44"/>
        <v>433.35713950666889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46.45132664633276</v>
      </c>
      <c r="EB51" s="23">
        <f>EXP(-LN(2)/25)*EB50+(1-EXP(-LN(2)/25))/(LN(2)/25)*Calculateur!DW51*Calculateur!DY51*VLOOKUP('Données projet'!$B$14,Paramètres!$A$1:$I$89,3,0)*0.475*44/12</f>
        <v>10.858138862658405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57.309465508991167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>
        <f>EJ51*VLOOKUP('Données projet'!$B$15,Paramètres!$A$1:$I$89,3,0)*VLOOKUP('Données projet'!$B$15,Paramètres!$A$1:$I$89,5,0)</f>
        <v>0</v>
      </c>
      <c r="EL51" s="14" t="e">
        <f t="shared" si="45"/>
        <v>#NUM!</v>
      </c>
      <c r="EM51" s="22" t="e">
        <f t="shared" si="19"/>
        <v>#NUM!</v>
      </c>
      <c r="EN51" s="62" t="e">
        <f t="shared" si="20"/>
        <v>#NUM!</v>
      </c>
      <c r="EO51" s="62">
        <f ca="1">AVERAGE(OFFSET($EN$3,0,0,'Données projet'!$E$15+1,1))-AVERAGE(OFFSET($H$3,0,0,'Données projet'!$E$15+1,1))</f>
        <v>204.71144247550794</v>
      </c>
      <c r="EP51" s="62">
        <f t="shared" si="46"/>
        <v>409.91012463636184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69.175430016193275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0.51950184373252783</v>
      </c>
      <c r="EY51" s="24">
        <f t="shared" si="21"/>
        <v>69.694931859925802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60.813200061429185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2.8000000000000003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10.266666666666667</v>
      </c>
      <c r="H52" s="70">
        <f t="shared" si="1"/>
        <v>188.90666666666664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361</v>
      </c>
      <c r="L52" s="13">
        <f>VLOOKUP(A52,'Données projet'!$A$35:$I$55,9,0)</f>
        <v>17.5</v>
      </c>
      <c r="M52" s="13">
        <f t="array" ref="M52">INDEX(L:L,MIN(IF(ISNUMBER(L52:L248),ROW(L52:L248),"")))</f>
        <v>17.5</v>
      </c>
      <c r="N52" s="14">
        <f>IF('Données projet'!$A$36&gt;35,N51+M52-V51,IF(A52&lt;'Données projet'!$A$36,$K$205^A52,IF(A52='Données projet'!$A$36,'Données projet'!$B$36,N51+M52-V51)))</f>
        <v>360.99999999999989</v>
      </c>
      <c r="O52" s="14">
        <f>N52*VLOOKUP('Données projet'!$B$9,Paramètres!$A$1:$I$89,3,0)*VLOOKUP('Données projet'!$B$9,Paramètres!$A$1:$I$89,5,0)</f>
        <v>168.94799999999995</v>
      </c>
      <c r="P52" s="14">
        <f t="shared" si="33"/>
        <v>42.854325527446242</v>
      </c>
      <c r="Q52" s="22">
        <f t="shared" si="53"/>
        <v>368.88905029363542</v>
      </c>
      <c r="R52" s="62">
        <f t="shared" si="0"/>
        <v>629.1218088000727</v>
      </c>
      <c r="S52" s="62">
        <f ca="1">AVERAGE(OFFSET($R$3,0,0,'Données projet'!$E$9+1,1))-AVERAGE(OFFSET($H$3,0,0,'Données projet'!$E$9+1,1))</f>
        <v>349.50936264852089</v>
      </c>
      <c r="T52" s="62">
        <f t="shared" si="34"/>
        <v>260.52733851266106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100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172.98840000000007</v>
      </c>
      <c r="AK52" s="14">
        <f t="shared" si="35"/>
        <v>43.758645457754092</v>
      </c>
      <c r="AL52" s="22">
        <f t="shared" si="4"/>
        <v>377.50110417225511</v>
      </c>
      <c r="AM52" s="62">
        <f t="shared" si="5"/>
        <v>637.73386267869239</v>
      </c>
      <c r="AN52" s="62">
        <f ca="1">AVERAGE(OFFSET($AM$3,0,0,'Données projet'!$E$10+1,1))-AVERAGE(OFFSET($H$3,0,0,'Données projet'!$E$10+1,1))</f>
        <v>447.04988989014134</v>
      </c>
      <c r="AO52" s="62">
        <f t="shared" si="36"/>
        <v>278.04061554501783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186.29520000000005</v>
      </c>
      <c r="BF52" s="14">
        <f t="shared" si="37"/>
        <v>46.71993783530894</v>
      </c>
      <c r="BG52" s="22">
        <f t="shared" si="7"/>
        <v>405.83469839649644</v>
      </c>
      <c r="BH52" s="62">
        <f t="shared" si="8"/>
        <v>666.06745690293371</v>
      </c>
      <c r="BI52" s="62">
        <f ca="1">AVERAGE(OFFSET($BH$3,0,0,'Données projet'!$E$11+1,1))-AVERAGE(OFFSET($H$3,0,0,'Données projet'!$E$11+1,1))</f>
        <v>475.58735584427552</v>
      </c>
      <c r="BJ52" s="62">
        <f t="shared" si="38"/>
        <v>294.51413339056131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8.6</v>
      </c>
      <c r="BY52" s="13">
        <f>IF('Données projet'!$A$114&gt;35,BY51+BX52-CG51,IF(A52&lt;'Données projet'!$A$114,$BV$205^A52,IF(A52='Données projet'!$A$114,'Données projet'!$B$114,BY51+BX52-CG51)))</f>
        <v>222.4</v>
      </c>
      <c r="BZ52" s="14">
        <f>BY52*VLOOKUP('Données projet'!$B$12,Paramètres!$A$1:$I$89,3,0)*VLOOKUP('Données projet'!$B$12,Paramètres!$A$1:$I$89,5,0)</f>
        <v>194.28864000000002</v>
      </c>
      <c r="CA52" s="14">
        <f t="shared" si="39"/>
        <v>48.486875029770822</v>
      </c>
      <c r="CB52" s="22">
        <f t="shared" si="10"/>
        <v>422.83402201018413</v>
      </c>
      <c r="CC52" s="62">
        <f t="shared" si="11"/>
        <v>683.06678051662141</v>
      </c>
      <c r="CD52" s="62">
        <f ca="1">AVERAGE(OFFSET($CC$3,0,0,'Données projet'!$E$12+1,1))-AVERAGE(OFFSET($H$3,0,0,'Données projet'!$E$12+1,1))</f>
        <v>344.32696811748974</v>
      </c>
      <c r="CE52" s="62">
        <f t="shared" si="40"/>
        <v>411.51927518440766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6.1699253535456275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6.1699253535456275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220.00000000000003</v>
      </c>
      <c r="CU52" s="18">
        <f>CT52*VLOOKUP('Données projet'!$B$13,Paramètres!$A$1:$I$89,3,0)*VLOOKUP('Données projet'!$B$13,Paramètres!$A$1:$I$89,5,0)</f>
        <v>199.05600000000001</v>
      </c>
      <c r="CV52" s="14">
        <f t="shared" si="41"/>
        <v>49.536648006253934</v>
      </c>
      <c r="CW52" s="22">
        <f t="shared" si="13"/>
        <v>432.96552861089231</v>
      </c>
      <c r="CX52" s="62">
        <f t="shared" si="14"/>
        <v>693.19828711732953</v>
      </c>
      <c r="CY52" s="62">
        <f ca="1">AVERAGE(OFFSET($CX$3,0,0,'Données projet'!$E$13+1,1))-AVERAGE(OFFSET($H$3,0,0,'Données projet'!$E$13+1,1))</f>
        <v>473.14533251757302</v>
      </c>
      <c r="CZ52" s="62">
        <f t="shared" si="42"/>
        <v>299.82031908667142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1.4166417279972972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1.4166417279972972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>
        <f>DO52*VLOOKUP('Données projet'!$B$14,Paramètres!$A$1:$I$89,3,0)*VLOOKUP('Données projet'!$B$14,Paramètres!$A$1:$I$89,5,0)</f>
        <v>0</v>
      </c>
      <c r="DQ52" s="14" t="e">
        <f t="shared" si="43"/>
        <v>#NUM!</v>
      </c>
      <c r="DR52" s="22" t="e">
        <f t="shared" si="16"/>
        <v>#NUM!</v>
      </c>
      <c r="DS52" s="62" t="e">
        <f t="shared" si="17"/>
        <v>#NUM!</v>
      </c>
      <c r="DT52" s="62">
        <f ca="1">AVERAGE(OFFSET($DS$3,0,0,'Données projet'!$E$14+1,1))-AVERAGE(OFFSET($H$3,0,0,'Données projet'!$E$14+1,1))</f>
        <v>89.751456703373435</v>
      </c>
      <c r="DU52" s="62">
        <f t="shared" si="44"/>
        <v>433.35713950666889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45.540444463309825</v>
      </c>
      <c r="EB52" s="23">
        <f>EXP(-LN(2)/25)*EB51+(1-EXP(-LN(2)/25))/(LN(2)/25)*Calculateur!DW52*Calculateur!DY52*VLOOKUP('Données projet'!$B$14,Paramètres!$A$1:$I$89,3,0)*0.475*44/12</f>
        <v>10.561222484454305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56.10166694776413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>
        <f>EJ52*VLOOKUP('Données projet'!$B$15,Paramètres!$A$1:$I$89,3,0)*VLOOKUP('Données projet'!$B$15,Paramètres!$A$1:$I$89,5,0)</f>
        <v>0</v>
      </c>
      <c r="EL52" s="14" t="e">
        <f t="shared" si="45"/>
        <v>#NUM!</v>
      </c>
      <c r="EM52" s="22" t="e">
        <f t="shared" si="19"/>
        <v>#NUM!</v>
      </c>
      <c r="EN52" s="62" t="e">
        <f t="shared" si="20"/>
        <v>#NUM!</v>
      </c>
      <c r="EO52" s="62">
        <f ca="1">AVERAGE(OFFSET($EN$3,0,0,'Données projet'!$E$15+1,1))-AVERAGE(OFFSET($H$3,0,0,'Données projet'!$E$15+1,1))</f>
        <v>204.71144247550794</v>
      </c>
      <c r="EP52" s="62">
        <f t="shared" si="46"/>
        <v>409.91012463636184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67.818942026421837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0.36734327654218457</v>
      </c>
      <c r="EY52" s="24">
        <f t="shared" si="21"/>
        <v>68.186285302964023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60.972570501755634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2.8000000000000003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10.266666666666667</v>
      </c>
      <c r="H53" s="70">
        <f t="shared" si="1"/>
        <v>188.90666666666664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278</v>
      </c>
      <c r="L53" s="13">
        <f>VLOOKUP(A53,'Données projet'!$A$35:$I$55,9,0)</f>
        <v>17</v>
      </c>
      <c r="M53" s="13">
        <f t="array" ref="M53">INDEX(L:L,MIN(IF(ISNUMBER(L53:L249),ROW(L53:L249),"")))</f>
        <v>17</v>
      </c>
      <c r="N53" s="14">
        <f>IF('Données projet'!$A$36&gt;35,N52+M53-V52,IF(A53&lt;'Données projet'!$A$36,$K$205^A53,IF(A53='Données projet'!$A$36,'Données projet'!$B$36,N52+M53-V52)))</f>
        <v>277.99999999999989</v>
      </c>
      <c r="O53" s="14">
        <f>N53*VLOOKUP('Données projet'!$B$9,Paramètres!$A$1:$I$89,3,0)*VLOOKUP('Données projet'!$B$9,Paramètres!$A$1:$I$89,5,0)</f>
        <v>130.10399999999996</v>
      </c>
      <c r="P53" s="14">
        <f t="shared" si="33"/>
        <v>34.020389560268086</v>
      </c>
      <c r="Q53" s="22">
        <f t="shared" si="53"/>
        <v>285.84997848413349</v>
      </c>
      <c r="R53" s="62">
        <f t="shared" si="0"/>
        <v>546.6569579620184</v>
      </c>
      <c r="S53" s="62">
        <f ca="1">AVERAGE(OFFSET($R$3,0,0,'Données projet'!$E$9+1,1))-AVERAGE(OFFSET($H$3,0,0,'Données projet'!$E$9+1,1))</f>
        <v>349.50936264852089</v>
      </c>
      <c r="T53" s="62">
        <f t="shared" si="34"/>
        <v>260.52733851266106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181.50600000000006</v>
      </c>
      <c r="AK53" s="14">
        <f t="shared" si="35"/>
        <v>45.657080773122978</v>
      </c>
      <c r="AL53" s="22">
        <f t="shared" si="4"/>
        <v>395.64236567985591</v>
      </c>
      <c r="AM53" s="62">
        <f t="shared" si="5"/>
        <v>656.44934515774094</v>
      </c>
      <c r="AN53" s="62">
        <f ca="1">AVERAGE(OFFSET($AM$3,0,0,'Données projet'!$E$10+1,1))-AVERAGE(OFFSET($H$3,0,0,'Données projet'!$E$10+1,1))</f>
        <v>447.04988989014134</v>
      </c>
      <c r="AO53" s="62">
        <f t="shared" si="36"/>
        <v>278.04061554501783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195.46800000000005</v>
      </c>
      <c r="BF53" s="14">
        <f t="shared" si="37"/>
        <v>48.746846552216553</v>
      </c>
      <c r="BG53" s="22">
        <f t="shared" si="7"/>
        <v>425.34085774511055</v>
      </c>
      <c r="BH53" s="62">
        <f t="shared" si="8"/>
        <v>686.14783722299558</v>
      </c>
      <c r="BI53" s="62">
        <f ca="1">AVERAGE(OFFSET($BH$3,0,0,'Données projet'!$E$11+1,1))-AVERAGE(OFFSET($H$3,0,0,'Données projet'!$E$11+1,1))</f>
        <v>475.58735584427552</v>
      </c>
      <c r="BJ53" s="62">
        <f t="shared" si="38"/>
        <v>294.51413339056131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8.6</v>
      </c>
      <c r="BX53" s="13">
        <f t="array" ref="BX53">INDEX(BW:BW,MIN(IF(ISNUMBER(BW53:BW249),ROW(BW53:BW249),"")))</f>
        <v>8.6</v>
      </c>
      <c r="BY53" s="13">
        <f>IF('Données projet'!$A$114&gt;35,BY52+BX53-CG52,IF(A53&lt;'Données projet'!$A$114,$BV$205^A53,IF(A53='Données projet'!$A$114,'Données projet'!$B$114,BY52+BX53-CG52)))</f>
        <v>231</v>
      </c>
      <c r="BZ53" s="14">
        <f>BY53*VLOOKUP('Données projet'!$B$12,Paramètres!$A$1:$I$89,3,0)*VLOOKUP('Données projet'!$B$12,Paramètres!$A$1:$I$89,5,0)</f>
        <v>201.80160000000004</v>
      </c>
      <c r="CA53" s="14">
        <f t="shared" si="39"/>
        <v>50.139897992681668</v>
      </c>
      <c r="CB53" s="22">
        <f t="shared" si="10"/>
        <v>438.79810900392067</v>
      </c>
      <c r="CC53" s="62">
        <f t="shared" si="11"/>
        <v>699.60508848180564</v>
      </c>
      <c r="CD53" s="62">
        <f ca="1">AVERAGE(OFFSET($CC$3,0,0,'Données projet'!$E$12+1,1))-AVERAGE(OFFSET($H$3,0,0,'Données projet'!$E$12+1,1))</f>
        <v>344.32696811748974</v>
      </c>
      <c r="CE53" s="62">
        <f t="shared" si="40"/>
        <v>411.51927518440766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33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6.0012084202906495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6.0012084202906495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231.00000000000003</v>
      </c>
      <c r="CU53" s="18">
        <f>CT53*VLOOKUP('Données projet'!$B$13,Paramètres!$A$1:$I$89,3,0)*VLOOKUP('Données projet'!$B$13,Paramètres!$A$1:$I$89,5,0)</f>
        <v>209.00880000000004</v>
      </c>
      <c r="CV53" s="14">
        <f t="shared" si="41"/>
        <v>51.718923953824252</v>
      </c>
      <c r="CW53" s="22">
        <f t="shared" si="13"/>
        <v>454.10078588624395</v>
      </c>
      <c r="CX53" s="62">
        <f t="shared" si="14"/>
        <v>714.90776536412886</v>
      </c>
      <c r="CY53" s="62">
        <f ca="1">AVERAGE(OFFSET($CX$3,0,0,'Données projet'!$E$13+1,1))-AVERAGE(OFFSET($H$3,0,0,'Données projet'!$E$13+1,1))</f>
        <v>473.14533251757302</v>
      </c>
      <c r="CZ53" s="62">
        <f t="shared" si="42"/>
        <v>299.82031908667142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1.3779035854472603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1.3779035854472603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>
        <f>DO53*VLOOKUP('Données projet'!$B$14,Paramètres!$A$1:$I$89,3,0)*VLOOKUP('Données projet'!$B$14,Paramètres!$A$1:$I$89,5,0)</f>
        <v>0</v>
      </c>
      <c r="DQ53" s="14" t="e">
        <f t="shared" si="43"/>
        <v>#NUM!</v>
      </c>
      <c r="DR53" s="22" t="e">
        <f t="shared" si="16"/>
        <v>#NUM!</v>
      </c>
      <c r="DS53" s="62" t="e">
        <f t="shared" si="17"/>
        <v>#NUM!</v>
      </c>
      <c r="DT53" s="62">
        <f ca="1">AVERAGE(OFFSET($DS$3,0,0,'Données projet'!$E$14+1,1))-AVERAGE(OFFSET($H$3,0,0,'Données projet'!$E$14+1,1))</f>
        <v>89.751456703373435</v>
      </c>
      <c r="DU53" s="62">
        <f t="shared" si="44"/>
        <v>433.35713950666889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44.6474241243127</v>
      </c>
      <c r="EB53" s="23">
        <f>EXP(-LN(2)/25)*EB52+(1-EXP(-LN(2)/25))/(LN(2)/25)*Calculateur!DW53*Calculateur!DY53*VLOOKUP('Données projet'!$B$14,Paramètres!$A$1:$I$89,3,0)*0.475*44/12</f>
        <v>10.272425300226349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54.919849424539052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>
        <f>EJ53*VLOOKUP('Données projet'!$B$15,Paramètres!$A$1:$I$89,3,0)*VLOOKUP('Données projet'!$B$15,Paramètres!$A$1:$I$89,5,0)</f>
        <v>0</v>
      </c>
      <c r="EL53" s="14" t="e">
        <f t="shared" si="45"/>
        <v>#NUM!</v>
      </c>
      <c r="EM53" s="22" t="e">
        <f t="shared" si="19"/>
        <v>#NUM!</v>
      </c>
      <c r="EN53" s="62" t="e">
        <f t="shared" si="20"/>
        <v>#NUM!</v>
      </c>
      <c r="EO53" s="62">
        <f ca="1">AVERAGE(OFFSET($EN$3,0,0,'Données projet'!$E$15+1,1))-AVERAGE(OFFSET($H$3,0,0,'Données projet'!$E$15+1,1))</f>
        <v>204.71144247550794</v>
      </c>
      <c r="EP53" s="62">
        <f t="shared" si="46"/>
        <v>409.91012463636184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66.489053938753841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0.25975092186626392</v>
      </c>
      <c r="EY53" s="24">
        <f t="shared" si="21"/>
        <v>66.748804860620112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61.129176221241345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2.8000000000000003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10.266666666666667</v>
      </c>
      <c r="H54" s="70">
        <f t="shared" si="1"/>
        <v>188.90666666666664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</v>
      </c>
      <c r="N54" s="14">
        <f>IF('Données projet'!$A$36&gt;35,N53+M54-V53,IF(A54&lt;'Données projet'!$A$36,$K$205^A54,IF(A54='Données projet'!$A$36,'Données projet'!$B$36,N53+M54-V53)))</f>
        <v>294.99999999999989</v>
      </c>
      <c r="O54" s="14">
        <f>N54*VLOOKUP('Données projet'!$B$9,Paramètres!$A$1:$I$89,3,0)*VLOOKUP('Données projet'!$B$9,Paramètres!$A$1:$I$89,5,0)</f>
        <v>138.05999999999995</v>
      </c>
      <c r="P54" s="14">
        <f t="shared" si="33"/>
        <v>35.85221845159689</v>
      </c>
      <c r="Q54" s="22">
        <f t="shared" si="53"/>
        <v>302.89711380319778</v>
      </c>
      <c r="R54" s="62">
        <f t="shared" si="0"/>
        <v>564.26835280244154</v>
      </c>
      <c r="S54" s="62">
        <f ca="1">AVERAGE(OFFSET($R$3,0,0,'Données projet'!$E$9+1,1))-AVERAGE(OFFSET($H$3,0,0,'Données projet'!$E$9+1,1))</f>
        <v>349.50936264852089</v>
      </c>
      <c r="T54" s="62">
        <f t="shared" si="34"/>
        <v>260.52733851266106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168.32400000000007</v>
      </c>
      <c r="AK54" s="14">
        <f t="shared" si="35"/>
        <v>42.71443916408608</v>
      </c>
      <c r="AL54" s="22">
        <f t="shared" si="4"/>
        <v>367.55861487745005</v>
      </c>
      <c r="AM54" s="62">
        <f t="shared" si="5"/>
        <v>628.92985387669376</v>
      </c>
      <c r="AN54" s="62">
        <f ca="1">AVERAGE(OFFSET($AM$3,0,0,'Données projet'!$E$10+1,1))-AVERAGE(OFFSET($H$3,0,0,'Données projet'!$E$10+1,1))</f>
        <v>447.04988989014134</v>
      </c>
      <c r="AO54" s="62">
        <f t="shared" si="36"/>
        <v>278.04061554501783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181.27200000000005</v>
      </c>
      <c r="BF54" s="14">
        <f t="shared" si="37"/>
        <v>45.605066645465861</v>
      </c>
      <c r="BG54" s="22">
        <f t="shared" si="7"/>
        <v>395.14422440751974</v>
      </c>
      <c r="BH54" s="62">
        <f t="shared" si="8"/>
        <v>656.5154634067635</v>
      </c>
      <c r="BI54" s="62">
        <f ca="1">AVERAGE(OFFSET($BH$3,0,0,'Données projet'!$E$11+1,1))-AVERAGE(OFFSET($H$3,0,0,'Données projet'!$E$11+1,1))</f>
        <v>475.58735584427552</v>
      </c>
      <c r="BJ54" s="62">
        <f t="shared" si="38"/>
        <v>294.51413339056131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7.8</v>
      </c>
      <c r="BY54" s="13">
        <f>IF('Données projet'!$A$114&gt;35,BY53+BX54-CG53,IF(A54&lt;'Données projet'!$A$114,$BV$205^A54,IF(A54='Données projet'!$A$114,'Données projet'!$B$114,BY53+BX54-CG53)))</f>
        <v>205.8</v>
      </c>
      <c r="BZ54" s="14">
        <f>BY54*VLOOKUP('Données projet'!$B$12,Paramètres!$A$1:$I$89,3,0)*VLOOKUP('Données projet'!$B$12,Paramètres!$A$1:$I$89,5,0)</f>
        <v>179.78688000000002</v>
      </c>
      <c r="CA54" s="14">
        <f t="shared" si="39"/>
        <v>45.274767624296935</v>
      </c>
      <c r="CB54" s="22">
        <f t="shared" si="10"/>
        <v>391.9823696123172</v>
      </c>
      <c r="CC54" s="62">
        <f t="shared" si="11"/>
        <v>653.35360861156096</v>
      </c>
      <c r="CD54" s="62">
        <f ca="1">AVERAGE(OFFSET($CC$3,0,0,'Données projet'!$E$12+1,1))-AVERAGE(OFFSET($H$3,0,0,'Données projet'!$E$12+1,1))</f>
        <v>344.32696811748974</v>
      </c>
      <c r="CE54" s="62">
        <f t="shared" si="40"/>
        <v>411.51927518440766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5.8371050604479668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5.8371050604479668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213.20000000000002</v>
      </c>
      <c r="CU54" s="18">
        <f>CT54*VLOOKUP('Données projet'!$B$13,Paramètres!$A$1:$I$89,3,0)*VLOOKUP('Données projet'!$B$13,Paramètres!$A$1:$I$89,5,0)</f>
        <v>192.90336000000002</v>
      </c>
      <c r="CV54" s="14">
        <f t="shared" si="41"/>
        <v>48.181276881765257</v>
      </c>
      <c r="CW54" s="22">
        <f t="shared" si="13"/>
        <v>419.88907590240791</v>
      </c>
      <c r="CX54" s="62">
        <f t="shared" si="14"/>
        <v>681.26031490165155</v>
      </c>
      <c r="CY54" s="62">
        <f ca="1">AVERAGE(OFFSET($CX$3,0,0,'Données projet'!$E$13+1,1))-AVERAGE(OFFSET($H$3,0,0,'Données projet'!$E$13+1,1))</f>
        <v>473.14533251757302</v>
      </c>
      <c r="CZ54" s="62">
        <f t="shared" si="42"/>
        <v>299.82031908667142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1.3402247394424047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1.3402247394424047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>
        <f>DO54*VLOOKUP('Données projet'!$B$14,Paramètres!$A$1:$I$89,3,0)*VLOOKUP('Données projet'!$B$14,Paramètres!$A$1:$I$89,5,0)</f>
        <v>0</v>
      </c>
      <c r="DQ54" s="14" t="e">
        <f t="shared" si="43"/>
        <v>#NUM!</v>
      </c>
      <c r="DR54" s="22" t="e">
        <f t="shared" si="16"/>
        <v>#NUM!</v>
      </c>
      <c r="DS54" s="62" t="e">
        <f t="shared" si="17"/>
        <v>#NUM!</v>
      </c>
      <c r="DT54" s="62">
        <f ca="1">AVERAGE(OFFSET($DS$3,0,0,'Données projet'!$E$14+1,1))-AVERAGE(OFFSET($H$3,0,0,'Données projet'!$E$14+1,1))</f>
        <v>89.751456703373435</v>
      </c>
      <c r="DU54" s="62">
        <f t="shared" si="44"/>
        <v>433.35713950666889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43.771915369474684</v>
      </c>
      <c r="EB54" s="23">
        <f>EXP(-LN(2)/25)*EB53+(1-EXP(-LN(2)/25))/(LN(2)/25)*Calculateur!DW54*Calculateur!DY54*VLOOKUP('Données projet'!$B$14,Paramètres!$A$1:$I$89,3,0)*0.475*44/12</f>
        <v>9.9915252901882905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53.763440659662976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>
        <f>EJ54*VLOOKUP('Données projet'!$B$15,Paramètres!$A$1:$I$89,3,0)*VLOOKUP('Données projet'!$B$15,Paramètres!$A$1:$I$89,5,0)</f>
        <v>0</v>
      </c>
      <c r="EL54" s="14" t="e">
        <f t="shared" si="45"/>
        <v>#NUM!</v>
      </c>
      <c r="EM54" s="22" t="e">
        <f t="shared" si="19"/>
        <v>#NUM!</v>
      </c>
      <c r="EN54" s="62" t="e">
        <f t="shared" si="20"/>
        <v>#NUM!</v>
      </c>
      <c r="EO54" s="62">
        <f ca="1">AVERAGE(OFFSET($EN$3,0,0,'Données projet'!$E$15+1,1))-AVERAGE(OFFSET($H$3,0,0,'Données projet'!$E$15+1,1))</f>
        <v>204.71144247550794</v>
      </c>
      <c r="EP54" s="62">
        <f t="shared" si="46"/>
        <v>409.91012463636184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65.185244145333371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0.18367163827109229</v>
      </c>
      <c r="EY54" s="24">
        <f t="shared" si="21"/>
        <v>65.368915783604464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61.283065181611917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2.8000000000000003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10.266666666666667</v>
      </c>
      <c r="H55" s="70">
        <f t="shared" si="1"/>
        <v>188.90666666666664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</v>
      </c>
      <c r="N55" s="14">
        <f>IF('Données projet'!$A$36&gt;35,N54+M55-V54,IF(A55&lt;'Données projet'!$A$36,$K$205^A55,IF(A55='Données projet'!$A$36,'Données projet'!$B$36,N54+M55-V54)))</f>
        <v>311.99999999999989</v>
      </c>
      <c r="O55" s="14">
        <f>N55*VLOOKUP('Données projet'!$B$9,Paramètres!$A$1:$I$89,3,0)*VLOOKUP('Données projet'!$B$9,Paramètres!$A$1:$I$89,5,0)</f>
        <v>146.01599999999993</v>
      </c>
      <c r="P55" s="14">
        <f t="shared" si="33"/>
        <v>37.671793767891103</v>
      </c>
      <c r="Q55" s="22">
        <f t="shared" si="53"/>
        <v>319.92290747907685</v>
      </c>
      <c r="R55" s="62">
        <f t="shared" si="0"/>
        <v>581.84861735847903</v>
      </c>
      <c r="S55" s="62">
        <f ca="1">AVERAGE(OFFSET($R$3,0,0,'Données projet'!$E$9+1,1))-AVERAGE(OFFSET($H$3,0,0,'Données projet'!$E$9+1,1))</f>
        <v>349.50936264852089</v>
      </c>
      <c r="T55" s="62">
        <f t="shared" si="34"/>
        <v>260.52733851266106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176.43600000000006</v>
      </c>
      <c r="AK55" s="14">
        <f t="shared" si="35"/>
        <v>44.528341291050616</v>
      </c>
      <c r="AL55" s="22">
        <f t="shared" si="4"/>
        <v>384.84622774857991</v>
      </c>
      <c r="AM55" s="62">
        <f t="shared" si="5"/>
        <v>646.77193762798208</v>
      </c>
      <c r="AN55" s="62">
        <f ca="1">AVERAGE(OFFSET($AM$3,0,0,'Données projet'!$E$10+1,1))-AVERAGE(OFFSET($H$3,0,0,'Données projet'!$E$10+1,1))</f>
        <v>447.04988989014134</v>
      </c>
      <c r="AO55" s="62">
        <f t="shared" si="36"/>
        <v>278.04061554501783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190.00800000000004</v>
      </c>
      <c r="BF55" s="14">
        <f t="shared" si="37"/>
        <v>47.541721533308205</v>
      </c>
      <c r="BG55" s="22">
        <f t="shared" si="7"/>
        <v>413.73243167051174</v>
      </c>
      <c r="BH55" s="62">
        <f t="shared" si="8"/>
        <v>675.65814154991392</v>
      </c>
      <c r="BI55" s="62">
        <f ca="1">AVERAGE(OFFSET($BH$3,0,0,'Données projet'!$E$11+1,1))-AVERAGE(OFFSET($H$3,0,0,'Données projet'!$E$11+1,1))</f>
        <v>475.58735584427552</v>
      </c>
      <c r="BJ55" s="62">
        <f t="shared" si="38"/>
        <v>294.51413339056131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7.8</v>
      </c>
      <c r="BY55" s="13">
        <f>IF('Données projet'!$A$114&gt;35,BY54+BX55-CG54,IF(A55&lt;'Données projet'!$A$114,$BV$205^A55,IF(A55='Données projet'!$A$114,'Données projet'!$B$114,BY54+BX55-CG54)))</f>
        <v>213.60000000000002</v>
      </c>
      <c r="BZ55" s="14">
        <f>BY55*VLOOKUP('Données projet'!$B$12,Paramètres!$A$1:$I$89,3,0)*VLOOKUP('Données projet'!$B$12,Paramètres!$A$1:$I$89,5,0)</f>
        <v>186.60096000000004</v>
      </c>
      <c r="CA55" s="14">
        <f t="shared" si="39"/>
        <v>46.787685683664144</v>
      </c>
      <c r="CB55" s="22">
        <f t="shared" si="10"/>
        <v>406.4852245657151</v>
      </c>
      <c r="CC55" s="62">
        <f t="shared" si="11"/>
        <v>668.41093444511728</v>
      </c>
      <c r="CD55" s="62">
        <f ca="1">AVERAGE(OFFSET($CC$3,0,0,'Données projet'!$E$12+1,1))-AVERAGE(OFFSET($H$3,0,0,'Données projet'!$E$12+1,1))</f>
        <v>344.32696811748974</v>
      </c>
      <c r="CE55" s="62">
        <f t="shared" si="40"/>
        <v>411.51927518440766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5.6774891156100029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5.6774891156100029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223.4</v>
      </c>
      <c r="CU55" s="18">
        <f>CT55*VLOOKUP('Données projet'!$B$13,Paramètres!$A$1:$I$89,3,0)*VLOOKUP('Données projet'!$B$13,Paramètres!$A$1:$I$89,5,0)</f>
        <v>202.13232000000002</v>
      </c>
      <c r="CV55" s="14">
        <f t="shared" si="41"/>
        <v>50.212497488959627</v>
      </c>
      <c r="CW55" s="22">
        <f t="shared" si="13"/>
        <v>439.50055712660469</v>
      </c>
      <c r="CX55" s="62">
        <f t="shared" si="14"/>
        <v>701.42626700600681</v>
      </c>
      <c r="CY55" s="62">
        <f ca="1">AVERAGE(OFFSET($CX$3,0,0,'Données projet'!$E$13+1,1))-AVERAGE(OFFSET($H$3,0,0,'Données projet'!$E$13+1,1))</f>
        <v>473.14533251757302</v>
      </c>
      <c r="CZ55" s="62">
        <f t="shared" si="42"/>
        <v>299.82031908667142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1.3035762234629962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1.3035762234629962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>
        <f>DO55*VLOOKUP('Données projet'!$B$14,Paramètres!$A$1:$I$89,3,0)*VLOOKUP('Données projet'!$B$14,Paramètres!$A$1:$I$89,5,0)</f>
        <v>0</v>
      </c>
      <c r="DQ55" s="14" t="e">
        <f t="shared" si="43"/>
        <v>#NUM!</v>
      </c>
      <c r="DR55" s="22" t="e">
        <f t="shared" si="16"/>
        <v>#NUM!</v>
      </c>
      <c r="DS55" s="62" t="e">
        <f t="shared" si="17"/>
        <v>#NUM!</v>
      </c>
      <c r="DT55" s="62">
        <f ca="1">AVERAGE(OFFSET($DS$3,0,0,'Données projet'!$E$14+1,1))-AVERAGE(OFFSET($H$3,0,0,'Données projet'!$E$14+1,1))</f>
        <v>89.751456703373435</v>
      </c>
      <c r="DU55" s="62">
        <f t="shared" si="44"/>
        <v>433.35713950666889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42.913574807311427</v>
      </c>
      <c r="EB55" s="23">
        <f>EXP(-LN(2)/25)*EB54+(1-EXP(-LN(2)/25))/(LN(2)/25)*Calculateur!DW55*Calculateur!DY55*VLOOKUP('Données projet'!$B$14,Paramètres!$A$1:$I$89,3,0)*0.475*44/12</f>
        <v>9.7183065056966118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52.631881313008037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>
        <f>EJ55*VLOOKUP('Données projet'!$B$15,Paramètres!$A$1:$I$89,3,0)*VLOOKUP('Données projet'!$B$15,Paramètres!$A$1:$I$89,5,0)</f>
        <v>0</v>
      </c>
      <c r="EL55" s="14" t="e">
        <f t="shared" si="45"/>
        <v>#NUM!</v>
      </c>
      <c r="EM55" s="22" t="e">
        <f t="shared" si="19"/>
        <v>#NUM!</v>
      </c>
      <c r="EN55" s="62" t="e">
        <f t="shared" si="20"/>
        <v>#NUM!</v>
      </c>
      <c r="EO55" s="62">
        <f ca="1">AVERAGE(OFFSET($EN$3,0,0,'Données projet'!$E$15+1,1))-AVERAGE(OFFSET($H$3,0,0,'Données projet'!$E$15+1,1))</f>
        <v>204.71144247550794</v>
      </c>
      <c r="EP55" s="62">
        <f t="shared" si="46"/>
        <v>409.91012463636184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63.907001266716428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0.12987546093313196</v>
      </c>
      <c r="EY55" s="24">
        <f t="shared" si="21"/>
        <v>64.036876727649556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61.434284512564233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2.8000000000000003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10.266666666666667</v>
      </c>
      <c r="H56" s="70">
        <f t="shared" si="1"/>
        <v>188.90666666666664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</v>
      </c>
      <c r="N56" s="14">
        <f>IF('Données projet'!$A$36&gt;35,N55+M56-V55,IF(A56&lt;'Données projet'!$A$36,$K$205^A56,IF(A56='Données projet'!$A$36,'Données projet'!$B$36,N55+M56-V55)))</f>
        <v>328.99999999999989</v>
      </c>
      <c r="O56" s="14">
        <f>N56*VLOOKUP('Données projet'!$B$9,Paramètres!$A$1:$I$89,3,0)*VLOOKUP('Données projet'!$B$9,Paramètres!$A$1:$I$89,5,0)</f>
        <v>153.97199999999995</v>
      </c>
      <c r="P56" s="14">
        <f t="shared" si="33"/>
        <v>39.479859284656378</v>
      </c>
      <c r="Q56" s="22">
        <f t="shared" si="53"/>
        <v>336.92865492077641</v>
      </c>
      <c r="R56" s="62">
        <f t="shared" si="0"/>
        <v>599.39921685017748</v>
      </c>
      <c r="S56" s="62">
        <f ca="1">AVERAGE(OFFSET($R$3,0,0,'Données projet'!$E$9+1,1))-AVERAGE(OFFSET($H$3,0,0,'Données projet'!$E$9+1,1))</f>
        <v>349.50936264852089</v>
      </c>
      <c r="T56" s="62">
        <f t="shared" si="34"/>
        <v>260.52733851266106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184.54800000000006</v>
      </c>
      <c r="AK56" s="14">
        <f t="shared" si="35"/>
        <v>46.332558240871698</v>
      </c>
      <c r="AL56" s="22">
        <f t="shared" si="4"/>
        <v>402.11697226951833</v>
      </c>
      <c r="AM56" s="62">
        <f t="shared" si="5"/>
        <v>664.58753419891946</v>
      </c>
      <c r="AN56" s="62">
        <f ca="1">AVERAGE(OFFSET($AM$3,0,0,'Données projet'!$E$10+1,1))-AVERAGE(OFFSET($H$3,0,0,'Données projet'!$E$10+1,1))</f>
        <v>447.04988989014134</v>
      </c>
      <c r="AO56" s="62">
        <f t="shared" si="36"/>
        <v>278.04061554501783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198.74400000000006</v>
      </c>
      <c r="BF56" s="14">
        <f t="shared" si="37"/>
        <v>49.468035816012197</v>
      </c>
      <c r="BG56" s="22">
        <f t="shared" si="7"/>
        <v>432.30262904622128</v>
      </c>
      <c r="BH56" s="62">
        <f t="shared" si="8"/>
        <v>694.77319097562236</v>
      </c>
      <c r="BI56" s="62">
        <f ca="1">AVERAGE(OFFSET($BH$3,0,0,'Données projet'!$E$11+1,1))-AVERAGE(OFFSET($H$3,0,0,'Données projet'!$E$11+1,1))</f>
        <v>475.58735584427552</v>
      </c>
      <c r="BJ56" s="62">
        <f t="shared" si="38"/>
        <v>294.51413339056131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7.8</v>
      </c>
      <c r="BY56" s="13">
        <f>IF('Données projet'!$A$114&gt;35,BY55+BX56-CG55,IF(A56&lt;'Données projet'!$A$114,$BV$205^A56,IF(A56='Données projet'!$A$114,'Données projet'!$B$114,BY55+BX56-CG55)))</f>
        <v>221.40000000000003</v>
      </c>
      <c r="BZ56" s="14">
        <f>BY56*VLOOKUP('Données projet'!$B$12,Paramètres!$A$1:$I$89,3,0)*VLOOKUP('Données projet'!$B$12,Paramètres!$A$1:$I$89,5,0)</f>
        <v>193.41504000000006</v>
      </c>
      <c r="CA56" s="14">
        <f t="shared" si="39"/>
        <v>48.294185132315114</v>
      </c>
      <c r="CB56" s="22">
        <f t="shared" si="10"/>
        <v>420.97690043878225</v>
      </c>
      <c r="CC56" s="62">
        <f t="shared" si="11"/>
        <v>683.44746236818332</v>
      </c>
      <c r="CD56" s="62">
        <f ca="1">AVERAGE(OFFSET($CC$3,0,0,'Données projet'!$E$12+1,1))-AVERAGE(OFFSET($H$3,0,0,'Données projet'!$E$12+1,1))</f>
        <v>344.32696811748974</v>
      </c>
      <c r="CE56" s="62">
        <f t="shared" si="40"/>
        <v>411.51927518440766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5.5222378771774707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5.5222378771774707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233.6</v>
      </c>
      <c r="CU56" s="18">
        <f>CT56*VLOOKUP('Données projet'!$B$13,Paramètres!$A$1:$I$89,3,0)*VLOOKUP('Données projet'!$B$13,Paramètres!$A$1:$I$89,5,0)</f>
        <v>211.36127999999999</v>
      </c>
      <c r="CV56" s="14">
        <f t="shared" si="41"/>
        <v>52.232947669705631</v>
      </c>
      <c r="CW56" s="22">
        <f t="shared" si="13"/>
        <v>459.09327985807062</v>
      </c>
      <c r="CX56" s="62">
        <f t="shared" si="14"/>
        <v>721.56384178747169</v>
      </c>
      <c r="CY56" s="62">
        <f ca="1">AVERAGE(OFFSET($CX$3,0,0,'Données projet'!$E$13+1,1))-AVERAGE(OFFSET($H$3,0,0,'Données projet'!$E$13+1,1))</f>
        <v>473.14533251757302</v>
      </c>
      <c r="CZ56" s="62">
        <f t="shared" si="42"/>
        <v>299.82031908667142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1.2679298630803064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1.2679298630803064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>
        <f>DO56*VLOOKUP('Données projet'!$B$14,Paramètres!$A$1:$I$89,3,0)*VLOOKUP('Données projet'!$B$14,Paramètres!$A$1:$I$89,5,0)</f>
        <v>0</v>
      </c>
      <c r="DQ56" s="14" t="e">
        <f t="shared" si="43"/>
        <v>#NUM!</v>
      </c>
      <c r="DR56" s="22" t="e">
        <f t="shared" si="16"/>
        <v>#NUM!</v>
      </c>
      <c r="DS56" s="62" t="e">
        <f t="shared" si="17"/>
        <v>#NUM!</v>
      </c>
      <c r="DT56" s="62">
        <f ca="1">AVERAGE(OFFSET($DS$3,0,0,'Données projet'!$E$14+1,1))-AVERAGE(OFFSET($H$3,0,0,'Données projet'!$E$14+1,1))</f>
        <v>89.751456703373435</v>
      </c>
      <c r="DU56" s="62">
        <f t="shared" si="44"/>
        <v>433.35713950666889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42.072065780036148</v>
      </c>
      <c r="EB56" s="23">
        <f>EXP(-LN(2)/25)*EB55+(1-EXP(-LN(2)/25))/(LN(2)/25)*Calculateur!DW56*Calculateur!DY56*VLOOKUP('Données projet'!$B$14,Paramètres!$A$1:$I$89,3,0)*0.475*44/12</f>
        <v>9.4525589032348112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51.524624683270957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>
        <f>EJ56*VLOOKUP('Données projet'!$B$15,Paramètres!$A$1:$I$89,3,0)*VLOOKUP('Données projet'!$B$15,Paramètres!$A$1:$I$89,5,0)</f>
        <v>0</v>
      </c>
      <c r="EL56" s="14" t="e">
        <f t="shared" si="45"/>
        <v>#NUM!</v>
      </c>
      <c r="EM56" s="22" t="e">
        <f t="shared" si="19"/>
        <v>#NUM!</v>
      </c>
      <c r="EN56" s="62" t="e">
        <f t="shared" si="20"/>
        <v>#NUM!</v>
      </c>
      <c r="EO56" s="62">
        <f ca="1">AVERAGE(OFFSET($EN$3,0,0,'Données projet'!$E$15+1,1))-AVERAGE(OFFSET($H$3,0,0,'Données projet'!$E$15+1,1))</f>
        <v>204.71144247550794</v>
      </c>
      <c r="EP56" s="62">
        <f t="shared" si="46"/>
        <v>409.91012463636184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62.653823951297994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9.1835819135546143E-2</v>
      </c>
      <c r="EY56" s="24">
        <f t="shared" si="21"/>
        <v>62.745659770433541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61.582880526200299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2.8000000000000003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10.266666666666667</v>
      </c>
      <c r="H57" s="70">
        <f t="shared" si="1"/>
        <v>188.90666666666664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</v>
      </c>
      <c r="N57" s="14">
        <f>IF('Données projet'!$A$36&gt;35,N56+M57-V56,IF(A57&lt;'Données projet'!$A$36,$K$205^A57,IF(A57='Données projet'!$A$36,'Données projet'!$B$36,N56+M57-V56)))</f>
        <v>345.99999999999989</v>
      </c>
      <c r="O57" s="14">
        <f>N57*VLOOKUP('Données projet'!$B$9,Paramètres!$A$1:$I$89,3,0)*VLOOKUP('Données projet'!$B$9,Paramètres!$A$1:$I$89,5,0)</f>
        <v>161.92799999999994</v>
      </c>
      <c r="P57" s="14">
        <f t="shared" si="33"/>
        <v>41.277077571585316</v>
      </c>
      <c r="Q57" s="22">
        <f t="shared" si="53"/>
        <v>353.91551010384433</v>
      </c>
      <c r="R57" s="62">
        <f t="shared" si="0"/>
        <v>616.92147211828365</v>
      </c>
      <c r="S57" s="62">
        <f ca="1">AVERAGE(OFFSET($R$3,0,0,'Données projet'!$E$9+1,1))-AVERAGE(OFFSET($H$3,0,0,'Données projet'!$E$9+1,1))</f>
        <v>349.50936264852089</v>
      </c>
      <c r="T57" s="62">
        <f t="shared" si="34"/>
        <v>260.52733851266106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192.66000000000008</v>
      </c>
      <c r="AK57" s="14">
        <f t="shared" si="35"/>
        <v>48.127564387788738</v>
      </c>
      <c r="AL57" s="22">
        <f t="shared" si="4"/>
        <v>419.3716746420655</v>
      </c>
      <c r="AM57" s="62">
        <f t="shared" si="5"/>
        <v>682.37763665650482</v>
      </c>
      <c r="AN57" s="62">
        <f ca="1">AVERAGE(OFFSET($AM$3,0,0,'Données projet'!$E$10+1,1))-AVERAGE(OFFSET($H$3,0,0,'Données projet'!$E$10+1,1))</f>
        <v>447.04988989014134</v>
      </c>
      <c r="AO57" s="62">
        <f t="shared" si="36"/>
        <v>278.04061554501783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207.48000000000005</v>
      </c>
      <c r="BF57" s="14">
        <f t="shared" si="37"/>
        <v>51.384515970292227</v>
      </c>
      <c r="BG57" s="22">
        <f t="shared" si="7"/>
        <v>450.85569864825902</v>
      </c>
      <c r="BH57" s="62">
        <f t="shared" si="8"/>
        <v>713.86166066269834</v>
      </c>
      <c r="BI57" s="62">
        <f ca="1">AVERAGE(OFFSET($BH$3,0,0,'Données projet'!$E$11+1,1))-AVERAGE(OFFSET($H$3,0,0,'Données projet'!$E$11+1,1))</f>
        <v>475.58735584427552</v>
      </c>
      <c r="BJ57" s="62">
        <f t="shared" si="38"/>
        <v>294.51413339056131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7.8</v>
      </c>
      <c r="BY57" s="13">
        <f>IF('Données projet'!$A$114&gt;35,BY56+BX57-CG56,IF(A57&lt;'Données projet'!$A$114,$BV$205^A57,IF(A57='Données projet'!$A$114,'Données projet'!$B$114,BY56+BX57-CG56)))</f>
        <v>229.20000000000005</v>
      </c>
      <c r="BZ57" s="14">
        <f>BY57*VLOOKUP('Données projet'!$B$12,Paramètres!$A$1:$I$89,3,0)*VLOOKUP('Données projet'!$B$12,Paramètres!$A$1:$I$89,5,0)</f>
        <v>200.22912000000005</v>
      </c>
      <c r="CA57" s="14">
        <f t="shared" si="39"/>
        <v>49.794518010766353</v>
      </c>
      <c r="CB57" s="22">
        <f t="shared" si="10"/>
        <v>435.45783620208476</v>
      </c>
      <c r="CC57" s="62">
        <f t="shared" si="11"/>
        <v>698.46379821652408</v>
      </c>
      <c r="CD57" s="62">
        <f ca="1">AVERAGE(OFFSET($CC$3,0,0,'Données projet'!$E$12+1,1))-AVERAGE(OFFSET($H$3,0,0,'Données projet'!$E$12+1,1))</f>
        <v>344.32696811748974</v>
      </c>
      <c r="CE57" s="62">
        <f t="shared" si="40"/>
        <v>411.51927518440766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5.3712319920241844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5.3712319920241844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243.79999999999998</v>
      </c>
      <c r="CU57" s="18">
        <f>CT57*VLOOKUP('Données projet'!$B$13,Paramètres!$A$1:$I$89,3,0)*VLOOKUP('Données projet'!$B$13,Paramètres!$A$1:$I$89,5,0)</f>
        <v>220.59023999999997</v>
      </c>
      <c r="CV57" s="14">
        <f t="shared" si="41"/>
        <v>54.24315145708789</v>
      </c>
      <c r="CW57" s="22">
        <f t="shared" si="13"/>
        <v>478.66815678776129</v>
      </c>
      <c r="CX57" s="62">
        <f t="shared" si="14"/>
        <v>741.67411880220061</v>
      </c>
      <c r="CY57" s="62">
        <f ca="1">AVERAGE(OFFSET($CX$3,0,0,'Données projet'!$E$13+1,1))-AVERAGE(OFFSET($H$3,0,0,'Données projet'!$E$13+1,1))</f>
        <v>473.14533251757302</v>
      </c>
      <c r="CZ57" s="62">
        <f t="shared" si="42"/>
        <v>299.82031908667142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1.2332582542968418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1.2332582542968418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>
        <f>DO57*VLOOKUP('Données projet'!$B$14,Paramètres!$A$1:$I$89,3,0)*VLOOKUP('Données projet'!$B$14,Paramètres!$A$1:$I$89,5,0)</f>
        <v>0</v>
      </c>
      <c r="DQ57" s="14" t="e">
        <f t="shared" si="43"/>
        <v>#NUM!</v>
      </c>
      <c r="DR57" s="22" t="e">
        <f t="shared" si="16"/>
        <v>#NUM!</v>
      </c>
      <c r="DS57" s="62" t="e">
        <f t="shared" si="17"/>
        <v>#NUM!</v>
      </c>
      <c r="DT57" s="62">
        <f ca="1">AVERAGE(OFFSET($DS$3,0,0,'Données projet'!$E$14+1,1))-AVERAGE(OFFSET($H$3,0,0,'Données projet'!$E$14+1,1))</f>
        <v>89.751456703373435</v>
      </c>
      <c r="DU57" s="62">
        <f t="shared" si="44"/>
        <v>433.35713950666889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41.247058231515908</v>
      </c>
      <c r="EB57" s="23">
        <f>EXP(-LN(2)/25)*EB56+(1-EXP(-LN(2)/25))/(LN(2)/25)*Calculateur!DW57*Calculateur!DY57*VLOOKUP('Données projet'!$B$14,Paramètres!$A$1:$I$89,3,0)*0.475*44/12</f>
        <v>9.1940781829373872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50.441136414453297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>
        <f>EJ57*VLOOKUP('Données projet'!$B$15,Paramètres!$A$1:$I$89,3,0)*VLOOKUP('Données projet'!$B$15,Paramètres!$A$1:$I$89,5,0)</f>
        <v>0</v>
      </c>
      <c r="EL57" s="14" t="e">
        <f t="shared" si="45"/>
        <v>#NUM!</v>
      </c>
      <c r="EM57" s="22" t="e">
        <f t="shared" si="19"/>
        <v>#NUM!</v>
      </c>
      <c r="EN57" s="62" t="e">
        <f t="shared" si="20"/>
        <v>#NUM!</v>
      </c>
      <c r="EO57" s="62">
        <f ca="1">AVERAGE(OFFSET($EN$3,0,0,'Données projet'!$E$15+1,1))-AVERAGE(OFFSET($H$3,0,0,'Données projet'!$E$15+1,1))</f>
        <v>204.71144247550794</v>
      </c>
      <c r="EP57" s="62">
        <f t="shared" si="46"/>
        <v>409.91012463636184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61.425220678672225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6.4937730466565979E-2</v>
      </c>
      <c r="EY57" s="24">
        <f t="shared" si="21"/>
        <v>61.490158409138793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61.728898731210705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2.8000000000000003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10.266666666666667</v>
      </c>
      <c r="H58" s="70">
        <f t="shared" si="1"/>
        <v>188.90666666666664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</v>
      </c>
      <c r="N58" s="14">
        <f>IF('Données projet'!$A$36&gt;35,N57+M58-V57,IF(A58&lt;'Données projet'!$A$36,$K$205^A58,IF(A58='Données projet'!$A$36,'Données projet'!$B$36,N57+M58-V57)))</f>
        <v>362.99999999999989</v>
      </c>
      <c r="O58" s="14">
        <f>N58*VLOOKUP('Données projet'!$B$9,Paramètres!$A$1:$I$89,3,0)*VLOOKUP('Données projet'!$B$9,Paramètres!$A$1:$I$89,5,0)</f>
        <v>169.88399999999993</v>
      </c>
      <c r="P58" s="14">
        <f t="shared" si="33"/>
        <v>43.064042412117296</v>
      </c>
      <c r="Q58" s="22">
        <f t="shared" si="53"/>
        <v>370.8845072011041</v>
      </c>
      <c r="R58" s="62">
        <f t="shared" si="0"/>
        <v>634.4165813060813</v>
      </c>
      <c r="S58" s="62">
        <f ca="1">AVERAGE(OFFSET($R$3,0,0,'Données projet'!$E$9+1,1))-AVERAGE(OFFSET($H$3,0,0,'Données projet'!$E$9+1,1))</f>
        <v>349.50936264852089</v>
      </c>
      <c r="T58" s="62">
        <f t="shared" si="34"/>
        <v>260.52733851266106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200.77200000000008</v>
      </c>
      <c r="AK58" s="14">
        <f t="shared" si="35"/>
        <v>49.913791898945412</v>
      </c>
      <c r="AL58" s="22">
        <f t="shared" si="4"/>
        <v>436.61108755732999</v>
      </c>
      <c r="AM58" s="62">
        <f t="shared" si="5"/>
        <v>700.14316166230719</v>
      </c>
      <c r="AN58" s="62">
        <f ca="1">AVERAGE(OFFSET($AM$3,0,0,'Données projet'!$E$10+1,1))-AVERAGE(OFFSET($H$3,0,0,'Données projet'!$E$10+1,1))</f>
        <v>447.04988989014134</v>
      </c>
      <c r="AO58" s="62">
        <f t="shared" si="36"/>
        <v>278.04061554501783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216.21600000000004</v>
      </c>
      <c r="BF58" s="14">
        <f t="shared" si="37"/>
        <v>53.291623409473033</v>
      </c>
      <c r="BG58" s="22">
        <f t="shared" si="7"/>
        <v>469.39244410483224</v>
      </c>
      <c r="BH58" s="62">
        <f t="shared" si="8"/>
        <v>732.92451820980943</v>
      </c>
      <c r="BI58" s="62">
        <f ca="1">AVERAGE(OFFSET($BH$3,0,0,'Données projet'!$E$11+1,1))-AVERAGE(OFFSET($H$3,0,0,'Données projet'!$E$11+1,1))</f>
        <v>475.58735584427552</v>
      </c>
      <c r="BJ58" s="62">
        <f t="shared" si="38"/>
        <v>294.51413339056131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237</v>
      </c>
      <c r="BW58" s="13">
        <f>VLOOKUP(A58,'Données projet'!$A$113:$I$133,9,0)</f>
        <v>7.8</v>
      </c>
      <c r="BX58" s="13">
        <f t="array" ref="BX58">INDEX(BW:BW,MIN(IF(ISNUMBER(BW58:BW254),ROW(BW58:BW254),"")))</f>
        <v>7.8</v>
      </c>
      <c r="BY58" s="13">
        <f>IF('Données projet'!$A$114&gt;35,BY57+BX58-CG57,IF(A58&lt;'Données projet'!$A$114,$BV$205^A58,IF(A58='Données projet'!$A$114,'Données projet'!$B$114,BY57+BX58-CG57)))</f>
        <v>237.00000000000006</v>
      </c>
      <c r="BZ58" s="14">
        <f>BY58*VLOOKUP('Données projet'!$B$12,Paramètres!$A$1:$I$89,3,0)*VLOOKUP('Données projet'!$B$12,Paramètres!$A$1:$I$89,5,0)</f>
        <v>207.0432000000001</v>
      </c>
      <c r="CA58" s="14">
        <f t="shared" si="39"/>
        <v>51.28891823180637</v>
      </c>
      <c r="CB58" s="22">
        <f t="shared" si="10"/>
        <v>449.92843925372966</v>
      </c>
      <c r="CC58" s="62">
        <f t="shared" si="11"/>
        <v>713.46051335870686</v>
      </c>
      <c r="CD58" s="62">
        <f ca="1">AVERAGE(OFFSET($CC$3,0,0,'Données projet'!$E$12+1,1))-AVERAGE(OFFSET($H$3,0,0,'Données projet'!$E$12+1,1))</f>
        <v>344.32696811748974</v>
      </c>
      <c r="CE58" s="62">
        <f t="shared" si="40"/>
        <v>411.51927518440766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29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5.2243553707414687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5.2243553707414687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254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253.99999999999997</v>
      </c>
      <c r="CU58" s="18">
        <f>CT58*VLOOKUP('Données projet'!$B$13,Paramètres!$A$1:$I$89,3,0)*VLOOKUP('Données projet'!$B$13,Paramètres!$A$1:$I$89,5,0)</f>
        <v>229.81919999999997</v>
      </c>
      <c r="CV58" s="14">
        <f t="shared" si="41"/>
        <v>56.243586554989342</v>
      </c>
      <c r="CW58" s="22">
        <f t="shared" si="13"/>
        <v>498.22601991660639</v>
      </c>
      <c r="CX58" s="62">
        <f t="shared" si="14"/>
        <v>761.75809402158359</v>
      </c>
      <c r="CY58" s="62">
        <f ca="1">AVERAGE(OFFSET($CX$3,0,0,'Données projet'!$E$13+1,1))-AVERAGE(OFFSET($H$3,0,0,'Données projet'!$E$13+1,1))</f>
        <v>473.14533251757302</v>
      </c>
      <c r="CZ58" s="62">
        <f t="shared" si="42"/>
        <v>299.82031908667142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1.1995347424788616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1.1995347424788616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>
        <f>DO58*VLOOKUP('Données projet'!$B$14,Paramètres!$A$1:$I$89,3,0)*VLOOKUP('Données projet'!$B$14,Paramètres!$A$1:$I$89,5,0)</f>
        <v>0</v>
      </c>
      <c r="DQ58" s="14" t="e">
        <f t="shared" si="43"/>
        <v>#NUM!</v>
      </c>
      <c r="DR58" s="22" t="e">
        <f t="shared" si="16"/>
        <v>#NUM!</v>
      </c>
      <c r="DS58" s="62" t="e">
        <f t="shared" si="17"/>
        <v>#NUM!</v>
      </c>
      <c r="DT58" s="62">
        <f ca="1">AVERAGE(OFFSET($DS$3,0,0,'Données projet'!$E$14+1,1))-AVERAGE(OFFSET($H$3,0,0,'Données projet'!$E$14+1,1))</f>
        <v>89.751456703373435</v>
      </c>
      <c r="DU58" s="62">
        <f t="shared" si="44"/>
        <v>433.35713950666889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40.438228577817235</v>
      </c>
      <c r="EB58" s="23">
        <f>EXP(-LN(2)/25)*EB57+(1-EXP(-LN(2)/25))/(LN(2)/25)*Calculateur!DW58*Calculateur!DY58*VLOOKUP('Données projet'!$B$14,Paramètres!$A$1:$I$89,3,0)*0.475*44/12</f>
        <v>8.9426656315294064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49.380894209346643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>
        <f>EJ58*VLOOKUP('Données projet'!$B$15,Paramètres!$A$1:$I$89,3,0)*VLOOKUP('Données projet'!$B$15,Paramètres!$A$1:$I$89,5,0)</f>
        <v>0</v>
      </c>
      <c r="EL58" s="14" t="e">
        <f t="shared" si="45"/>
        <v>#NUM!</v>
      </c>
      <c r="EM58" s="22" t="e">
        <f t="shared" si="19"/>
        <v>#NUM!</v>
      </c>
      <c r="EN58" s="62" t="e">
        <f t="shared" si="20"/>
        <v>#NUM!</v>
      </c>
      <c r="EO58" s="62">
        <f ca="1">AVERAGE(OFFSET($EN$3,0,0,'Données projet'!$E$15+1,1))-AVERAGE(OFFSET($H$3,0,0,'Données projet'!$E$15+1,1))</f>
        <v>204.71144247550794</v>
      </c>
      <c r="EP58" s="62">
        <f t="shared" si="46"/>
        <v>409.91012463636184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60.220709566848647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4.5917909567773071E-2</v>
      </c>
      <c r="EY58" s="24">
        <f t="shared" si="21"/>
        <v>60.266627476416417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61.872383846811971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2.8000000000000003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10.266666666666667</v>
      </c>
      <c r="H59" s="70">
        <f t="shared" si="1"/>
        <v>188.90666666666664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380</v>
      </c>
      <c r="L59" s="13">
        <f>VLOOKUP(A59,'Données projet'!$A$35:$I$55,9,0)</f>
        <v>17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379.99999999999989</v>
      </c>
      <c r="O59" s="14">
        <f>N59*VLOOKUP('Données projet'!$B$9,Paramètres!$A$1:$I$89,3,0)*VLOOKUP('Données projet'!$B$9,Paramètres!$A$1:$I$89,5,0)</f>
        <v>177.83999999999995</v>
      </c>
      <c r="P59" s="14">
        <f t="shared" si="33"/>
        <v>44.841288830609102</v>
      </c>
      <c r="Q59" s="22">
        <f t="shared" si="53"/>
        <v>387.83657804664409</v>
      </c>
      <c r="R59" s="62">
        <f t="shared" si="0"/>
        <v>651.88563737359891</v>
      </c>
      <c r="S59" s="62">
        <f ca="1">AVERAGE(OFFSET($R$3,0,0,'Données projet'!$E$9+1,1))-AVERAGE(OFFSET($H$3,0,0,'Données projet'!$E$9+1,1))</f>
        <v>349.50936264852089</v>
      </c>
      <c r="T59" s="62">
        <f t="shared" si="34"/>
        <v>260.52733851266106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79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186.98160000000007</v>
      </c>
      <c r="AK59" s="14">
        <f t="shared" si="35"/>
        <v>46.872006790472248</v>
      </c>
      <c r="AL59" s="22">
        <f t="shared" si="4"/>
        <v>407.29503182673926</v>
      </c>
      <c r="AM59" s="62">
        <f t="shared" si="5"/>
        <v>671.34409115369408</v>
      </c>
      <c r="AN59" s="62">
        <f ca="1">AVERAGE(OFFSET($AM$3,0,0,'Données projet'!$E$10+1,1))-AVERAGE(OFFSET($H$3,0,0,'Données projet'!$E$10+1,1))</f>
        <v>447.04988989014134</v>
      </c>
      <c r="AO59" s="62">
        <f t="shared" si="36"/>
        <v>278.04061554501783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201.36480000000006</v>
      </c>
      <c r="BF59" s="14">
        <f t="shared" si="37"/>
        <v>50.04399063451806</v>
      </c>
      <c r="BG59" s="22">
        <f t="shared" si="7"/>
        <v>437.87031035511905</v>
      </c>
      <c r="BH59" s="62">
        <f t="shared" si="8"/>
        <v>701.91936968207392</v>
      </c>
      <c r="BI59" s="62">
        <f ca="1">AVERAGE(OFFSET($BH$3,0,0,'Données projet'!$E$11+1,1))-AVERAGE(OFFSET($H$3,0,0,'Données projet'!$E$11+1,1))</f>
        <v>475.58735584427552</v>
      </c>
      <c r="BJ59" s="62">
        <f t="shared" si="38"/>
        <v>294.51413339056131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6.8</v>
      </c>
      <c r="BY59" s="13">
        <f>IF('Données projet'!$A$114&gt;35,BY58+BX59-CG58,IF(A59&lt;'Données projet'!$A$114,$BV$205^A59,IF(A59='Données projet'!$A$114,'Données projet'!$B$114,BY58+BX59-CG58)))</f>
        <v>214.80000000000007</v>
      </c>
      <c r="BZ59" s="14">
        <f>BY59*VLOOKUP('Données projet'!$B$12,Paramètres!$A$1:$I$89,3,0)*VLOOKUP('Données projet'!$B$12,Paramètres!$A$1:$I$89,5,0)</f>
        <v>187.64928000000009</v>
      </c>
      <c r="CA59" s="14">
        <f t="shared" si="39"/>
        <v>47.019866076567546</v>
      </c>
      <c r="CB59" s="22">
        <f t="shared" si="10"/>
        <v>408.71542941668866</v>
      </c>
      <c r="CC59" s="62">
        <f t="shared" si="11"/>
        <v>672.76448874364348</v>
      </c>
      <c r="CD59" s="62">
        <f ca="1">AVERAGE(OFFSET($CC$3,0,0,'Données projet'!$E$12+1,1))-AVERAGE(OFFSET($H$3,0,0,'Données projet'!$E$12+1,1))</f>
        <v>344.32696811748974</v>
      </c>
      <c r="CE59" s="62">
        <f t="shared" si="40"/>
        <v>411.51927518440766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5.0814950983916347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5.0814950983916347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212.98991999999998</v>
      </c>
      <c r="CV59" s="14">
        <f t="shared" si="41"/>
        <v>52.588419883221171</v>
      </c>
      <c r="CW59" s="22">
        <f t="shared" si="13"/>
        <v>462.54894196327677</v>
      </c>
      <c r="CX59" s="62">
        <f t="shared" si="14"/>
        <v>726.59800129023165</v>
      </c>
      <c r="CY59" s="62">
        <f ca="1">AVERAGE(OFFSET($CX$3,0,0,'Données projet'!$E$13+1,1))-AVERAGE(OFFSET($H$3,0,0,'Données projet'!$E$13+1,1))</f>
        <v>473.14533251757302</v>
      </c>
      <c r="CZ59" s="62">
        <f t="shared" si="42"/>
        <v>299.82031908667142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1.1667334018649866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1.1667334018649866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>
        <f>DO59*VLOOKUP('Données projet'!$B$14,Paramètres!$A$1:$I$89,3,0)*VLOOKUP('Données projet'!$B$14,Paramètres!$A$1:$I$89,5,0)</f>
        <v>0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89.751456703373435</v>
      </c>
      <c r="DU59" s="62">
        <f t="shared" si="44"/>
        <v>433.35713950666889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39.645259580290215</v>
      </c>
      <c r="EB59" s="23">
        <f>EXP(-LN(2)/25)*EB58+(1-EXP(-LN(2)/25))/(LN(2)/25)*Calculateur!DW59*Calculateur!DY59*VLOOKUP('Données projet'!$B$14,Paramètres!$A$1:$I$89,3,0)*0.475*44/12</f>
        <v>8.698127969560888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48.343387549851101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>
        <f>EJ59*VLOOKUP('Données projet'!$B$15,Paramètres!$A$1:$I$89,3,0)*VLOOKUP('Données projet'!$B$15,Paramètres!$A$1:$I$89,5,0)</f>
        <v>0</v>
      </c>
      <c r="EL59" s="14" t="e">
        <f t="shared" si="45"/>
        <v>#NUM!</v>
      </c>
      <c r="EM59" s="22" t="e">
        <f t="shared" si="19"/>
        <v>#NUM!</v>
      </c>
      <c r="EN59" s="62" t="e">
        <f t="shared" si="20"/>
        <v>#NUM!</v>
      </c>
      <c r="EO59" s="62">
        <f ca="1">AVERAGE(OFFSET($EN$3,0,0,'Données projet'!$E$15+1,1))-AVERAGE(OFFSET($H$3,0,0,'Données projet'!$E$15+1,1))</f>
        <v>204.71144247550794</v>
      </c>
      <c r="EP59" s="62">
        <f t="shared" si="46"/>
        <v>409.91012463636184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59.039818183248698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3.246886523328299E-2</v>
      </c>
      <c r="EY59" s="24">
        <f t="shared" si="21"/>
        <v>59.072287048481982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62.013379816442225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2.8000000000000003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10.266666666666667</v>
      </c>
      <c r="H60" s="70">
        <f t="shared" si="1"/>
        <v>188.90666666666664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>
        <f>VLOOKUP(A60,'Données projet'!$A$35:$I$55,2,0)</f>
        <v>316</v>
      </c>
      <c r="L60" s="13">
        <f>VLOOKUP(A60,'Données projet'!$A$35:$I$55,9,0)</f>
        <v>15</v>
      </c>
      <c r="M60" s="13">
        <f t="array" ref="M60">INDEX(L:L,MIN(IF(ISNUMBER(L60:L256),ROW(L60:L256),"")))</f>
        <v>15</v>
      </c>
      <c r="N60" s="14">
        <f>IF('Données projet'!$A$36&gt;35,N59+M60-V59,IF(A60&lt;'Données projet'!$A$36,$K$205^A60,IF(A60='Données projet'!$A$36,'Données projet'!$B$36,N59+M60-V59)))</f>
        <v>315.99999999999989</v>
      </c>
      <c r="O60" s="14">
        <f>N60*VLOOKUP('Données projet'!$B$9,Paramètres!$A$1:$I$89,3,0)*VLOOKUP('Données projet'!$B$9,Paramètres!$A$1:$I$89,5,0)</f>
        <v>147.88799999999995</v>
      </c>
      <c r="P60" s="14">
        <f t="shared" si="33"/>
        <v>38.098230660204834</v>
      </c>
      <c r="Q60" s="22">
        <f t="shared" si="53"/>
        <v>323.92601839985667</v>
      </c>
      <c r="R60" s="62">
        <f t="shared" si="0"/>
        <v>588.48309441099354</v>
      </c>
      <c r="S60" s="62">
        <f ca="1">AVERAGE(OFFSET($R$3,0,0,'Données projet'!$E$9+1,1))-AVERAGE(OFFSET($H$3,0,0,'Données projet'!$E$9+1,1))</f>
        <v>349.50936264852089</v>
      </c>
      <c r="T60" s="62">
        <f t="shared" si="34"/>
        <v>260.52733851266106</v>
      </c>
      <c r="U60" s="16">
        <f>IF(ISNA(VLOOKUP(A60,'Données projet'!$A$35:$I$55,3,0)),0,VLOOKUP(A60,'Données projet'!$A$35:$I$55,3,0))</f>
        <v>8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194.48520000000008</v>
      </c>
      <c r="AK60" s="14">
        <f t="shared" si="35"/>
        <v>48.530216343846071</v>
      </c>
      <c r="AL60" s="22">
        <f t="shared" si="4"/>
        <v>423.25185013219863</v>
      </c>
      <c r="AM60" s="62">
        <f t="shared" si="5"/>
        <v>687.8089261433355</v>
      </c>
      <c r="AN60" s="62">
        <f ca="1">AVERAGE(OFFSET($AM$3,0,0,'Données projet'!$E$10+1,1))-AVERAGE(OFFSET($H$3,0,0,'Données projet'!$E$10+1,1))</f>
        <v>447.04988989014134</v>
      </c>
      <c r="AO60" s="62">
        <f t="shared" si="36"/>
        <v>278.04061554501783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209.44560000000007</v>
      </c>
      <c r="BF60" s="14">
        <f t="shared" si="37"/>
        <v>51.8144167169784</v>
      </c>
      <c r="BG60" s="22">
        <f t="shared" si="7"/>
        <v>455.02786244873755</v>
      </c>
      <c r="BH60" s="62">
        <f t="shared" si="8"/>
        <v>719.58493845987437</v>
      </c>
      <c r="BI60" s="62">
        <f ca="1">AVERAGE(OFFSET($BH$3,0,0,'Données projet'!$E$11+1,1))-AVERAGE(OFFSET($H$3,0,0,'Données projet'!$E$11+1,1))</f>
        <v>475.58735584427552</v>
      </c>
      <c r="BJ60" s="62">
        <f t="shared" si="38"/>
        <v>294.51413339056131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6.8</v>
      </c>
      <c r="BY60" s="13">
        <f>IF('Données projet'!$A$114&gt;35,BY59+BX60-CG59,IF(A60&lt;'Données projet'!$A$114,$BV$205^A60,IF(A60='Données projet'!$A$114,'Données projet'!$B$114,BY59+BX60-CG59)))</f>
        <v>221.60000000000008</v>
      </c>
      <c r="BZ60" s="14">
        <f>BY60*VLOOKUP('Données projet'!$B$12,Paramètres!$A$1:$I$89,3,0)*VLOOKUP('Données projet'!$B$12,Paramètres!$A$1:$I$89,5,0)</f>
        <v>193.5897600000001</v>
      </c>
      <c r="CA60" s="14">
        <f t="shared" si="39"/>
        <v>48.332731202087089</v>
      </c>
      <c r="CB60" s="22">
        <f t="shared" si="10"/>
        <v>421.34833884363525</v>
      </c>
      <c r="CC60" s="62">
        <f t="shared" si="11"/>
        <v>685.90541485477206</v>
      </c>
      <c r="CD60" s="62">
        <f ca="1">AVERAGE(OFFSET($CC$3,0,0,'Données projet'!$E$12+1,1))-AVERAGE(OFFSET($H$3,0,0,'Données projet'!$E$12+1,1))</f>
        <v>344.32696811748974</v>
      </c>
      <c r="CE60" s="62">
        <f t="shared" si="40"/>
        <v>411.51927518440766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4.9425413477019022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4.9425413477019022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221.49503999999999</v>
      </c>
      <c r="CV60" s="14">
        <f t="shared" si="41"/>
        <v>54.439697086174412</v>
      </c>
      <c r="CW60" s="22">
        <f t="shared" si="13"/>
        <v>480.58633375842032</v>
      </c>
      <c r="CX60" s="62">
        <f t="shared" si="14"/>
        <v>745.14340976955714</v>
      </c>
      <c r="CY60" s="62">
        <f ca="1">AVERAGE(OFFSET($CX$3,0,0,'Données projet'!$E$13+1,1))-AVERAGE(OFFSET($H$3,0,0,'Données projet'!$E$13+1,1))</f>
        <v>473.14533251757302</v>
      </c>
      <c r="CZ60" s="62">
        <f t="shared" si="42"/>
        <v>299.82031908667142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1.1348290156351455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1.1348290156351455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>
        <f>DO60*VLOOKUP('Données projet'!$B$14,Paramètres!$A$1:$I$89,3,0)*VLOOKUP('Données projet'!$B$14,Paramètres!$A$1:$I$89,5,0)</f>
        <v>0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89.751456703373435</v>
      </c>
      <c r="DU60" s="62">
        <f t="shared" si="44"/>
        <v>433.35713950666889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38.867840221141371</v>
      </c>
      <c r="EB60" s="23">
        <f>EXP(-LN(2)/25)*EB59+(1-EXP(-LN(2)/25))/(LN(2)/25)*Calculateur!DW60*Calculateur!DY60*VLOOKUP('Données projet'!$B$14,Paramètres!$A$1:$I$89,3,0)*0.475*44/12</f>
        <v>8.4602772028185758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47.328117423959945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>
        <f>EJ60*VLOOKUP('Données projet'!$B$15,Paramètres!$A$1:$I$89,3,0)*VLOOKUP('Données projet'!$B$15,Paramètres!$A$1:$I$89,5,0)</f>
        <v>0</v>
      </c>
      <c r="EL60" s="14" t="e">
        <f t="shared" si="45"/>
        <v>#NUM!</v>
      </c>
      <c r="EM60" s="22" t="e">
        <f t="shared" si="19"/>
        <v>#NUM!</v>
      </c>
      <c r="EN60" s="62" t="e">
        <f t="shared" si="20"/>
        <v>#NUM!</v>
      </c>
      <c r="EO60" s="62">
        <f ca="1">AVERAGE(OFFSET($EN$3,0,0,'Données projet'!$E$15+1,1))-AVERAGE(OFFSET($H$3,0,0,'Données projet'!$E$15+1,1))</f>
        <v>204.71144247550794</v>
      </c>
      <c r="EP60" s="62">
        <f t="shared" si="46"/>
        <v>409.91012463636184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57.882083359408519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2.2958954783886536E-2</v>
      </c>
      <c r="EY60" s="24">
        <f t="shared" si="21"/>
        <v>57.905042314192407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62.151929821219156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2.8000000000000003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10.266666666666667</v>
      </c>
      <c r="H61" s="70">
        <f t="shared" si="1"/>
        <v>188.90666666666664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16.666666666666668</v>
      </c>
      <c r="N61" s="14">
        <f>IF('Données projet'!$A$36&gt;35,N60+M61-V60,IF(A61&lt;'Données projet'!$A$36,$K$205^A61,IF(A61='Données projet'!$A$36,'Données projet'!$B$36,N60+M61-V60)))</f>
        <v>332.66666666666657</v>
      </c>
      <c r="O61" s="14">
        <f>N61*VLOOKUP('Données projet'!$B$9,Paramètres!$A$1:$I$89,3,0)*VLOOKUP('Données projet'!$B$9,Paramètres!$A$1:$I$89,5,0)</f>
        <v>155.68799999999996</v>
      </c>
      <c r="P61" s="14">
        <f t="shared" si="33"/>
        <v>39.868390761764985</v>
      </c>
      <c r="Q61" s="22">
        <f t="shared" si="53"/>
        <v>340.5940472434072</v>
      </c>
      <c r="R61" s="62">
        <f t="shared" si="0"/>
        <v>605.65032698501068</v>
      </c>
      <c r="S61" s="62">
        <f ca="1">AVERAGE(OFFSET($R$3,0,0,'Données projet'!$E$9+1,1))-AVERAGE(OFFSET($H$3,0,0,'Données projet'!$E$9+1,1))</f>
        <v>349.50936264852089</v>
      </c>
      <c r="T61" s="62">
        <f t="shared" si="34"/>
        <v>260.52733851266106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201.98880000000008</v>
      </c>
      <c r="AK61" s="14">
        <f t="shared" si="35"/>
        <v>50.18099374666096</v>
      </c>
      <c r="AL61" s="22">
        <f t="shared" si="4"/>
        <v>439.19572410876793</v>
      </c>
      <c r="AM61" s="62">
        <f t="shared" si="5"/>
        <v>704.25200385037147</v>
      </c>
      <c r="AN61" s="62">
        <f ca="1">AVERAGE(OFFSET($AM$3,0,0,'Données projet'!$E$10+1,1))-AVERAGE(OFFSET($H$3,0,0,'Données projet'!$E$10+1,1))</f>
        <v>447.04988989014134</v>
      </c>
      <c r="AO61" s="62">
        <f t="shared" si="36"/>
        <v>278.04061554501783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217.52640000000008</v>
      </c>
      <c r="BF61" s="14">
        <f t="shared" si="37"/>
        <v>53.576907690651254</v>
      </c>
      <c r="BG61" s="22">
        <f t="shared" si="7"/>
        <v>472.17159422788433</v>
      </c>
      <c r="BH61" s="62">
        <f t="shared" si="8"/>
        <v>737.22787396948786</v>
      </c>
      <c r="BI61" s="62">
        <f ca="1">AVERAGE(OFFSET($BH$3,0,0,'Données projet'!$E$11+1,1))-AVERAGE(OFFSET($H$3,0,0,'Données projet'!$E$11+1,1))</f>
        <v>475.58735584427552</v>
      </c>
      <c r="BJ61" s="62">
        <f t="shared" si="38"/>
        <v>294.51413339056131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6.8</v>
      </c>
      <c r="BY61" s="13">
        <f>IF('Données projet'!$A$114&gt;35,BY60+BX61-CG60,IF(A61&lt;'Données projet'!$A$114,$BV$205^A61,IF(A61='Données projet'!$A$114,'Données projet'!$B$114,BY60+BX61-CG60)))</f>
        <v>228.40000000000009</v>
      </c>
      <c r="BZ61" s="14">
        <f>BY61*VLOOKUP('Données projet'!$B$12,Paramètres!$A$1:$I$89,3,0)*VLOOKUP('Données projet'!$B$12,Paramètres!$A$1:$I$89,5,0)</f>
        <v>199.53024000000011</v>
      </c>
      <c r="CA61" s="14">
        <f t="shared" si="39"/>
        <v>49.640914570461312</v>
      </c>
      <c r="CB61" s="22">
        <f t="shared" si="10"/>
        <v>433.97309421022027</v>
      </c>
      <c r="CC61" s="62">
        <f t="shared" si="11"/>
        <v>699.0293739518238</v>
      </c>
      <c r="CD61" s="62">
        <f ca="1">AVERAGE(OFFSET($CC$3,0,0,'Données projet'!$E$12+1,1))-AVERAGE(OFFSET($H$3,0,0,'Données projet'!$E$12+1,1))</f>
        <v>344.32696811748974</v>
      </c>
      <c r="CE61" s="62">
        <f t="shared" si="40"/>
        <v>411.51927518440766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4.8073872946320408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4.8073872946320408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230.00015999999997</v>
      </c>
      <c r="CV61" s="14">
        <f t="shared" si="41"/>
        <v>56.282716126880423</v>
      </c>
      <c r="CW61" s="22">
        <f t="shared" si="13"/>
        <v>498.60934258765002</v>
      </c>
      <c r="CX61" s="62">
        <f t="shared" si="14"/>
        <v>763.66562232925355</v>
      </c>
      <c r="CY61" s="62">
        <f ca="1">AVERAGE(OFFSET($CX$3,0,0,'Données projet'!$E$13+1,1))-AVERAGE(OFFSET($H$3,0,0,'Données projet'!$E$13+1,1))</f>
        <v>473.14533251757302</v>
      </c>
      <c r="CZ61" s="62">
        <f t="shared" si="42"/>
        <v>299.82031908667142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1.1037970565245383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1.1037970565245383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>
        <f>DO61*VLOOKUP('Données projet'!$B$14,Paramètres!$A$1:$I$89,3,0)*VLOOKUP('Données projet'!$B$14,Paramètres!$A$1:$I$89,5,0)</f>
        <v>0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89.751456703373435</v>
      </c>
      <c r="DU61" s="62">
        <f t="shared" si="44"/>
        <v>433.35713950666889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38.105665581446445</v>
      </c>
      <c r="EB61" s="23">
        <f>EXP(-LN(2)/25)*EB60+(1-EXP(-LN(2)/25))/(LN(2)/25)*Calculateur!DW61*Calculateur!DY61*VLOOKUP('Données projet'!$B$14,Paramètres!$A$1:$I$89,3,0)*0.475*44/12</f>
        <v>8.2289304778008603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46.334596059247303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>
        <f>EJ61*VLOOKUP('Données projet'!$B$15,Paramètres!$A$1:$I$89,3,0)*VLOOKUP('Données projet'!$B$15,Paramètres!$A$1:$I$89,5,0)</f>
        <v>0</v>
      </c>
      <c r="EL61" s="14" t="e">
        <f t="shared" si="45"/>
        <v>#NUM!</v>
      </c>
      <c r="EM61" s="22" t="e">
        <f t="shared" si="19"/>
        <v>#NUM!</v>
      </c>
      <c r="EN61" s="62" t="e">
        <f t="shared" si="20"/>
        <v>#NUM!</v>
      </c>
      <c r="EO61" s="62">
        <f ca="1">AVERAGE(OFFSET($EN$3,0,0,'Données projet'!$E$15+1,1))-AVERAGE(OFFSET($H$3,0,0,'Données projet'!$E$15+1,1))</f>
        <v>204.71144247550794</v>
      </c>
      <c r="EP61" s="62">
        <f t="shared" si="46"/>
        <v>409.91012463636184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56.747051009315328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1.6234432616641495E-2</v>
      </c>
      <c r="EY61" s="24">
        <f t="shared" si="21"/>
        <v>56.76328544193197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62.288076293164607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2.8000000000000003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10.266666666666667</v>
      </c>
      <c r="H62" s="70">
        <f t="shared" si="1"/>
        <v>188.90666666666664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16.666666666666668</v>
      </c>
      <c r="N62" s="14">
        <f>IF('Données projet'!$A$36&gt;35,N61+M62-V61,IF(A62&lt;'Données projet'!$A$36,$K$205^A62,IF(A62='Données projet'!$A$36,'Données projet'!$B$36,N61+M62-V61)))</f>
        <v>349.33333333333326</v>
      </c>
      <c r="O62" s="14">
        <f>N62*VLOOKUP('Données projet'!$B$9,Paramètres!$A$1:$I$89,3,0)*VLOOKUP('Données projet'!$B$9,Paramètres!$A$1:$I$89,5,0)</f>
        <v>163.48799999999994</v>
      </c>
      <c r="P62" s="14">
        <f t="shared" si="33"/>
        <v>41.628253379180116</v>
      </c>
      <c r="Q62" s="22">
        <f t="shared" si="53"/>
        <v>357.24414130207191</v>
      </c>
      <c r="R62" s="62">
        <f t="shared" si="0"/>
        <v>622.79096470547086</v>
      </c>
      <c r="S62" s="62">
        <f ca="1">AVERAGE(OFFSET($R$3,0,0,'Données projet'!$E$9+1,1))-AVERAGE(OFFSET($H$3,0,0,'Données projet'!$E$9+1,1))</f>
        <v>349.50936264852089</v>
      </c>
      <c r="T62" s="62">
        <f t="shared" si="34"/>
        <v>260.52733851266106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209.49240000000009</v>
      </c>
      <c r="AK62" s="14">
        <f t="shared" si="35"/>
        <v>51.824646708770558</v>
      </c>
      <c r="AL62" s="22">
        <f t="shared" si="4"/>
        <v>455.12718968444216</v>
      </c>
      <c r="AM62" s="62">
        <f t="shared" si="5"/>
        <v>720.6740130878411</v>
      </c>
      <c r="AN62" s="62">
        <f ca="1">AVERAGE(OFFSET($AM$3,0,0,'Données projet'!$E$10+1,1))-AVERAGE(OFFSET($H$3,0,0,'Données projet'!$E$10+1,1))</f>
        <v>447.04988989014134</v>
      </c>
      <c r="AO62" s="62">
        <f t="shared" si="36"/>
        <v>278.04061554501783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225.60720000000006</v>
      </c>
      <c r="BF62" s="14">
        <f t="shared" si="37"/>
        <v>55.331792089134765</v>
      </c>
      <c r="BG62" s="22">
        <f t="shared" si="7"/>
        <v>489.30207788857643</v>
      </c>
      <c r="BH62" s="62">
        <f t="shared" si="8"/>
        <v>754.84890129197538</v>
      </c>
      <c r="BI62" s="62">
        <f ca="1">AVERAGE(OFFSET($BH$3,0,0,'Données projet'!$E$11+1,1))-AVERAGE(OFFSET($H$3,0,0,'Données projet'!$E$11+1,1))</f>
        <v>475.58735584427552</v>
      </c>
      <c r="BJ62" s="62">
        <f t="shared" si="38"/>
        <v>294.51413339056131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6.8</v>
      </c>
      <c r="BY62" s="13">
        <f>IF('Données projet'!$A$114&gt;35,BY61+BX62-CG61,IF(A62&lt;'Données projet'!$A$114,$BV$205^A62,IF(A62='Données projet'!$A$114,'Données projet'!$B$114,BY61+BX62-CG61)))</f>
        <v>235.2000000000001</v>
      </c>
      <c r="BZ62" s="14">
        <f>BY62*VLOOKUP('Données projet'!$B$12,Paramètres!$A$1:$I$89,3,0)*VLOOKUP('Données projet'!$B$12,Paramètres!$A$1:$I$89,5,0)</f>
        <v>205.47072000000011</v>
      </c>
      <c r="CA62" s="14">
        <f t="shared" si="39"/>
        <v>50.944571570352757</v>
      </c>
      <c r="CB62" s="22">
        <f t="shared" si="10"/>
        <v>446.58996615169781</v>
      </c>
      <c r="CC62" s="62">
        <f t="shared" si="11"/>
        <v>712.13678955509681</v>
      </c>
      <c r="CD62" s="62">
        <f ca="1">AVERAGE(OFFSET($CC$3,0,0,'Données projet'!$E$12+1,1))-AVERAGE(OFFSET($H$3,0,0,'Données projet'!$E$12+1,1))</f>
        <v>344.32696811748974</v>
      </c>
      <c r="CE62" s="62">
        <f t="shared" si="40"/>
        <v>411.51927518440766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4.6759290362508175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4.6759290362508175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238.50527999999997</v>
      </c>
      <c r="CV62" s="14">
        <f t="shared" si="41"/>
        <v>58.117817352909881</v>
      </c>
      <c r="CW62" s="22">
        <f t="shared" si="13"/>
        <v>516.61856122298457</v>
      </c>
      <c r="CX62" s="62">
        <f t="shared" si="14"/>
        <v>782.16538462638346</v>
      </c>
      <c r="CY62" s="62">
        <f ca="1">AVERAGE(OFFSET($CX$3,0,0,'Données projet'!$E$13+1,1))-AVERAGE(OFFSET($H$3,0,0,'Données projet'!$E$13+1,1))</f>
        <v>473.14533251757302</v>
      </c>
      <c r="CZ62" s="62">
        <f t="shared" si="42"/>
        <v>299.82031908667142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1.0736136679677104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1.0736136679677104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>
        <f>DO62*VLOOKUP('Données projet'!$B$14,Paramètres!$A$1:$I$89,3,0)*VLOOKUP('Données projet'!$B$14,Paramètres!$A$1:$I$89,5,0)</f>
        <v>0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89.751456703373435</v>
      </c>
      <c r="DU62" s="62">
        <f t="shared" si="44"/>
        <v>433.35713950666889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37.358436721555314</v>
      </c>
      <c r="EB62" s="23">
        <f>EXP(-LN(2)/25)*EB61+(1-EXP(-LN(2)/25))/(LN(2)/25)*Calculateur!DW62*Calculateur!DY62*VLOOKUP('Données projet'!$B$14,Paramètres!$A$1:$I$89,3,0)*0.475*44/12</f>
        <v>8.0039099411447499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45.362346662700062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>
        <f>EJ62*VLOOKUP('Données projet'!$B$15,Paramètres!$A$1:$I$89,3,0)*VLOOKUP('Données projet'!$B$15,Paramètres!$A$1:$I$89,5,0)</f>
        <v>0</v>
      </c>
      <c r="EL62" s="14" t="e">
        <f t="shared" si="45"/>
        <v>#NUM!</v>
      </c>
      <c r="EM62" s="22" t="e">
        <f t="shared" si="19"/>
        <v>#NUM!</v>
      </c>
      <c r="EN62" s="62" t="e">
        <f t="shared" si="20"/>
        <v>#NUM!</v>
      </c>
      <c r="EO62" s="62">
        <f ca="1">AVERAGE(OFFSET($EN$3,0,0,'Données projet'!$E$15+1,1))-AVERAGE(OFFSET($H$3,0,0,'Données projet'!$E$15+1,1))</f>
        <v>204.71144247550794</v>
      </c>
      <c r="EP62" s="62">
        <f t="shared" si="46"/>
        <v>409.91012463636184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55.634275951306094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1.1479477391943268E-2</v>
      </c>
      <c r="EY62" s="24">
        <f t="shared" si="21"/>
        <v>55.645755428698038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62.42186092819972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2.8000000000000003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10.266666666666667</v>
      </c>
      <c r="H63" s="70">
        <f t="shared" si="1"/>
        <v>188.90666666666664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16.666666666666668</v>
      </c>
      <c r="N63" s="14">
        <f>IF('Données projet'!$A$36&gt;35,N62+M63-V62,IF(A63&lt;'Données projet'!$A$36,$K$205^A63,IF(A63='Données projet'!$A$36,'Données projet'!$B$36,N62+M63-V62)))</f>
        <v>365.99999999999994</v>
      </c>
      <c r="O63" s="14">
        <f>N63*VLOOKUP('Données projet'!$B$9,Paramètres!$A$1:$I$89,3,0)*VLOOKUP('Données projet'!$B$9,Paramètres!$A$1:$I$89,5,0)</f>
        <v>171.28799999999995</v>
      </c>
      <c r="P63" s="14">
        <f t="shared" si="33"/>
        <v>43.378365895721338</v>
      </c>
      <c r="Q63" s="22">
        <f t="shared" si="53"/>
        <v>373.87725393504792</v>
      </c>
      <c r="R63" s="62">
        <f t="shared" si="0"/>
        <v>639.90611116440152</v>
      </c>
      <c r="S63" s="62">
        <f ca="1">AVERAGE(OFFSET($R$3,0,0,'Données projet'!$E$9+1,1))-AVERAGE(OFFSET($H$3,0,0,'Données projet'!$E$9+1,1))</f>
        <v>349.50936264852089</v>
      </c>
      <c r="T63" s="62">
        <f t="shared" si="34"/>
        <v>260.52733851266106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216.99600000000009</v>
      </c>
      <c r="AK63" s="14">
        <f t="shared" si="35"/>
        <v>53.461459647386917</v>
      </c>
      <c r="AL63" s="22">
        <f t="shared" si="4"/>
        <v>471.04674221919907</v>
      </c>
      <c r="AM63" s="62">
        <f t="shared" si="5"/>
        <v>737.07559944855268</v>
      </c>
      <c r="AN63" s="62">
        <f ca="1">AVERAGE(OFFSET($AM$3,0,0,'Données projet'!$E$10+1,1))-AVERAGE(OFFSET($H$3,0,0,'Données projet'!$E$10+1,1))</f>
        <v>447.04988989014134</v>
      </c>
      <c r="AO63" s="62">
        <f t="shared" si="36"/>
        <v>278.04061554501783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233.68800000000007</v>
      </c>
      <c r="BF63" s="14">
        <f t="shared" si="37"/>
        <v>57.079373577094991</v>
      </c>
      <c r="BG63" s="22">
        <f t="shared" si="7"/>
        <v>506.41984231344054</v>
      </c>
      <c r="BH63" s="62">
        <f t="shared" si="8"/>
        <v>772.4486995427942</v>
      </c>
      <c r="BI63" s="62">
        <f ca="1">AVERAGE(OFFSET($BH$3,0,0,'Données projet'!$E$11+1,1))-AVERAGE(OFFSET($H$3,0,0,'Données projet'!$E$11+1,1))</f>
        <v>475.58735584427552</v>
      </c>
      <c r="BJ63" s="62">
        <f t="shared" si="38"/>
        <v>294.51413339056131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242</v>
      </c>
      <c r="BW63" s="13">
        <f>VLOOKUP(A63,'Données projet'!$A$113:$I$133,9,0)</f>
        <v>6.8</v>
      </c>
      <c r="BX63" s="13">
        <f t="array" ref="BX63">INDEX(BW:BW,MIN(IF(ISNUMBER(BW63:BW259),ROW(BW63:BW259),"")))</f>
        <v>6.8</v>
      </c>
      <c r="BY63" s="13">
        <f>IF('Données projet'!$A$114&gt;35,BY62+BX63-CG62,IF(A63&lt;'Données projet'!$A$114,$BV$205^A63,IF(A63='Données projet'!$A$114,'Données projet'!$B$114,BY62+BX63-CG62)))</f>
        <v>242.00000000000011</v>
      </c>
      <c r="BZ63" s="14">
        <f>BY63*VLOOKUP('Données projet'!$B$12,Paramètres!$A$1:$I$89,3,0)*VLOOKUP('Données projet'!$B$12,Paramètres!$A$1:$I$89,5,0)</f>
        <v>211.41120000000012</v>
      </c>
      <c r="CA63" s="14">
        <f t="shared" si="39"/>
        <v>52.243848094411206</v>
      </c>
      <c r="CB63" s="22">
        <f t="shared" si="10"/>
        <v>459.19920876443302</v>
      </c>
      <c r="CC63" s="62">
        <f t="shared" si="11"/>
        <v>725.22806599378669</v>
      </c>
      <c r="CD63" s="62">
        <f ca="1">AVERAGE(OFFSET($CC$3,0,0,'Données projet'!$E$12+1,1))-AVERAGE(OFFSET($H$3,0,0,'Données projet'!$E$12+1,1))</f>
        <v>344.32696811748974</v>
      </c>
      <c r="CE63" s="62">
        <f t="shared" si="40"/>
        <v>411.51927518440766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26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4.5480655108581178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4.5480655108581178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247.01039999999992</v>
      </c>
      <c r="CV63" s="14">
        <f t="shared" si="41"/>
        <v>59.945315462121812</v>
      </c>
      <c r="CW63" s="22">
        <f t="shared" si="13"/>
        <v>534.61453776319524</v>
      </c>
      <c r="CX63" s="62">
        <f t="shared" si="14"/>
        <v>800.64339499254879</v>
      </c>
      <c r="CY63" s="62">
        <f ca="1">AVERAGE(OFFSET($CX$3,0,0,'Données projet'!$E$13+1,1))-AVERAGE(OFFSET($H$3,0,0,'Données projet'!$E$13+1,1))</f>
        <v>473.14533251757302</v>
      </c>
      <c r="CZ63" s="62">
        <f t="shared" si="42"/>
        <v>299.82031908667142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1.0442556457582444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1.0442556457582444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>
        <f>DO63*VLOOKUP('Données projet'!$B$14,Paramètres!$A$1:$I$89,3,0)*VLOOKUP('Données projet'!$B$14,Paramètres!$A$1:$I$89,5,0)</f>
        <v>0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89.751456703373435</v>
      </c>
      <c r="DU63" s="62">
        <f t="shared" si="44"/>
        <v>433.35713950666889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36.625860563842046</v>
      </c>
      <c r="EB63" s="23">
        <f>EXP(-LN(2)/25)*EB62+(1-EXP(-LN(2)/25))/(LN(2)/25)*Calculateur!DW63*Calculateur!DY63*VLOOKUP('Données projet'!$B$14,Paramètres!$A$1:$I$89,3,0)*0.475*44/12</f>
        <v>7.7850426028968158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44.410903166738862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>
        <f>EJ63*VLOOKUP('Données projet'!$B$15,Paramètres!$A$1:$I$89,3,0)*VLOOKUP('Données projet'!$B$15,Paramètres!$A$1:$I$89,5,0)</f>
        <v>0</v>
      </c>
      <c r="EL63" s="14" t="e">
        <f t="shared" si="45"/>
        <v>#NUM!</v>
      </c>
      <c r="EM63" s="22" t="e">
        <f t="shared" si="19"/>
        <v>#NUM!</v>
      </c>
      <c r="EN63" s="62" t="e">
        <f t="shared" si="20"/>
        <v>#NUM!</v>
      </c>
      <c r="EO63" s="62">
        <f ca="1">AVERAGE(OFFSET($EN$3,0,0,'Données projet'!$E$15+1,1))-AVERAGE(OFFSET($H$3,0,0,'Données projet'!$E$15+1,1))</f>
        <v>204.71144247550794</v>
      </c>
      <c r="EP63" s="62">
        <f t="shared" si="46"/>
        <v>409.91012463636184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54.543321733458654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8.1172163083207474E-3</v>
      </c>
      <c r="EY63" s="24">
        <f t="shared" si="21"/>
        <v>54.551438949766975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62.553324698914622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2.8000000000000003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10.266666666666667</v>
      </c>
      <c r="H64" s="70">
        <f t="shared" si="1"/>
        <v>188.90666666666664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16.666666666666668</v>
      </c>
      <c r="N64" s="14">
        <f>IF('Données projet'!$A$36&gt;35,N63+M64-V63,IF(A64&lt;'Données projet'!$A$36,$K$205^A64,IF(A64='Données projet'!$A$36,'Données projet'!$B$36,N63+M64-V63)))</f>
        <v>382.66666666666663</v>
      </c>
      <c r="O64" s="14">
        <f>N64*VLOOKUP('Données projet'!$B$9,Paramètres!$A$1:$I$89,3,0)*VLOOKUP('Données projet'!$B$9,Paramètres!$A$1:$I$89,5,0)</f>
        <v>179.08799999999999</v>
      </c>
      <c r="P64" s="14">
        <f t="shared" si="33"/>
        <v>45.119223023956835</v>
      </c>
      <c r="Q64" s="22">
        <f t="shared" si="53"/>
        <v>390.49424676672476</v>
      </c>
      <c r="R64" s="62">
        <f t="shared" si="0"/>
        <v>656.99677561281885</v>
      </c>
      <c r="S64" s="62">
        <f ca="1">AVERAGE(OFFSET($R$3,0,0,'Données projet'!$E$9+1,1))-AVERAGE(OFFSET($H$3,0,0,'Données projet'!$E$9+1,1))</f>
        <v>349.50936264852089</v>
      </c>
      <c r="T64" s="62">
        <f t="shared" si="34"/>
        <v>260.52733851266106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203.00280000000009</v>
      </c>
      <c r="AK64" s="14">
        <f t="shared" si="35"/>
        <v>50.403518824343074</v>
      </c>
      <c r="AL64" s="22">
        <f t="shared" si="4"/>
        <v>441.34933861906433</v>
      </c>
      <c r="AM64" s="62">
        <f t="shared" si="5"/>
        <v>707.85186746515842</v>
      </c>
      <c r="AN64" s="62">
        <f ca="1">AVERAGE(OFFSET($AM$3,0,0,'Données projet'!$E$10+1,1))-AVERAGE(OFFSET($H$3,0,0,'Données projet'!$E$10+1,1))</f>
        <v>447.04988989014134</v>
      </c>
      <c r="AO64" s="62">
        <f t="shared" si="36"/>
        <v>278.04061554501783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218.61840000000007</v>
      </c>
      <c r="BF64" s="14">
        <f t="shared" si="37"/>
        <v>53.814491776889589</v>
      </c>
      <c r="BG64" s="22">
        <f t="shared" si="7"/>
        <v>474.48728651141619</v>
      </c>
      <c r="BH64" s="62">
        <f t="shared" si="8"/>
        <v>740.98981535751022</v>
      </c>
      <c r="BI64" s="62">
        <f ca="1">AVERAGE(OFFSET($BH$3,0,0,'Données projet'!$E$11+1,1))-AVERAGE(OFFSET($H$3,0,0,'Données projet'!$E$11+1,1))</f>
        <v>475.58735584427552</v>
      </c>
      <c r="BJ64" s="62">
        <f t="shared" si="38"/>
        <v>294.51413339056131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</v>
      </c>
      <c r="BY64" s="13">
        <f>IF('Données projet'!$A$114&gt;35,BY63+BX64-CG63,IF(A64&lt;'Données projet'!$A$114,$BV$205^A64,IF(A64='Données projet'!$A$114,'Données projet'!$B$114,BY63+BX64-CG63)))</f>
        <v>222.00000000000011</v>
      </c>
      <c r="BZ64" s="14">
        <f>BY64*VLOOKUP('Données projet'!$B$12,Paramètres!$A$1:$I$89,3,0)*VLOOKUP('Données projet'!$B$12,Paramètres!$A$1:$I$89,5,0)</f>
        <v>193.93920000000014</v>
      </c>
      <c r="CA64" s="14">
        <f t="shared" si="39"/>
        <v>48.409811198069384</v>
      </c>
      <c r="CB64" s="22">
        <f t="shared" si="10"/>
        <v>422.09119450330439</v>
      </c>
      <c r="CC64" s="62">
        <f t="shared" si="11"/>
        <v>688.59372334939849</v>
      </c>
      <c r="CD64" s="62">
        <f ca="1">AVERAGE(OFFSET($CC$3,0,0,'Données projet'!$E$12+1,1))-AVERAGE(OFFSET($H$3,0,0,'Données projet'!$E$12+1,1))</f>
        <v>344.32696811748974</v>
      </c>
      <c r="CE64" s="62">
        <f t="shared" si="40"/>
        <v>411.51927518440766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4.4236984202913323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4.4236984202913323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253.79999999999995</v>
      </c>
      <c r="CU64" s="18">
        <f>CT64*VLOOKUP('Données projet'!$B$13,Paramètres!$A$1:$I$89,3,0)*VLOOKUP('Données projet'!$B$13,Paramètres!$A$1:$I$89,5,0)</f>
        <v>229.63823999999994</v>
      </c>
      <c r="CV64" s="14">
        <f t="shared" si="41"/>
        <v>56.204453396569633</v>
      </c>
      <c r="CW64" s="22">
        <f t="shared" si="13"/>
        <v>497.84269099902531</v>
      </c>
      <c r="CX64" s="62">
        <f t="shared" si="14"/>
        <v>764.34521984511935</v>
      </c>
      <c r="CY64" s="62">
        <f ca="1">AVERAGE(OFFSET($CX$3,0,0,'Données projet'!$E$13+1,1))-AVERAGE(OFFSET($H$3,0,0,'Données projet'!$E$13+1,1))</f>
        <v>473.14533251757302</v>
      </c>
      <c r="CZ64" s="62">
        <f t="shared" si="42"/>
        <v>299.82031908667142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1.0157004202099675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1.0157004202099675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>
        <f>DO64*VLOOKUP('Données projet'!$B$14,Paramètres!$A$1:$I$89,3,0)*VLOOKUP('Données projet'!$B$14,Paramètres!$A$1:$I$89,5,0)</f>
        <v>0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89.751456703373435</v>
      </c>
      <c r="DU64" s="62">
        <f t="shared" si="44"/>
        <v>433.35713950666889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35.907649777754202</v>
      </c>
      <c r="EB64" s="23">
        <f>EXP(-LN(2)/25)*EB63+(1-EXP(-LN(2)/25))/(LN(2)/25)*Calculateur!DW64*Calculateur!DY64*VLOOKUP('Données projet'!$B$14,Paramètres!$A$1:$I$89,3,0)*0.475*44/12</f>
        <v>7.5721602035230049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43.479809981277207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>
        <f>EJ64*VLOOKUP('Données projet'!$B$15,Paramètres!$A$1:$I$89,3,0)*VLOOKUP('Données projet'!$B$15,Paramètres!$A$1:$I$89,5,0)</f>
        <v>0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204.71144247550794</v>
      </c>
      <c r="EP64" s="62">
        <f t="shared" si="46"/>
        <v>409.91012463636184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53.47376046240683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5.7397386959716339E-3</v>
      </c>
      <c r="EY64" s="24">
        <f t="shared" si="21"/>
        <v>53.479500201102802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62.68250786711657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2.8000000000000003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10.266666666666667</v>
      </c>
      <c r="H65" s="70">
        <f t="shared" si="1"/>
        <v>188.90666666666664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16.666666666666668</v>
      </c>
      <c r="N65" s="14">
        <f>IF('Données projet'!$A$36&gt;35,N64+M65-V64,IF(A65&lt;'Données projet'!$A$36,$K$205^A65,IF(A65='Données projet'!$A$36,'Données projet'!$B$36,N64+M65-V64)))</f>
        <v>399.33333333333331</v>
      </c>
      <c r="O65" s="14">
        <f>N65*VLOOKUP('Données projet'!$B$9,Paramètres!$A$1:$I$89,3,0)*VLOOKUP('Données projet'!$B$9,Paramètres!$A$1:$I$89,5,0)</f>
        <v>186.88800000000001</v>
      </c>
      <c r="P65" s="14">
        <f t="shared" si="33"/>
        <v>46.851273946133198</v>
      </c>
      <c r="Q65" s="22">
        <f t="shared" si="53"/>
        <v>407.09590212284866</v>
      </c>
      <c r="R65" s="62">
        <f t="shared" si="0"/>
        <v>674.06388544210381</v>
      </c>
      <c r="S65" s="62">
        <f ca="1">AVERAGE(OFFSET($R$3,0,0,'Données projet'!$E$9+1,1))-AVERAGE(OFFSET($H$3,0,0,'Données projet'!$E$9+1,1))</f>
        <v>349.50936264852089</v>
      </c>
      <c r="T65" s="62">
        <f t="shared" si="34"/>
        <v>260.52733851266106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210.3036000000001</v>
      </c>
      <c r="AK65" s="14">
        <f t="shared" si="35"/>
        <v>52.001924357524501</v>
      </c>
      <c r="AL65" s="22">
        <f t="shared" si="4"/>
        <v>456.84878825602203</v>
      </c>
      <c r="AM65" s="62">
        <f t="shared" si="5"/>
        <v>723.81677157527724</v>
      </c>
      <c r="AN65" s="62">
        <f ca="1">AVERAGE(OFFSET($AM$3,0,0,'Données projet'!$E$10+1,1))-AVERAGE(OFFSET($H$3,0,0,'Données projet'!$E$10+1,1))</f>
        <v>447.04988989014134</v>
      </c>
      <c r="AO65" s="62">
        <f t="shared" si="36"/>
        <v>278.04061554501783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226.48080000000007</v>
      </c>
      <c r="BF65" s="14">
        <f t="shared" si="37"/>
        <v>55.52106670316202</v>
      </c>
      <c r="BG65" s="22">
        <f t="shared" si="7"/>
        <v>491.15325117467387</v>
      </c>
      <c r="BH65" s="62">
        <f t="shared" si="8"/>
        <v>758.12123449392902</v>
      </c>
      <c r="BI65" s="62">
        <f ca="1">AVERAGE(OFFSET($BH$3,0,0,'Données projet'!$E$11+1,1))-AVERAGE(OFFSET($H$3,0,0,'Données projet'!$E$11+1,1))</f>
        <v>475.58735584427552</v>
      </c>
      <c r="BJ65" s="62">
        <f t="shared" si="38"/>
        <v>294.51413339056131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</v>
      </c>
      <c r="BY65" s="13">
        <f>IF('Données projet'!$A$114&gt;35,BY64+BX65-CG64,IF(A65&lt;'Données projet'!$A$114,$BV$205^A65,IF(A65='Données projet'!$A$114,'Données projet'!$B$114,BY64+BX65-CG64)))</f>
        <v>228.00000000000011</v>
      </c>
      <c r="BZ65" s="14">
        <f>BY65*VLOOKUP('Données projet'!$B$12,Paramètres!$A$1:$I$89,3,0)*VLOOKUP('Données projet'!$B$12,Paramètres!$A$1:$I$89,5,0)</f>
        <v>199.18080000000012</v>
      </c>
      <c r="CA65" s="14">
        <f t="shared" si="39"/>
        <v>49.564089376413726</v>
      </c>
      <c r="CB65" s="22">
        <f t="shared" si="10"/>
        <v>433.2306823305874</v>
      </c>
      <c r="CC65" s="62">
        <f t="shared" si="11"/>
        <v>700.19866564984261</v>
      </c>
      <c r="CD65" s="62">
        <f ca="1">AVERAGE(OFFSET($CC$3,0,0,'Données projet'!$E$12+1,1))-AVERAGE(OFFSET($H$3,0,0,'Données projet'!$E$12+1,1))</f>
        <v>344.32696811748974</v>
      </c>
      <c r="CE65" s="62">
        <f t="shared" si="40"/>
        <v>411.51927518440766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4.302732154356276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4.302732154356276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262.59999999999997</v>
      </c>
      <c r="CU65" s="18">
        <f>CT65*VLOOKUP('Données projet'!$B$13,Paramètres!$A$1:$I$89,3,0)*VLOOKUP('Données projet'!$B$13,Paramètres!$A$1:$I$89,5,0)</f>
        <v>237.60047999999995</v>
      </c>
      <c r="CV65" s="14">
        <f t="shared" si="41"/>
        <v>57.922960533442058</v>
      </c>
      <c r="CW65" s="22">
        <f t="shared" si="13"/>
        <v>514.70332559574479</v>
      </c>
      <c r="CX65" s="62">
        <f t="shared" si="14"/>
        <v>781.67130891500005</v>
      </c>
      <c r="CY65" s="62">
        <f ca="1">AVERAGE(OFFSET($CX$3,0,0,'Données projet'!$E$13+1,1))-AVERAGE(OFFSET($H$3,0,0,'Données projet'!$E$13+1,1))</f>
        <v>473.14533251757302</v>
      </c>
      <c r="CZ65" s="62">
        <f t="shared" si="42"/>
        <v>299.82031908667142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0.9879260388059623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0.9879260388059623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>
        <f>DO65*VLOOKUP('Données projet'!$B$14,Paramètres!$A$1:$I$89,3,0)*VLOOKUP('Données projet'!$B$14,Paramètres!$A$1:$I$89,5,0)</f>
        <v>0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89.751456703373435</v>
      </c>
      <c r="DU65" s="62">
        <f t="shared" si="44"/>
        <v>433.35713950666889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35.203522667116211</v>
      </c>
      <c r="EB65" s="23">
        <f>EXP(-LN(2)/25)*EB64+(1-EXP(-LN(2)/25))/(LN(2)/25)*Calculateur!DW65*Calculateur!DY65*VLOOKUP('Données projet'!$B$14,Paramètres!$A$1:$I$89,3,0)*0.475*44/12</f>
        <v>7.3650990845550695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42.56862175167128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>
        <f>EJ65*VLOOKUP('Données projet'!$B$15,Paramètres!$A$1:$I$89,3,0)*VLOOKUP('Données projet'!$B$15,Paramètres!$A$1:$I$89,5,0)</f>
        <v>0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204.71144247550794</v>
      </c>
      <c r="EP65" s="62">
        <f t="shared" si="46"/>
        <v>409.91012463636184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52.425172635512375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4.0586081541603737E-3</v>
      </c>
      <c r="EY65" s="24">
        <f t="shared" si="21"/>
        <v>52.429231243666536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62.809449996160509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2.8000000000000003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10.266666666666667</v>
      </c>
      <c r="H66" s="70">
        <f t="shared" si="1"/>
        <v>188.90666666666664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416</v>
      </c>
      <c r="L66" s="13">
        <f>VLOOKUP(A66,'Données projet'!$A$35:$I$55,9,0)</f>
        <v>16.666666666666668</v>
      </c>
      <c r="M66" s="13">
        <f t="array" ref="M66">INDEX(L:L,MIN(IF(ISNUMBER(L66:L262),ROW(L66:L262),"")))</f>
        <v>16.666666666666668</v>
      </c>
      <c r="N66" s="14">
        <f>IF('Données projet'!$A$36&gt;35,N65+M66-V65,IF(A66&lt;'Données projet'!$A$36,$K$205^A66,IF(A66='Données projet'!$A$36,'Données projet'!$B$36,N65+M66-V65)))</f>
        <v>416</v>
      </c>
      <c r="O66" s="14">
        <f>N66*VLOOKUP('Données projet'!$B$9,Paramètres!$A$1:$I$89,3,0)*VLOOKUP('Données projet'!$B$9,Paramètres!$A$1:$I$89,5,0)</f>
        <v>194.68799999999999</v>
      </c>
      <c r="P66" s="14">
        <f t="shared" si="33"/>
        <v>48.574928228914978</v>
      </c>
      <c r="Q66" s="22">
        <f t="shared" si="53"/>
        <v>423.68293333202695</v>
      </c>
      <c r="R66" s="62">
        <f t="shared" si="0"/>
        <v>691.10829652993425</v>
      </c>
      <c r="S66" s="62">
        <f ca="1">AVERAGE(OFFSET($R$3,0,0,'Données projet'!$E$9+1,1))-AVERAGE(OFFSET($H$3,0,0,'Données projet'!$E$9+1,1))</f>
        <v>349.50936264852089</v>
      </c>
      <c r="T66" s="62">
        <f t="shared" si="34"/>
        <v>260.52733851266106</v>
      </c>
      <c r="U66" s="16">
        <f>IF(ISNA(VLOOKUP(A66,'Données projet'!$A$35:$I$55,3,0)),0,VLOOKUP(A66,'Données projet'!$A$35:$I$55,3,0))</f>
        <v>9</v>
      </c>
      <c r="V66" s="16">
        <f>IF(ISNA(VLOOKUP(A66,'Données projet'!$A$35:$I$55,4,0)),0,VLOOKUP(A66,'Données projet'!$A$35:$I$55,4,0))</f>
        <v>79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217.60440000000006</v>
      </c>
      <c r="AK66" s="14">
        <f t="shared" si="35"/>
        <v>53.593882578706406</v>
      </c>
      <c r="AL66" s="22">
        <f t="shared" si="4"/>
        <v>472.33700882458038</v>
      </c>
      <c r="AM66" s="62">
        <f t="shared" si="5"/>
        <v>739.76237202248763</v>
      </c>
      <c r="AN66" s="62">
        <f ca="1">AVERAGE(OFFSET($AM$3,0,0,'Données projet'!$E$10+1,1))-AVERAGE(OFFSET($H$3,0,0,'Données projet'!$E$10+1,1))</f>
        <v>447.04988989014134</v>
      </c>
      <c r="AO66" s="62">
        <f t="shared" si="36"/>
        <v>278.04061554501783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234.34320000000005</v>
      </c>
      <c r="BF66" s="14">
        <f t="shared" si="37"/>
        <v>57.220758006491664</v>
      </c>
      <c r="BG66" s="22">
        <f t="shared" si="7"/>
        <v>507.80722686130639</v>
      </c>
      <c r="BH66" s="62">
        <f t="shared" si="8"/>
        <v>775.23259005921363</v>
      </c>
      <c r="BI66" s="62">
        <f ca="1">AVERAGE(OFFSET($BH$3,0,0,'Données projet'!$E$11+1,1))-AVERAGE(OFFSET($H$3,0,0,'Données projet'!$E$11+1,1))</f>
        <v>475.58735584427552</v>
      </c>
      <c r="BJ66" s="62">
        <f t="shared" si="38"/>
        <v>294.51413339056131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</v>
      </c>
      <c r="BY66" s="13">
        <f>IF('Données projet'!$A$114&gt;35,BY65+BX66-CG65,IF(A66&lt;'Données projet'!$A$114,$BV$205^A66,IF(A66='Données projet'!$A$114,'Données projet'!$B$114,BY65+BX66-CG65)))</f>
        <v>234.00000000000011</v>
      </c>
      <c r="BZ66" s="14">
        <f>BY66*VLOOKUP('Données projet'!$B$12,Paramètres!$A$1:$I$89,3,0)*VLOOKUP('Données projet'!$B$12,Paramètres!$A$1:$I$89,5,0)</f>
        <v>204.42240000000012</v>
      </c>
      <c r="CA66" s="14">
        <f t="shared" si="39"/>
        <v>50.714836797527312</v>
      </c>
      <c r="CB66" s="22">
        <f t="shared" si="10"/>
        <v>444.36402075569362</v>
      </c>
      <c r="CC66" s="62">
        <f t="shared" si="11"/>
        <v>711.78938395360092</v>
      </c>
      <c r="CD66" s="62">
        <f ca="1">AVERAGE(OFFSET($CC$3,0,0,'Données projet'!$E$12+1,1))-AVERAGE(OFFSET($H$3,0,0,'Données projet'!$E$12+1,1))</f>
        <v>344.32696811748974</v>
      </c>
      <c r="CE66" s="62">
        <f t="shared" si="40"/>
        <v>411.51927518440766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4.1850737173245536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4.1850737173245536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271.39999999999998</v>
      </c>
      <c r="CU66" s="18">
        <f>CT66*VLOOKUP('Données projet'!$B$13,Paramètres!$A$1:$I$89,3,0)*VLOOKUP('Données projet'!$B$13,Paramètres!$A$1:$I$89,5,0)</f>
        <v>245.56271999999998</v>
      </c>
      <c r="CV66" s="14">
        <f t="shared" si="41"/>
        <v>59.634776048276898</v>
      </c>
      <c r="CW66" s="22">
        <f t="shared" si="13"/>
        <v>531.55230561741564</v>
      </c>
      <c r="CX66" s="62">
        <f t="shared" si="14"/>
        <v>798.97766881532289</v>
      </c>
      <c r="CY66" s="62">
        <f ca="1">AVERAGE(OFFSET($CX$3,0,0,'Données projet'!$E$13+1,1))-AVERAGE(OFFSET($H$3,0,0,'Données projet'!$E$13+1,1))</f>
        <v>473.14533251757302</v>
      </c>
      <c r="CZ66" s="62">
        <f t="shared" si="42"/>
        <v>299.82031908667142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0.9609111493220408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0.9609111493220408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>
        <f>DO66*VLOOKUP('Données projet'!$B$14,Paramètres!$A$1:$I$89,3,0)*VLOOKUP('Données projet'!$B$14,Paramètres!$A$1:$I$89,5,0)</f>
        <v>0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89.751456703373435</v>
      </c>
      <c r="DU66" s="62">
        <f t="shared" si="44"/>
        <v>433.35713950666889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34.513203059642699</v>
      </c>
      <c r="EB66" s="23">
        <f>EXP(-LN(2)/25)*EB65+(1-EXP(-LN(2)/25))/(LN(2)/25)*Calculateur!DW66*Calculateur!DY66*VLOOKUP('Données projet'!$B$14,Paramètres!$A$1:$I$89,3,0)*0.475*44/12</f>
        <v>7.1637000627741836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41.676903122416881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>
        <f>EJ66*VLOOKUP('Données projet'!$B$15,Paramètres!$A$1:$I$89,3,0)*VLOOKUP('Données projet'!$B$15,Paramètres!$A$1:$I$89,5,0)</f>
        <v>0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204.71144247550794</v>
      </c>
      <c r="EP66" s="62">
        <f t="shared" si="46"/>
        <v>409.91012463636184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51.397146976327896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2.869869347985817E-3</v>
      </c>
      <c r="EY66" s="24">
        <f t="shared" si="21"/>
        <v>51.400016845675879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62.93418996306562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2.8000000000000003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10.266666666666667</v>
      </c>
      <c r="H67" s="70">
        <f t="shared" si="1"/>
        <v>188.90666666666664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353</v>
      </c>
      <c r="L67" s="13">
        <f>VLOOKUP(A67,'Données projet'!$A$35:$I$55,9,0)</f>
        <v>16</v>
      </c>
      <c r="M67" s="13">
        <f t="array" ref="M67">INDEX(L:L,MIN(IF(ISNUMBER(L67:L263),ROW(L67:L263),"")))</f>
        <v>16</v>
      </c>
      <c r="N67" s="14">
        <f>IF('Données projet'!$A$36&gt;35,N66+M67-V66,IF(A67&lt;'Données projet'!$A$36,$K$205^A67,IF(A67='Données projet'!$A$36,'Données projet'!$B$36,N66+M67-V66)))</f>
        <v>353</v>
      </c>
      <c r="O67" s="14">
        <f>N67*VLOOKUP('Données projet'!$B$9,Paramètres!$A$1:$I$89,3,0)*VLOOKUP('Données projet'!$B$9,Paramètres!$A$1:$I$89,5,0)</f>
        <v>165.20400000000001</v>
      </c>
      <c r="P67" s="14">
        <f t="shared" si="33"/>
        <v>42.01409666579589</v>
      </c>
      <c r="Q67" s="22">
        <f t="shared" ref="Q67:Q98" si="54">(O67+P67)*0.475*44/12</f>
        <v>360.90485169292782</v>
      </c>
      <c r="R67" s="62">
        <f t="shared" ref="R67:R130" si="55">Q67+(I67+J67)*44/12</f>
        <v>628.77966025114074</v>
      </c>
      <c r="S67" s="62">
        <f ca="1">AVERAGE(OFFSET($R$3,0,0,'Données projet'!$E$9+1,1))-AVERAGE(OFFSET($H$3,0,0,'Données projet'!$E$9+1,1))</f>
        <v>349.50936264852089</v>
      </c>
      <c r="T67" s="62">
        <f t="shared" si="34"/>
        <v>260.52733851266106</v>
      </c>
      <c r="U67" s="16">
        <f>IF(ISNA(VLOOKUP(A67,'Données projet'!$A$35:$I$55,3,0)),0,VLOOKUP(A67,'Données projet'!$A$35:$I$55,3,0))</f>
        <v>10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224.90520000000006</v>
      </c>
      <c r="AK67" s="14">
        <f t="shared" si="35"/>
        <v>55.17963460003309</v>
      </c>
      <c r="AL67" s="22">
        <f t="shared" si="4"/>
        <v>487.81442026172436</v>
      </c>
      <c r="AM67" s="62">
        <f t="shared" si="5"/>
        <v>755.6892288199374</v>
      </c>
      <c r="AN67" s="62">
        <f ca="1">AVERAGE(OFFSET($AM$3,0,0,'Données projet'!$E$10+1,1))-AVERAGE(OFFSET($H$3,0,0,'Données projet'!$E$10+1,1))</f>
        <v>447.04988989014134</v>
      </c>
      <c r="AO67" s="62">
        <f t="shared" si="36"/>
        <v>278.04061554501783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242.20560000000003</v>
      </c>
      <c r="BF67" s="14">
        <f t="shared" si="37"/>
        <v>58.913823115879495</v>
      </c>
      <c r="BG67" s="22">
        <f t="shared" si="7"/>
        <v>524.44966192682341</v>
      </c>
      <c r="BH67" s="62">
        <f t="shared" si="8"/>
        <v>792.32447048503639</v>
      </c>
      <c r="BI67" s="62">
        <f ca="1">AVERAGE(OFFSET($BH$3,0,0,'Données projet'!$E$11+1,1))-AVERAGE(OFFSET($H$3,0,0,'Données projet'!$E$11+1,1))</f>
        <v>475.58735584427552</v>
      </c>
      <c r="BJ67" s="62">
        <f t="shared" si="38"/>
        <v>294.51413339056131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6</v>
      </c>
      <c r="BY67" s="13">
        <f>IF('Données projet'!$A$114&gt;35,BY66+BX67-CG66,IF(A67&lt;'Données projet'!$A$114,$BV$205^A67,IF(A67='Données projet'!$A$114,'Données projet'!$B$114,BY66+BX67-CG66)))</f>
        <v>240.00000000000011</v>
      </c>
      <c r="BZ67" s="14">
        <f>BY67*VLOOKUP('Données projet'!$B$12,Paramètres!$A$1:$I$89,3,0)*VLOOKUP('Données projet'!$B$12,Paramètres!$A$1:$I$89,5,0)</f>
        <v>209.6640000000001</v>
      </c>
      <c r="CA67" s="14">
        <f t="shared" si="39"/>
        <v>51.862154403304537</v>
      </c>
      <c r="CB67" s="22">
        <f t="shared" si="10"/>
        <v>455.49138558575561</v>
      </c>
      <c r="CC67" s="62">
        <f t="shared" si="11"/>
        <v>723.36619414396864</v>
      </c>
      <c r="CD67" s="62">
        <f ca="1">AVERAGE(OFFSET($CC$3,0,0,'Données projet'!$E$12+1,1))-AVERAGE(OFFSET($H$3,0,0,'Données projet'!$E$12+1,1))</f>
        <v>344.32696811748974</v>
      </c>
      <c r="CE67" s="62">
        <f t="shared" si="40"/>
        <v>411.51927518440766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4.0706326564408517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4.0706326564408517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280.2</v>
      </c>
      <c r="CU67" s="18">
        <f>CT67*VLOOKUP('Données projet'!$B$13,Paramètres!$A$1:$I$89,3,0)*VLOOKUP('Données projet'!$B$13,Paramètres!$A$1:$I$89,5,0)</f>
        <v>253.52495999999999</v>
      </c>
      <c r="CV67" s="14">
        <f t="shared" si="41"/>
        <v>61.340141798422209</v>
      </c>
      <c r="CW67" s="22">
        <f t="shared" si="13"/>
        <v>548.39005229891859</v>
      </c>
      <c r="CX67" s="62">
        <f t="shared" si="14"/>
        <v>816.26486085713157</v>
      </c>
      <c r="CY67" s="62">
        <f ca="1">AVERAGE(OFFSET($CX$3,0,0,'Données projet'!$E$13+1,1))-AVERAGE(OFFSET($H$3,0,0,'Données projet'!$E$13+1,1))</f>
        <v>473.14533251757302</v>
      </c>
      <c r="CZ67" s="62">
        <f t="shared" si="42"/>
        <v>299.82031908667142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0.93463498341170848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0.93463498341170848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>
        <f>DO67*VLOOKUP('Données projet'!$B$14,Paramètres!$A$1:$I$89,3,0)*VLOOKUP('Données projet'!$B$14,Paramètres!$A$1:$I$89,5,0)</f>
        <v>0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89.751456703373435</v>
      </c>
      <c r="DU67" s="62">
        <f t="shared" si="44"/>
        <v>433.35713950666889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33.836420198618363</v>
      </c>
      <c r="EB67" s="23">
        <f>EXP(-LN(2)/25)*EB66+(1-EXP(-LN(2)/25))/(LN(2)/25)*Calculateur!DW67*Calculateur!DY67*VLOOKUP('Données projet'!$B$14,Paramètres!$A$1:$I$89,3,0)*0.475*44/12</f>
        <v>6.9678083078350097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40.80422850645337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>
        <f>EJ67*VLOOKUP('Données projet'!$B$15,Paramètres!$A$1:$I$89,3,0)*VLOOKUP('Données projet'!$B$15,Paramètres!$A$1:$I$89,5,0)</f>
        <v>0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204.71144247550794</v>
      </c>
      <c r="EP67" s="62">
        <f t="shared" si="46"/>
        <v>409.91012463636184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50.389280273286289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2.0293040770801869E-3</v>
      </c>
      <c r="EY67" s="24">
        <f t="shared" si="21"/>
        <v>50.391309577363366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63.056765970421722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2.8000000000000003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10.266666666666667</v>
      </c>
      <c r="H68" s="70">
        <f t="shared" ref="H68:H131" si="56">(B68+E68+F68)*44/12+(C68+D68)*0.475*44/12</f>
        <v>188.90666666666664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16.142857142857142</v>
      </c>
      <c r="N68" s="14">
        <f>IF('Données projet'!$A$36&gt;35,N67+M68-V67,IF(A68&lt;'Données projet'!$A$36,$K$205^A68,IF(A68='Données projet'!$A$36,'Données projet'!$B$36,N67+M68-V67)))</f>
        <v>369.14285714285717</v>
      </c>
      <c r="O68" s="14">
        <f>N68*VLOOKUP('Données projet'!$B$9,Paramètres!$A$1:$I$89,3,0)*VLOOKUP('Données projet'!$B$9,Paramètres!$A$1:$I$89,5,0)</f>
        <v>172.75885714285715</v>
      </c>
      <c r="P68" s="14">
        <f t="shared" si="33"/>
        <v>43.707335703690283</v>
      </c>
      <c r="Q68" s="22">
        <f t="shared" si="54"/>
        <v>377.01195254107012</v>
      </c>
      <c r="R68" s="62">
        <f t="shared" si="55"/>
        <v>645.32840958739678</v>
      </c>
      <c r="S68" s="62">
        <f ca="1">AVERAGE(OFFSET($R$3,0,0,'Données projet'!$E$9+1,1))-AVERAGE(OFFSET($H$3,0,0,'Données projet'!$E$9+1,1))</f>
        <v>349.50936264852089</v>
      </c>
      <c r="T68" s="62">
        <f t="shared" si="34"/>
        <v>260.52733851266106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232.20600000000005</v>
      </c>
      <c r="AK68" s="14">
        <f t="shared" si="35"/>
        <v>56.759404991217572</v>
      </c>
      <c r="AL68" s="22">
        <f t="shared" ref="AL68:AL131" si="58">(AJ68+AK68)*0.475*44/12</f>
        <v>503.28141369303734</v>
      </c>
      <c r="AM68" s="62">
        <f t="shared" ref="AM68:AM131" si="59">AL68+(AD68+AE68)*44/12</f>
        <v>771.597870739364</v>
      </c>
      <c r="AN68" s="62">
        <f ca="1">AVERAGE(OFFSET($AM$3,0,0,'Données projet'!$E$10+1,1))-AVERAGE(OFFSET($H$3,0,0,'Données projet'!$E$10+1,1))</f>
        <v>447.04988989014134</v>
      </c>
      <c r="AO68" s="62">
        <f t="shared" si="36"/>
        <v>278.04061554501783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250.06800000000004</v>
      </c>
      <c r="BF68" s="14">
        <f t="shared" si="37"/>
        <v>60.600501798414548</v>
      </c>
      <c r="BG68" s="22">
        <f t="shared" ref="BG68:BG131" si="61">(BE68+BF68)*0.475*44/12</f>
        <v>541.08097396557207</v>
      </c>
      <c r="BH68" s="62">
        <f t="shared" ref="BH68:BH131" si="62">BG68+(AY68+AZ68)*44/12</f>
        <v>809.39743101189879</v>
      </c>
      <c r="BI68" s="62">
        <f ca="1">AVERAGE(OFFSET($BH$3,0,0,'Données projet'!$E$11+1,1))-AVERAGE(OFFSET($H$3,0,0,'Données projet'!$E$11+1,1))</f>
        <v>475.58735584427552</v>
      </c>
      <c r="BJ68" s="62">
        <f t="shared" si="38"/>
        <v>294.51413339056131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246</v>
      </c>
      <c r="BW68" s="13">
        <f>VLOOKUP(A68,'Données projet'!$A$113:$I$133,9,0)</f>
        <v>6</v>
      </c>
      <c r="BX68" s="13">
        <f t="array" ref="BX68">INDEX(BW:BW,MIN(IF(ISNUMBER(BW68:BW264),ROW(BW68:BW264),"")))</f>
        <v>6</v>
      </c>
      <c r="BY68" s="13">
        <f>IF('Données projet'!$A$114&gt;35,BY67+BX68-CG67,IF(A68&lt;'Données projet'!$A$114,$BV$205^A68,IF(A68='Données projet'!$A$114,'Données projet'!$B$114,BY67+BX68-CG67)))</f>
        <v>246.00000000000011</v>
      </c>
      <c r="BZ68" s="14">
        <f>BY68*VLOOKUP('Données projet'!$B$12,Paramètres!$A$1:$I$89,3,0)*VLOOKUP('Données projet'!$B$12,Paramètres!$A$1:$I$89,5,0)</f>
        <v>214.90560000000013</v>
      </c>
      <c r="CA68" s="14">
        <f t="shared" si="39"/>
        <v>53.006137800892375</v>
      </c>
      <c r="CB68" s="22">
        <f t="shared" ref="CB68:CB131" si="64">(BZ68+CA68)*0.475*44/12</f>
        <v>466.61294333655451</v>
      </c>
      <c r="CC68" s="62">
        <f t="shared" ref="CC68:CC131" si="65">CB68+(BT68+BU68)*44/12</f>
        <v>734.92940038288111</v>
      </c>
      <c r="CD68" s="62">
        <f ca="1">AVERAGE(OFFSET($CC$3,0,0,'Données projet'!$E$12+1,1))-AVERAGE(OFFSET($H$3,0,0,'Données projet'!$E$12+1,1))</f>
        <v>344.32696811748974</v>
      </c>
      <c r="CE68" s="62">
        <f t="shared" si="40"/>
        <v>411.51927518440766</v>
      </c>
      <c r="CF68" s="16">
        <f>IF(ISNA(VLOOKUP(A68,'Données projet'!$A$113:$I$133,3,0)),0,VLOOKUP(A68,'Données projet'!$A$113:$I$133,3,0))</f>
        <v>11</v>
      </c>
      <c r="CG68" s="16">
        <f>IF(ISNA(VLOOKUP(A68,'Données projet'!$A$113:$I$133,4,0)),0,VLOOKUP(A68,'Données projet'!$A$113:$I$133,4,0))</f>
        <v>23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3.9593209923852086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3.9593209923852086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289</v>
      </c>
      <c r="CU68" s="18">
        <f>CT68*VLOOKUP('Données projet'!$B$13,Paramètres!$A$1:$I$89,3,0)*VLOOKUP('Données projet'!$B$13,Paramètres!$A$1:$I$89,5,0)</f>
        <v>261.48719999999997</v>
      </c>
      <c r="CV68" s="14">
        <f t="shared" si="41"/>
        <v>63.039283586802391</v>
      </c>
      <c r="CW68" s="22">
        <f t="shared" ref="CW68:CW131" si="67">(CU68+CV68)*0.475*44/12</f>
        <v>565.21695891368086</v>
      </c>
      <c r="CX68" s="62">
        <f t="shared" ref="CX68:CX131" si="68">CW68+(CO68+CP68)*44/12</f>
        <v>833.53341596000746</v>
      </c>
      <c r="CY68" s="62">
        <f ca="1">AVERAGE(OFFSET($CX$3,0,0,'Données projet'!$E$13+1,1))-AVERAGE(OFFSET($H$3,0,0,'Données projet'!$E$13+1,1))</f>
        <v>473.14533251757302</v>
      </c>
      <c r="CZ68" s="62">
        <f t="shared" si="42"/>
        <v>299.82031908667142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0.90907734063999768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0.90907734063999768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>
        <f>DO68*VLOOKUP('Données projet'!$B$14,Paramètres!$A$1:$I$89,3,0)*VLOOKUP('Données projet'!$B$14,Paramètres!$A$1:$I$89,5,0)</f>
        <v>0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89.751456703373435</v>
      </c>
      <c r="DU68" s="62">
        <f t="shared" si="44"/>
        <v>433.35713950666889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33.172908636701926</v>
      </c>
      <c r="EB68" s="23">
        <f>EXP(-LN(2)/25)*EB67+(1-EXP(-LN(2)/25))/(LN(2)/25)*Calculateur!DW68*Calculateur!DY68*VLOOKUP('Données projet'!$B$14,Paramètres!$A$1:$I$89,3,0)*0.475*44/12</f>
        <v>6.7772732232361479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39.950181859938077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>
        <f>EJ68*VLOOKUP('Données projet'!$B$15,Paramètres!$A$1:$I$89,3,0)*VLOOKUP('Données projet'!$B$15,Paramètres!$A$1:$I$89,5,0)</f>
        <v>0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204.71144247550794</v>
      </c>
      <c r="EP68" s="62">
        <f t="shared" si="46"/>
        <v>409.91012463636184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49.40117722155334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1.4349346739929085E-3</v>
      </c>
      <c r="EY68" s="24">
        <f t="shared" ref="EY68:EY131" si="75">SUM(EV68:EX68)</f>
        <v>49.402612156227335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63.177215558089088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2.8000000000000003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10.266666666666667</v>
      </c>
      <c r="H69" s="70">
        <f t="shared" si="56"/>
        <v>188.90666666666664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16.142857142857142</v>
      </c>
      <c r="N69" s="14">
        <f>IF('Données projet'!$A$36&gt;35,N68+M69-V68,IF(A69&lt;'Données projet'!$A$36,$K$205^A69,IF(A69='Données projet'!$A$36,'Données projet'!$B$36,N68+M69-V68)))</f>
        <v>385.28571428571433</v>
      </c>
      <c r="O69" s="14">
        <f>N69*VLOOKUP('Données projet'!$B$9,Paramètres!$A$1:$I$89,3,0)*VLOOKUP('Données projet'!$B$9,Paramètres!$A$1:$I$89,5,0)</f>
        <v>180.3137142857143</v>
      </c>
      <c r="P69" s="14">
        <f t="shared" ref="P69:P132" si="87">EXP(-1.0587+0.8836*LN(O69)+0.284)</f>
        <v>45.391974740208404</v>
      </c>
      <c r="Q69" s="22">
        <f t="shared" si="54"/>
        <v>393.10407505348206</v>
      </c>
      <c r="R69" s="62">
        <f t="shared" si="55"/>
        <v>661.85451897403175</v>
      </c>
      <c r="S69" s="62">
        <f ca="1">AVERAGE(OFFSET($R$3,0,0,'Données projet'!$E$9+1,1))-AVERAGE(OFFSET($H$3,0,0,'Données projet'!$E$9+1,1))</f>
        <v>349.50936264852089</v>
      </c>
      <c r="T69" s="62">
        <f t="shared" ref="T69:T132" si="88">$T$3</f>
        <v>260.52733851266106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217.80720000000005</v>
      </c>
      <c r="AK69" s="14">
        <f t="shared" ref="AK69:AK132" si="89">EXP(-1.0587+0.8836*LN(AJ69)+0.284)</f>
        <v>53.638013973813976</v>
      </c>
      <c r="AL69" s="22">
        <f t="shared" si="58"/>
        <v>472.76708100439265</v>
      </c>
      <c r="AM69" s="62">
        <f t="shared" si="59"/>
        <v>741.51752492494234</v>
      </c>
      <c r="AN69" s="62">
        <f ca="1">AVERAGE(OFFSET($AM$3,0,0,'Données projet'!$E$10+1,1))-AVERAGE(OFFSET($H$3,0,0,'Données projet'!$E$10+1,1))</f>
        <v>447.04988989014134</v>
      </c>
      <c r="AO69" s="62">
        <f t="shared" ref="AO69:AO132" si="90">$AO$3</f>
        <v>278.04061554501783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234.56160000000003</v>
      </c>
      <c r="BF69" s="14">
        <f t="shared" ref="BF69:BF132" si="91">EXP(-1.0587+0.8836*LN(BE69)+0.284)</f>
        <v>57.267875919179374</v>
      </c>
      <c r="BG69" s="22">
        <f t="shared" si="61"/>
        <v>508.26967055923751</v>
      </c>
      <c r="BH69" s="62">
        <f t="shared" si="62"/>
        <v>777.02011447978725</v>
      </c>
      <c r="BI69" s="62">
        <f ca="1">AVERAGE(OFFSET($BH$3,0,0,'Données projet'!$E$11+1,1))-AVERAGE(OFFSET($H$3,0,0,'Données projet'!$E$11+1,1))</f>
        <v>475.58735584427552</v>
      </c>
      <c r="BJ69" s="62">
        <f t="shared" ref="BJ69:BJ132" si="92">$BJ$3</f>
        <v>294.51413339056131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</v>
      </c>
      <c r="BY69" s="13">
        <f>IF('Données projet'!$A$114&gt;35,BY68+BX69-CG68,IF(A69&lt;'Données projet'!$A$114,$BV$205^A69,IF(A69='Données projet'!$A$114,'Données projet'!$B$114,BY68+BX69-CG68)))</f>
        <v>228.2000000000001</v>
      </c>
      <c r="BZ69" s="14">
        <f>BY69*VLOOKUP('Données projet'!$B$12,Paramètres!$A$1:$I$89,3,0)*VLOOKUP('Données projet'!$B$12,Paramètres!$A$1:$I$89,5,0)</f>
        <v>199.35552000000013</v>
      </c>
      <c r="CA69" s="14">
        <f t="shared" ref="CA69:CA132" si="93">EXP(-1.0587+0.8836*LN(BZ69)+0.284)</f>
        <v>49.602503932783222</v>
      </c>
      <c r="CB69" s="22">
        <f t="shared" si="64"/>
        <v>433.60189168293101</v>
      </c>
      <c r="CC69" s="62">
        <f t="shared" si="65"/>
        <v>702.3523356034807</v>
      </c>
      <c r="CD69" s="62">
        <f ca="1">AVERAGE(OFFSET($CC$3,0,0,'Données projet'!$E$12+1,1))-AVERAGE(OFFSET($H$3,0,0,'Données projet'!$E$12+1,1))</f>
        <v>344.32696811748974</v>
      </c>
      <c r="CE69" s="62">
        <f t="shared" ref="CE69:CE132" si="94">$CE$3</f>
        <v>411.51927518440766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3.8510531516367932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3.8510531516367932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243.57216</v>
      </c>
      <c r="CV69" s="14">
        <f t="shared" ref="CV69:CV132" si="95">EXP(-1.0587+0.8836*LN(CU69)+0.284)</f>
        <v>59.207435995642292</v>
      </c>
      <c r="CW69" s="22">
        <f t="shared" si="67"/>
        <v>527.34112969241028</v>
      </c>
      <c r="CX69" s="62">
        <f t="shared" si="68"/>
        <v>796.09157361296002</v>
      </c>
      <c r="CY69" s="62">
        <f ca="1">AVERAGE(OFFSET($CX$3,0,0,'Données projet'!$E$13+1,1))-AVERAGE(OFFSET($H$3,0,0,'Données projet'!$E$13+1,1))</f>
        <v>473.14533251757302</v>
      </c>
      <c r="CZ69" s="62">
        <f t="shared" ref="CZ69:CZ132" si="96">$CZ$3</f>
        <v>299.82031908667142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0.88421857295389727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0.88421857295389727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>
        <f>DO69*VLOOKUP('Données projet'!$B$14,Paramètres!$A$1:$I$89,3,0)*VLOOKUP('Données projet'!$B$14,Paramètres!$A$1:$I$89,5,0)</f>
        <v>0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89.751456703373435</v>
      </c>
      <c r="DU69" s="62">
        <f t="shared" ref="DU69:DU132" si="98">$DU$3</f>
        <v>433.35713950666889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32.522408131812583</v>
      </c>
      <c r="EB69" s="23">
        <f>EXP(-LN(2)/25)*EB68+(1-EXP(-LN(2)/25))/(LN(2)/25)*Calculateur!DW69*Calculateur!DY69*VLOOKUP('Données projet'!$B$14,Paramètres!$A$1:$I$89,3,0)*0.475*44/12</f>
        <v>6.5919483305454465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39.114356462358032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>
        <f>EJ69*VLOOKUP('Données projet'!$B$15,Paramètres!$A$1:$I$89,3,0)*VLOOKUP('Données projet'!$B$15,Paramètres!$A$1:$I$89,5,0)</f>
        <v>0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204.71144247550794</v>
      </c>
      <c r="EP69" s="62">
        <f t="shared" ref="EP69:EP132" si="100">$EP$3</f>
        <v>409.91012463636184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48.432450267981523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1.0146520385400934E-3</v>
      </c>
      <c r="EY69" s="24">
        <f t="shared" si="75"/>
        <v>48.433464920020064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63.295575614695366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2.8000000000000003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10.266666666666667</v>
      </c>
      <c r="H70" s="70">
        <f t="shared" si="56"/>
        <v>188.90666666666664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16.142857142857142</v>
      </c>
      <c r="N70" s="14">
        <f>IF('Données projet'!$A$36&gt;35,N69+M70-V69,IF(A70&lt;'Données projet'!$A$36,$K$205^A70,IF(A70='Données projet'!$A$36,'Données projet'!$B$36,N69+M70-V69)))</f>
        <v>401.4285714285715</v>
      </c>
      <c r="O70" s="14">
        <f>N70*VLOOKUP('Données projet'!$B$9,Paramètres!$A$1:$I$89,3,0)*VLOOKUP('Données projet'!$B$9,Paramètres!$A$1:$I$89,5,0)</f>
        <v>187.86857142857147</v>
      </c>
      <c r="P70" s="14">
        <f t="shared" si="87"/>
        <v>47.068415303981318</v>
      </c>
      <c r="Q70" s="22">
        <f t="shared" si="54"/>
        <v>409.18191855919605</v>
      </c>
      <c r="R70" s="62">
        <f t="shared" si="55"/>
        <v>678.35882065195028</v>
      </c>
      <c r="S70" s="62">
        <f ca="1">AVERAGE(OFFSET($R$3,0,0,'Données projet'!$E$9+1,1))-AVERAGE(OFFSET($H$3,0,0,'Données projet'!$E$9+1,1))</f>
        <v>349.50936264852089</v>
      </c>
      <c r="T70" s="62">
        <f t="shared" si="88"/>
        <v>260.52733851266106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224.7024000000001</v>
      </c>
      <c r="AK70" s="14">
        <f t="shared" si="89"/>
        <v>55.135667706678312</v>
      </c>
      <c r="AL70" s="22">
        <f t="shared" si="58"/>
        <v>487.38463458913157</v>
      </c>
      <c r="AM70" s="62">
        <f t="shared" si="59"/>
        <v>756.56153668188585</v>
      </c>
      <c r="AN70" s="62">
        <f ca="1">AVERAGE(OFFSET($AM$3,0,0,'Données projet'!$E$10+1,1))-AVERAGE(OFFSET($H$3,0,0,'Données projet'!$E$10+1,1))</f>
        <v>447.04988989014134</v>
      </c>
      <c r="AO70" s="62">
        <f t="shared" si="90"/>
        <v>278.04061554501783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241.98720000000006</v>
      </c>
      <c r="BF70" s="14">
        <f t="shared" si="91"/>
        <v>58.866880837322675</v>
      </c>
      <c r="BG70" s="22">
        <f t="shared" si="61"/>
        <v>523.98752412500369</v>
      </c>
      <c r="BH70" s="62">
        <f t="shared" si="62"/>
        <v>793.16442621775786</v>
      </c>
      <c r="BI70" s="62">
        <f ca="1">AVERAGE(OFFSET($BH$3,0,0,'Données projet'!$E$11+1,1))-AVERAGE(OFFSET($H$3,0,0,'Données projet'!$E$11+1,1))</f>
        <v>475.58735584427552</v>
      </c>
      <c r="BJ70" s="62">
        <f t="shared" si="92"/>
        <v>294.51413339056131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</v>
      </c>
      <c r="BY70" s="13">
        <f>IF('Données projet'!$A$114&gt;35,BY69+BX70-CG69,IF(A70&lt;'Données projet'!$A$114,$BV$205^A70,IF(A70='Données projet'!$A$114,'Données projet'!$B$114,BY69+BX70-CG69)))</f>
        <v>233.40000000000009</v>
      </c>
      <c r="BZ70" s="14">
        <f>BY70*VLOOKUP('Données projet'!$B$12,Paramètres!$A$1:$I$89,3,0)*VLOOKUP('Données projet'!$B$12,Paramètres!$A$1:$I$89,5,0)</f>
        <v>203.8982400000001</v>
      </c>
      <c r="CA70" s="14">
        <f t="shared" si="93"/>
        <v>50.599918019430213</v>
      </c>
      <c r="CB70" s="22">
        <f t="shared" si="64"/>
        <v>443.25095855050785</v>
      </c>
      <c r="CC70" s="62">
        <f t="shared" si="65"/>
        <v>712.42786064326208</v>
      </c>
      <c r="CD70" s="62">
        <f ca="1">AVERAGE(OFFSET($CC$3,0,0,'Données projet'!$E$12+1,1))-AVERAGE(OFFSET($H$3,0,0,'Données projet'!$E$12+1,1))</f>
        <v>344.32696811748974</v>
      </c>
      <c r="CE70" s="62">
        <f t="shared" si="94"/>
        <v>411.51927518440766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3.7457459006872016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3.7457459006872016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250.99151999999995</v>
      </c>
      <c r="CV70" s="14">
        <f t="shared" si="95"/>
        <v>60.798211000769406</v>
      </c>
      <c r="CW70" s="22">
        <f t="shared" si="67"/>
        <v>543.03378149300659</v>
      </c>
      <c r="CX70" s="62">
        <f t="shared" si="68"/>
        <v>812.21068358576076</v>
      </c>
      <c r="CY70" s="62">
        <f ca="1">AVERAGE(OFFSET($CX$3,0,0,'Données projet'!$E$13+1,1))-AVERAGE(OFFSET($H$3,0,0,'Données projet'!$E$13+1,1))</f>
        <v>473.14533251757302</v>
      </c>
      <c r="CZ70" s="62">
        <f t="shared" si="96"/>
        <v>299.82031908667142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0.8600395695774391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0.8600395695774391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>
        <f>DO70*VLOOKUP('Données projet'!$B$14,Paramètres!$A$1:$I$89,3,0)*VLOOKUP('Données projet'!$B$14,Paramètres!$A$1:$I$89,5,0)</f>
        <v>0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89.751456703373435</v>
      </c>
      <c r="DU70" s="62">
        <f t="shared" si="98"/>
        <v>433.35713950666889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31.884663545057986</v>
      </c>
      <c r="EB70" s="23">
        <f>EXP(-LN(2)/25)*EB69+(1-EXP(-LN(2)/25))/(LN(2)/25)*Calculateur!DW70*Calculateur!DY70*VLOOKUP('Données projet'!$B$14,Paramètres!$A$1:$I$89,3,0)*0.475*44/12</f>
        <v>6.4116911567911847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38.296354701849168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>
        <f>EJ70*VLOOKUP('Données projet'!$B$15,Paramètres!$A$1:$I$89,3,0)*VLOOKUP('Données projet'!$B$15,Paramètres!$A$1:$I$89,5,0)</f>
        <v>0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204.71144247550794</v>
      </c>
      <c r="EP70" s="62">
        <f t="shared" si="100"/>
        <v>409.91012463636184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47.482719459104146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7.1746733699645424E-4</v>
      </c>
      <c r="EY70" s="24">
        <f t="shared" si="75"/>
        <v>47.483436926441144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63.411882388932966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2.8000000000000003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10.266666666666667</v>
      </c>
      <c r="H71" s="70">
        <f t="shared" si="56"/>
        <v>188.90666666666664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16.142857142857142</v>
      </c>
      <c r="N71" s="14">
        <f>IF('Données projet'!$A$36&gt;35,N70+M71-V70,IF(A71&lt;'Données projet'!$A$36,$K$205^A71,IF(A71='Données projet'!$A$36,'Données projet'!$B$36,N70+M71-V70)))</f>
        <v>417.57142857142867</v>
      </c>
      <c r="O71" s="14">
        <f>N71*VLOOKUP('Données projet'!$B$9,Paramètres!$A$1:$I$89,3,0)*VLOOKUP('Données projet'!$B$9,Paramètres!$A$1:$I$89,5,0)</f>
        <v>195.42342857142864</v>
      </c>
      <c r="P71" s="14">
        <f t="shared" si="87"/>
        <v>48.737024802067147</v>
      </c>
      <c r="Q71" s="22">
        <f t="shared" si="54"/>
        <v>425.24612295883844</v>
      </c>
      <c r="R71" s="62">
        <f t="shared" si="55"/>
        <v>694.84208512792702</v>
      </c>
      <c r="S71" s="62">
        <f ca="1">AVERAGE(OFFSET($R$3,0,0,'Données projet'!$E$9+1,1))-AVERAGE(OFFSET($H$3,0,0,'Données projet'!$E$9+1,1))</f>
        <v>349.50936264852089</v>
      </c>
      <c r="T71" s="62">
        <f t="shared" si="88"/>
        <v>260.52733851266106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231.59760000000006</v>
      </c>
      <c r="AK71" s="14">
        <f t="shared" si="89"/>
        <v>56.627980714948151</v>
      </c>
      <c r="AL71" s="22">
        <f t="shared" si="58"/>
        <v>501.99288641186803</v>
      </c>
      <c r="AM71" s="62">
        <f t="shared" si="59"/>
        <v>771.58884858095666</v>
      </c>
      <c r="AN71" s="62">
        <f ca="1">AVERAGE(OFFSET($AM$3,0,0,'Données projet'!$E$10+1,1))-AVERAGE(OFFSET($H$3,0,0,'Données projet'!$E$10+1,1))</f>
        <v>447.04988989014134</v>
      </c>
      <c r="AO71" s="62">
        <f t="shared" si="90"/>
        <v>278.04061554501783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249.41280000000003</v>
      </c>
      <c r="BF71" s="14">
        <f t="shared" si="91"/>
        <v>60.460183606360637</v>
      </c>
      <c r="BG71" s="22">
        <f t="shared" si="61"/>
        <v>539.69544644774476</v>
      </c>
      <c r="BH71" s="62">
        <f t="shared" si="62"/>
        <v>809.29140861683345</v>
      </c>
      <c r="BI71" s="62">
        <f ca="1">AVERAGE(OFFSET($BH$3,0,0,'Données projet'!$E$11+1,1))-AVERAGE(OFFSET($H$3,0,0,'Données projet'!$E$11+1,1))</f>
        <v>475.58735584427552</v>
      </c>
      <c r="BJ71" s="62">
        <f t="shared" si="92"/>
        <v>294.51413339056131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</v>
      </c>
      <c r="BY71" s="13">
        <f>IF('Données projet'!$A$114&gt;35,BY70+BX71-CG70,IF(A71&lt;'Données projet'!$A$114,$BV$205^A71,IF(A71='Données projet'!$A$114,'Données projet'!$B$114,BY70+BX71-CG70)))</f>
        <v>238.60000000000008</v>
      </c>
      <c r="BZ71" s="14">
        <f>BY71*VLOOKUP('Données projet'!$B$12,Paramètres!$A$1:$I$89,3,0)*VLOOKUP('Données projet'!$B$12,Paramètres!$A$1:$I$89,5,0)</f>
        <v>208.4409600000001</v>
      </c>
      <c r="CA71" s="14">
        <f t="shared" si="93"/>
        <v>51.594748621124211</v>
      </c>
      <c r="CB71" s="22">
        <f t="shared" si="64"/>
        <v>452.89552584845813</v>
      </c>
      <c r="CC71" s="62">
        <f t="shared" si="65"/>
        <v>722.49148801754677</v>
      </c>
      <c r="CD71" s="62">
        <f ca="1">AVERAGE(OFFSET($CC$3,0,0,'Données projet'!$E$12+1,1))-AVERAGE(OFFSET($H$3,0,0,'Données projet'!$E$12+1,1))</f>
        <v>344.32696811748974</v>
      </c>
      <c r="CE71" s="62">
        <f t="shared" si="94"/>
        <v>411.51927518440766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3.6433182820526944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3.6433182820526944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258.41087999999996</v>
      </c>
      <c r="CV71" s="14">
        <f t="shared" si="95"/>
        <v>62.383521020316756</v>
      </c>
      <c r="CW71" s="22">
        <f t="shared" si="67"/>
        <v>558.71691511038489</v>
      </c>
      <c r="CX71" s="62">
        <f t="shared" si="68"/>
        <v>828.31287727947347</v>
      </c>
      <c r="CY71" s="62">
        <f ca="1">AVERAGE(OFFSET($CX$3,0,0,'Données projet'!$E$13+1,1))-AVERAGE(OFFSET($H$3,0,0,'Données projet'!$E$13+1,1))</f>
        <v>473.14533251757302</v>
      </c>
      <c r="CZ71" s="62">
        <f t="shared" si="96"/>
        <v>299.82031908667142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0.83652174231982868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0.83652174231982868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>
        <f>DO71*VLOOKUP('Données projet'!$B$14,Paramètres!$A$1:$I$89,3,0)*VLOOKUP('Données projet'!$B$14,Paramètres!$A$1:$I$89,5,0)</f>
        <v>0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89.751456703373435</v>
      </c>
      <c r="DU71" s="62">
        <f t="shared" si="98"/>
        <v>433.35713950666889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31.259424740663857</v>
      </c>
      <c r="EB71" s="23">
        <f>EXP(-LN(2)/25)*EB70+(1-EXP(-LN(2)/25))/(LN(2)/25)*Calculateur!DW71*Calculateur!DY71*VLOOKUP('Données projet'!$B$14,Paramètres!$A$1:$I$89,3,0)*0.475*44/12</f>
        <v>6.236363124932546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37.495787865596405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>
        <f>EJ71*VLOOKUP('Données projet'!$B$15,Paramètres!$A$1:$I$89,3,0)*VLOOKUP('Données projet'!$B$15,Paramètres!$A$1:$I$89,5,0)</f>
        <v>0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204.71144247550794</v>
      </c>
      <c r="EP71" s="62">
        <f t="shared" si="100"/>
        <v>409.91012463636184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46.551612292110264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5.0732601927004671E-4</v>
      </c>
      <c r="EY71" s="24">
        <f t="shared" si="75"/>
        <v>46.552119618129531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63.526171500660539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2.8000000000000003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10.266666666666667</v>
      </c>
      <c r="H72" s="70">
        <f t="shared" si="56"/>
        <v>188.90666666666664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16.142857142857142</v>
      </c>
      <c r="N72" s="14">
        <f>IF('Données projet'!$A$36&gt;35,N71+M72-V71,IF(A72&lt;'Données projet'!$A$36,$K$205^A72,IF(A72='Données projet'!$A$36,'Données projet'!$B$36,N71+M72-V71)))</f>
        <v>433.71428571428584</v>
      </c>
      <c r="O72" s="14">
        <f>N72*VLOOKUP('Données projet'!$B$9,Paramètres!$A$1:$I$89,3,0)*VLOOKUP('Données projet'!$B$9,Paramètres!$A$1:$I$89,5,0)</f>
        <v>202.97828571428576</v>
      </c>
      <c r="P72" s="14">
        <f t="shared" si="87"/>
        <v>50.398140625785402</v>
      </c>
      <c r="Q72" s="22">
        <f t="shared" si="54"/>
        <v>441.29727587562394</v>
      </c>
      <c r="R72" s="62">
        <f t="shared" si="55"/>
        <v>711.30502836560061</v>
      </c>
      <c r="S72" s="62">
        <f ca="1">AVERAGE(OFFSET($R$3,0,0,'Données projet'!$E$9+1,1))-AVERAGE(OFFSET($H$3,0,0,'Données projet'!$E$9+1,1))</f>
        <v>349.50936264852089</v>
      </c>
      <c r="T72" s="62">
        <f t="shared" si="88"/>
        <v>260.52733851266106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238.4928000000001</v>
      </c>
      <c r="AK72" s="14">
        <f t="shared" si="89"/>
        <v>58.115130258576592</v>
      </c>
      <c r="AL72" s="22">
        <f t="shared" si="58"/>
        <v>516.59214520035437</v>
      </c>
      <c r="AM72" s="62">
        <f t="shared" si="59"/>
        <v>786.59989769033109</v>
      </c>
      <c r="AN72" s="62">
        <f ca="1">AVERAGE(OFFSET($AM$3,0,0,'Données projet'!$E$10+1,1))-AVERAGE(OFFSET($H$3,0,0,'Données projet'!$E$10+1,1))</f>
        <v>447.04988989014134</v>
      </c>
      <c r="AO72" s="62">
        <f t="shared" si="90"/>
        <v>278.04061554501783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256.83840000000009</v>
      </c>
      <c r="BF72" s="14">
        <f t="shared" si="91"/>
        <v>62.047973482014044</v>
      </c>
      <c r="BG72" s="22">
        <f t="shared" si="61"/>
        <v>555.39376714784134</v>
      </c>
      <c r="BH72" s="62">
        <f t="shared" si="62"/>
        <v>825.40151963781796</v>
      </c>
      <c r="BI72" s="62">
        <f ca="1">AVERAGE(OFFSET($BH$3,0,0,'Données projet'!$E$11+1,1))-AVERAGE(OFFSET($H$3,0,0,'Données projet'!$E$11+1,1))</f>
        <v>475.58735584427552</v>
      </c>
      <c r="BJ72" s="62">
        <f t="shared" si="92"/>
        <v>294.51413339056131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</v>
      </c>
      <c r="BY72" s="13">
        <f>IF('Données projet'!$A$114&gt;35,BY71+BX72-CG71,IF(A72&lt;'Données projet'!$A$114,$BV$205^A72,IF(A72='Données projet'!$A$114,'Données projet'!$B$114,BY71+BX72-CG71)))</f>
        <v>243.80000000000007</v>
      </c>
      <c r="BZ72" s="14">
        <f>BY72*VLOOKUP('Données projet'!$B$12,Paramètres!$A$1:$I$89,3,0)*VLOOKUP('Données projet'!$B$12,Paramètres!$A$1:$I$89,5,0)</f>
        <v>212.98368000000008</v>
      </c>
      <c r="CA72" s="14">
        <f t="shared" si="93"/>
        <v>52.587058525970363</v>
      </c>
      <c r="CB72" s="22">
        <f t="shared" si="64"/>
        <v>462.53570293273191</v>
      </c>
      <c r="CC72" s="62">
        <f t="shared" si="65"/>
        <v>732.54345542270858</v>
      </c>
      <c r="CD72" s="62">
        <f ca="1">AVERAGE(OFFSET($CC$3,0,0,'Données projet'!$E$12+1,1))-AVERAGE(OFFSET($H$3,0,0,'Données projet'!$E$12+1,1))</f>
        <v>344.32696811748974</v>
      </c>
      <c r="CE72" s="62">
        <f t="shared" si="94"/>
        <v>411.51927518440766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3.543691552036182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3.543691552036182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265.83023999999995</v>
      </c>
      <c r="CV72" s="14">
        <f t="shared" si="95"/>
        <v>63.963540982526439</v>
      </c>
      <c r="CW72" s="22">
        <f t="shared" si="67"/>
        <v>574.39083521123348</v>
      </c>
      <c r="CX72" s="62">
        <f t="shared" si="68"/>
        <v>844.39858770121009</v>
      </c>
      <c r="CY72" s="62">
        <f ca="1">AVERAGE(OFFSET($CX$3,0,0,'Données projet'!$E$13+1,1))-AVERAGE(OFFSET($H$3,0,0,'Données projet'!$E$13+1,1))</f>
        <v>473.14533251757302</v>
      </c>
      <c r="CZ72" s="62">
        <f t="shared" si="96"/>
        <v>299.82031908667142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0.81364701128532646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0.81364701128532646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>
        <f>DO72*VLOOKUP('Données projet'!$B$14,Paramètres!$A$1:$I$89,3,0)*VLOOKUP('Données projet'!$B$14,Paramètres!$A$1:$I$89,5,0)</f>
        <v>0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89.751456703373435</v>
      </c>
      <c r="DU72" s="62">
        <f t="shared" si="98"/>
        <v>433.35713950666889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30.646446487865884</v>
      </c>
      <c r="EB72" s="23">
        <f>EXP(-LN(2)/25)*EB71+(1-EXP(-LN(2)/25))/(LN(2)/25)*Calculateur!DW72*Calculateur!DY72*VLOOKUP('Données projet'!$B$14,Paramètres!$A$1:$I$89,3,0)*0.475*44/12</f>
        <v>6.0658294473251821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36.712275935191066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>
        <f>EJ72*VLOOKUP('Données projet'!$B$15,Paramètres!$A$1:$I$89,3,0)*VLOOKUP('Données projet'!$B$15,Paramètres!$A$1:$I$89,5,0)</f>
        <v>0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204.71144247550794</v>
      </c>
      <c r="EP72" s="62">
        <f t="shared" si="100"/>
        <v>409.91012463636184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45.638763568741837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3.5873366849822712E-4</v>
      </c>
      <c r="EY72" s="24">
        <f t="shared" si="75"/>
        <v>45.639122302410335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63.638477951811822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2.8000000000000003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10.266666666666667</v>
      </c>
      <c r="H73" s="70">
        <f t="shared" si="56"/>
        <v>188.90666666666664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16.142857142857142</v>
      </c>
      <c r="N73" s="14">
        <f>IF('Données projet'!$A$36&gt;35,N72+M73-V72,IF(A73&lt;'Données projet'!$A$36,$K$205^A73,IF(A73='Données projet'!$A$36,'Données projet'!$B$36,N72+M73-V72)))</f>
        <v>449.857142857143</v>
      </c>
      <c r="O73" s="14">
        <f>N73*VLOOKUP('Données projet'!$B$9,Paramètres!$A$1:$I$89,3,0)*VLOOKUP('Données projet'!$B$9,Paramètres!$A$1:$I$89,5,0)</f>
        <v>210.53314285714293</v>
      </c>
      <c r="P73" s="14">
        <f t="shared" si="87"/>
        <v>52.052073628089957</v>
      </c>
      <c r="Q73" s="22">
        <f t="shared" si="54"/>
        <v>457.33591871178055</v>
      </c>
      <c r="R73" s="62">
        <f t="shared" si="55"/>
        <v>727.74831788120309</v>
      </c>
      <c r="S73" s="62">
        <f ca="1">AVERAGE(OFFSET($R$3,0,0,'Données projet'!$E$9+1,1))-AVERAGE(OFFSET($H$3,0,0,'Données projet'!$E$9+1,1))</f>
        <v>349.50936264852089</v>
      </c>
      <c r="T73" s="62">
        <f t="shared" si="88"/>
        <v>260.52733851266106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245.38800000000012</v>
      </c>
      <c r="AK73" s="14">
        <f t="shared" si="89"/>
        <v>59.597282764919569</v>
      </c>
      <c r="AL73" s="22">
        <f t="shared" si="58"/>
        <v>531.18270081556841</v>
      </c>
      <c r="AM73" s="62">
        <f t="shared" si="59"/>
        <v>801.59509998499084</v>
      </c>
      <c r="AN73" s="62">
        <f ca="1">AVERAGE(OFFSET($AM$3,0,0,'Données projet'!$E$10+1,1))-AVERAGE(OFFSET($H$3,0,0,'Données projet'!$E$10+1,1))</f>
        <v>447.04988989014134</v>
      </c>
      <c r="AO73" s="62">
        <f t="shared" si="90"/>
        <v>278.04061554501783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264.26400000000012</v>
      </c>
      <c r="BF73" s="14">
        <f t="shared" si="91"/>
        <v>63.630428154328932</v>
      </c>
      <c r="BG73" s="22">
        <f t="shared" si="61"/>
        <v>571.08279570212301</v>
      </c>
      <c r="BH73" s="62">
        <f t="shared" si="62"/>
        <v>841.49519487154544</v>
      </c>
      <c r="BI73" s="62">
        <f ca="1">AVERAGE(OFFSET($BH$3,0,0,'Données projet'!$E$11+1,1))-AVERAGE(OFFSET($H$3,0,0,'Données projet'!$E$11+1,1))</f>
        <v>475.58735584427552</v>
      </c>
      <c r="BJ73" s="62">
        <f t="shared" si="92"/>
        <v>294.51413339056131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249</v>
      </c>
      <c r="BW73" s="13">
        <f>VLOOKUP(A73,'Données projet'!$A$113:$I$133,9,0)</f>
        <v>5.2</v>
      </c>
      <c r="BX73" s="13">
        <f t="array" ref="BX73">INDEX(BW:BW,MIN(IF(ISNUMBER(BW73:BW269),ROW(BW73:BW269),"")))</f>
        <v>5.2</v>
      </c>
      <c r="BY73" s="13">
        <f>IF('Données projet'!$A$114&gt;35,BY72+BX73-CG72,IF(A73&lt;'Données projet'!$A$114,$BV$205^A73,IF(A73='Données projet'!$A$114,'Données projet'!$B$114,BY72+BX73-CG72)))</f>
        <v>249.00000000000006</v>
      </c>
      <c r="BZ73" s="14">
        <f>BY73*VLOOKUP('Données projet'!$B$12,Paramètres!$A$1:$I$89,3,0)*VLOOKUP('Données projet'!$B$12,Paramètres!$A$1:$I$89,5,0)</f>
        <v>217.52640000000008</v>
      </c>
      <c r="CA73" s="14">
        <f t="shared" si="93"/>
        <v>53.576907690651254</v>
      </c>
      <c r="CB73" s="22">
        <f t="shared" si="64"/>
        <v>472.17159422788433</v>
      </c>
      <c r="CC73" s="62">
        <f t="shared" si="65"/>
        <v>742.58399339730681</v>
      </c>
      <c r="CD73" s="62">
        <f ca="1">AVERAGE(OFFSET($CC$3,0,0,'Données projet'!$E$12+1,1))-AVERAGE(OFFSET($H$3,0,0,'Données projet'!$E$12+1,1))</f>
        <v>344.32696811748974</v>
      </c>
      <c r="CE73" s="62">
        <f t="shared" si="94"/>
        <v>411.51927518440766</v>
      </c>
      <c r="CF73" s="16">
        <f>IF(ISNA(VLOOKUP(A73,'Données projet'!$A$113:$I$133,3,0)),0,VLOOKUP(A73,'Données projet'!$A$113:$I$133,3,0))</f>
        <v>12</v>
      </c>
      <c r="CG73" s="16">
        <f>IF(ISNA(VLOOKUP(A73,'Données projet'!$A$113:$I$133,4,0)),0,VLOOKUP(A73,'Données projet'!$A$113:$I$133,4,0))</f>
        <v>249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3.4467891201911129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3.4467891201911129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273.24959999999999</v>
      </c>
      <c r="CV73" s="14">
        <f t="shared" si="95"/>
        <v>65.538435495514321</v>
      </c>
      <c r="CW73" s="22">
        <f t="shared" si="67"/>
        <v>590.05582848802067</v>
      </c>
      <c r="CX73" s="62">
        <f t="shared" si="68"/>
        <v>860.46822765744309</v>
      </c>
      <c r="CY73" s="62">
        <f ca="1">AVERAGE(OFFSET($CX$3,0,0,'Données projet'!$E$13+1,1))-AVERAGE(OFFSET($H$3,0,0,'Données projet'!$E$13+1,1))</f>
        <v>473.14533251757302</v>
      </c>
      <c r="CZ73" s="62">
        <f t="shared" si="96"/>
        <v>299.82031908667142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0.79139779097389251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0.79139779097389251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>
        <f>DO73*VLOOKUP('Données projet'!$B$14,Paramètres!$A$1:$I$89,3,0)*VLOOKUP('Données projet'!$B$14,Paramètres!$A$1:$I$89,5,0)</f>
        <v>0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89.751456703373435</v>
      </c>
      <c r="DU73" s="62">
        <f t="shared" si="98"/>
        <v>433.35713950666889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30.045488364725461</v>
      </c>
      <c r="EB73" s="23">
        <f>EXP(-LN(2)/25)*EB72+(1-EXP(-LN(2)/25))/(LN(2)/25)*Calculateur!DW73*Calculateur!DY73*VLOOKUP('Données projet'!$B$14,Paramètres!$A$1:$I$89,3,0)*0.475*44/12</f>
        <v>5.899959022099968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35.945447386825428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>
        <f>EJ73*VLOOKUP('Données projet'!$B$15,Paramètres!$A$1:$I$89,3,0)*VLOOKUP('Données projet'!$B$15,Paramètres!$A$1:$I$89,5,0)</f>
        <v>0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204.71144247550794</v>
      </c>
      <c r="EP73" s="62">
        <f t="shared" si="100"/>
        <v>409.91012463636184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44.743815252055924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2.5366300963502336E-4</v>
      </c>
      <c r="EY73" s="24">
        <f t="shared" si="75"/>
        <v>44.744068915065561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63.748836137115219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2.8000000000000003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10.266666666666667</v>
      </c>
      <c r="H74" s="70">
        <f t="shared" si="56"/>
        <v>188.90666666666664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466</v>
      </c>
      <c r="L74" s="13">
        <f>VLOOKUP(A74,'Données projet'!$A$35:$I$55,9,0)</f>
        <v>16.142857142857142</v>
      </c>
      <c r="M74" s="13">
        <f t="array" ref="M74">INDEX(L:L,MIN(IF(ISNUMBER(L74:L270),ROW(L74:L270),"")))</f>
        <v>16.142857142857142</v>
      </c>
      <c r="N74" s="14">
        <f>IF('Données projet'!$A$36&gt;35,N73+M74-V73,IF(A74&lt;'Données projet'!$A$36,$K$205^A74,IF(A74='Données projet'!$A$36,'Données projet'!$B$36,N73+M74-V73)))</f>
        <v>466.00000000000017</v>
      </c>
      <c r="O74" s="14">
        <f>N74*VLOOKUP('Données projet'!$B$9,Paramètres!$A$1:$I$89,3,0)*VLOOKUP('Données projet'!$B$9,Paramètres!$A$1:$I$89,5,0)</f>
        <v>218.08800000000008</v>
      </c>
      <c r="P74" s="14">
        <f t="shared" si="87"/>
        <v>53.699111087780629</v>
      </c>
      <c r="Q74" s="22">
        <f t="shared" si="54"/>
        <v>473.36255181121805</v>
      </c>
      <c r="R74" s="62">
        <f t="shared" si="55"/>
        <v>744.17257794485249</v>
      </c>
      <c r="S74" s="62">
        <f ca="1">AVERAGE(OFFSET($R$3,0,0,'Données projet'!$E$9+1,1))-AVERAGE(OFFSET($H$3,0,0,'Données projet'!$E$9+1,1))</f>
        <v>349.50936264852089</v>
      </c>
      <c r="T74" s="62">
        <f t="shared" si="88"/>
        <v>260.52733851266106</v>
      </c>
      <c r="U74" s="16">
        <f>IF(ISNA(VLOOKUP(A74,'Données projet'!$A$35:$I$55,3,0)),0,VLOOKUP(A74,'Données projet'!$A$35:$I$55,3,0))</f>
        <v>11</v>
      </c>
      <c r="V74" s="16">
        <f>IF(ISNA(VLOOKUP(A74,'Données projet'!$A$35:$I$55,4,0)),0,VLOOKUP(A74,'Données projet'!$A$35:$I$55,4,0))</f>
        <v>91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230.5836000000001</v>
      </c>
      <c r="AK74" s="14">
        <f t="shared" si="89"/>
        <v>56.408850878328018</v>
      </c>
      <c r="AL74" s="22">
        <f t="shared" si="58"/>
        <v>499.84518527975473</v>
      </c>
      <c r="AM74" s="62">
        <f t="shared" si="59"/>
        <v>770.65521141338911</v>
      </c>
      <c r="AN74" s="62">
        <f ca="1">AVERAGE(OFFSET($AM$3,0,0,'Données projet'!$E$10+1,1))-AVERAGE(OFFSET($H$3,0,0,'Données projet'!$E$10+1,1))</f>
        <v>447.04988989014134</v>
      </c>
      <c r="AO74" s="62">
        <f t="shared" si="90"/>
        <v>278.04061554501783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248.32080000000011</v>
      </c>
      <c r="BF74" s="14">
        <f t="shared" si="91"/>
        <v>60.226224528385117</v>
      </c>
      <c r="BG74" s="22">
        <f t="shared" si="61"/>
        <v>537.38606772027094</v>
      </c>
      <c r="BH74" s="62">
        <f t="shared" si="62"/>
        <v>808.19609385390527</v>
      </c>
      <c r="BI74" s="62">
        <f ca="1">AVERAGE(OFFSET($BH$3,0,0,'Données projet'!$E$11+1,1))-AVERAGE(OFFSET($H$3,0,0,'Données projet'!$E$11+1,1))</f>
        <v>475.58735584427552</v>
      </c>
      <c r="BJ74" s="62">
        <f t="shared" si="92"/>
        <v>294.51413339056131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4.9658410716801891E-14</v>
      </c>
      <c r="CA74" s="14">
        <f t="shared" si="93"/>
        <v>8.0934058173791862E-13</v>
      </c>
      <c r="CB74" s="22">
        <f t="shared" si="64"/>
        <v>1.4960899118586383E-12</v>
      </c>
      <c r="CC74" s="62">
        <f t="shared" si="65"/>
        <v>270.81002613363586</v>
      </c>
      <c r="CD74" s="62">
        <f ca="1">AVERAGE(OFFSET($CC$3,0,0,'Données projet'!$E$12+1,1))-AVERAGE(OFFSET($H$3,0,0,'Données projet'!$E$12+1,1))</f>
        <v>344.32696811748974</v>
      </c>
      <c r="CE74" s="62">
        <f t="shared" si="94"/>
        <v>411.51927518440766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3.3525364904407247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3.3525364904407247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281.59999999999997</v>
      </c>
      <c r="CU74" s="18">
        <f>CT74*VLOOKUP('Données projet'!$B$13,Paramètres!$A$1:$I$89,3,0)*VLOOKUP('Données projet'!$B$13,Paramètres!$A$1:$I$89,5,0)</f>
        <v>254.79167999999996</v>
      </c>
      <c r="CV74" s="14">
        <f t="shared" si="95"/>
        <v>61.610870508448471</v>
      </c>
      <c r="CW74" s="22">
        <f t="shared" si="67"/>
        <v>551.067775468881</v>
      </c>
      <c r="CX74" s="62">
        <f t="shared" si="68"/>
        <v>821.87780160251532</v>
      </c>
      <c r="CY74" s="62">
        <f ca="1">AVERAGE(OFFSET($CX$3,0,0,'Données projet'!$E$13+1,1))-AVERAGE(OFFSET($H$3,0,0,'Données projet'!$E$13+1,1))</f>
        <v>473.14533251757302</v>
      </c>
      <c r="CZ74" s="62">
        <f t="shared" si="96"/>
        <v>299.82031908667142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0.76975697676191035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0.76975697676191035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>
        <f>DO74*VLOOKUP('Données projet'!$B$14,Paramètres!$A$1:$I$89,3,0)*VLOOKUP('Données projet'!$B$14,Paramètres!$A$1:$I$89,5,0)</f>
        <v>0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89.751456703373435</v>
      </c>
      <c r="DU74" s="62">
        <f t="shared" si="98"/>
        <v>433.35713950666889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29.456314663831563</v>
      </c>
      <c r="EB74" s="23">
        <f>EXP(-LN(2)/25)*EB73+(1-EXP(-LN(2)/25))/(LN(2)/25)*Calculateur!DW74*Calculateur!DY74*VLOOKUP('Données projet'!$B$14,Paramètres!$A$1:$I$89,3,0)*0.475*44/12</f>
        <v>5.7386243323752844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35.194938996206844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>
        <f>EJ74*VLOOKUP('Données projet'!$B$15,Paramètres!$A$1:$I$89,3,0)*VLOOKUP('Données projet'!$B$15,Paramètres!$A$1:$I$89,5,0)</f>
        <v>0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204.71144247550794</v>
      </c>
      <c r="EP74" s="62">
        <f t="shared" si="100"/>
        <v>409.91012463636184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43.866416325995644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1.7936683424911356E-4</v>
      </c>
      <c r="EY74" s="24">
        <f t="shared" si="75"/>
        <v>43.86659569282989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63.857279854627564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2.8000000000000003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10.266666666666667</v>
      </c>
      <c r="H75" s="70">
        <f t="shared" si="56"/>
        <v>188.90666666666664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390</v>
      </c>
      <c r="L75" s="13">
        <f>VLOOKUP(A75,'Données projet'!$A$35:$I$55,9,0)</f>
        <v>15</v>
      </c>
      <c r="M75" s="13">
        <f t="array" ref="M75">INDEX(L:L,MIN(IF(ISNUMBER(L75:L271),ROW(L75:L271),"")))</f>
        <v>15</v>
      </c>
      <c r="N75" s="14">
        <f>IF('Données projet'!$A$36&gt;35,N74+M75-V74,IF(A75&lt;'Données projet'!$A$36,$K$205^A75,IF(A75='Données projet'!$A$36,'Données projet'!$B$36,N74+M75-V74)))</f>
        <v>390.00000000000017</v>
      </c>
      <c r="O75" s="14">
        <f>N75*VLOOKUP('Données projet'!$B$9,Paramètres!$A$1:$I$89,3,0)*VLOOKUP('Données projet'!$B$9,Paramètres!$A$1:$I$89,5,0)</f>
        <v>182.5200000000001</v>
      </c>
      <c r="P75" s="14">
        <f t="shared" si="87"/>
        <v>45.882385280285632</v>
      </c>
      <c r="Q75" s="22">
        <f t="shared" si="54"/>
        <v>397.80082102983096</v>
      </c>
      <c r="R75" s="62">
        <f t="shared" si="55"/>
        <v>669.00157618880894</v>
      </c>
      <c r="S75" s="62">
        <f ca="1">AVERAGE(OFFSET($R$3,0,0,'Données projet'!$E$9+1,1))-AVERAGE(OFFSET($H$3,0,0,'Données projet'!$E$9+1,1))</f>
        <v>349.50936264852089</v>
      </c>
      <c r="T75" s="62">
        <f t="shared" si="88"/>
        <v>260.52733851266106</v>
      </c>
      <c r="U75" s="16">
        <f>IF(ISNA(VLOOKUP(A75,'Données projet'!$A$35:$I$55,3,0)),0,VLOOKUP(A75,'Données projet'!$A$35:$I$55,3,0))</f>
        <v>12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237.0732000000001</v>
      </c>
      <c r="AK75" s="14">
        <f t="shared" si="89"/>
        <v>57.809366223361302</v>
      </c>
      <c r="AL75" s="22">
        <f t="shared" si="58"/>
        <v>513.58713617235435</v>
      </c>
      <c r="AM75" s="62">
        <f t="shared" si="59"/>
        <v>784.78789133133228</v>
      </c>
      <c r="AN75" s="62">
        <f ca="1">AVERAGE(OFFSET($AM$3,0,0,'Données projet'!$E$10+1,1))-AVERAGE(OFFSET($H$3,0,0,'Données projet'!$E$10+1,1))</f>
        <v>447.04988989014134</v>
      </c>
      <c r="AO75" s="62">
        <f t="shared" si="90"/>
        <v>278.04061554501783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255.3096000000001</v>
      </c>
      <c r="BF75" s="14">
        <f t="shared" si="91"/>
        <v>61.721517382468626</v>
      </c>
      <c r="BG75" s="22">
        <f t="shared" si="61"/>
        <v>552.16252944113296</v>
      </c>
      <c r="BH75" s="62">
        <f t="shared" si="62"/>
        <v>823.36328460011089</v>
      </c>
      <c r="BI75" s="62">
        <f ca="1">AVERAGE(OFFSET($BH$3,0,0,'Données projet'!$E$11+1,1))-AVERAGE(OFFSET($H$3,0,0,'Données projet'!$E$11+1,1))</f>
        <v>475.58735584427552</v>
      </c>
      <c r="BJ75" s="62">
        <f t="shared" si="92"/>
        <v>294.51413339056131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4.9658410716801891E-14</v>
      </c>
      <c r="CA75" s="14">
        <f t="shared" si="93"/>
        <v>8.0934058173791862E-13</v>
      </c>
      <c r="CB75" s="22">
        <f t="shared" si="64"/>
        <v>1.4960899118586383E-12</v>
      </c>
      <c r="CC75" s="62">
        <f t="shared" si="65"/>
        <v>271.2007551589794</v>
      </c>
      <c r="CD75" s="62">
        <f ca="1">AVERAGE(OFFSET($CC$3,0,0,'Données projet'!$E$12+1,1))-AVERAGE(OFFSET($H$3,0,0,'Données projet'!$E$12+1,1))</f>
        <v>344.32696811748974</v>
      </c>
      <c r="CE75" s="62">
        <f t="shared" si="94"/>
        <v>411.51927518440766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3.2608612038073912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3.2608612038073912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289.2</v>
      </c>
      <c r="CU75" s="18">
        <f>CT75*VLOOKUP('Données projet'!$B$13,Paramètres!$A$1:$I$89,3,0)*VLOOKUP('Données projet'!$B$13,Paramètres!$A$1:$I$89,5,0)</f>
        <v>261.66816</v>
      </c>
      <c r="CV75" s="14">
        <f t="shared" si="95"/>
        <v>63.077829793082856</v>
      </c>
      <c r="CW75" s="22">
        <f t="shared" si="67"/>
        <v>565.5992655562859</v>
      </c>
      <c r="CX75" s="62">
        <f t="shared" si="68"/>
        <v>836.80002071526383</v>
      </c>
      <c r="CY75" s="62">
        <f ca="1">AVERAGE(OFFSET($CX$3,0,0,'Données projet'!$E$13+1,1))-AVERAGE(OFFSET($H$3,0,0,'Données projet'!$E$13+1,1))</f>
        <v>473.14533251757302</v>
      </c>
      <c r="CZ75" s="62">
        <f t="shared" si="96"/>
        <v>299.82031908667142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0.74870793175259576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0.74870793175259576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>
        <f>DO75*VLOOKUP('Données projet'!$B$14,Paramètres!$A$1:$I$89,3,0)*VLOOKUP('Données projet'!$B$14,Paramètres!$A$1:$I$89,5,0)</f>
        <v>0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89.751456703373435</v>
      </c>
      <c r="DU75" s="62">
        <f t="shared" si="98"/>
        <v>433.35713950666889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28.87869429985172</v>
      </c>
      <c r="EB75" s="23">
        <f>EXP(-LN(2)/25)*EB74+(1-EXP(-LN(2)/25))/(LN(2)/25)*Calculateur!DW75*Calculateur!DY75*VLOOKUP('Données projet'!$B$14,Paramètres!$A$1:$I$89,3,0)*0.475*44/12</f>
        <v>5.5817013482253444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34.460395648077068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>
        <f>EJ75*VLOOKUP('Données projet'!$B$15,Paramètres!$A$1:$I$89,3,0)*VLOOKUP('Données projet'!$B$15,Paramètres!$A$1:$I$89,5,0)</f>
        <v>0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204.71144247550794</v>
      </c>
      <c r="EP75" s="62">
        <f t="shared" si="100"/>
        <v>409.91012463636184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43.006222657714908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1.2683150481751168E-4</v>
      </c>
      <c r="EY75" s="24">
        <f t="shared" si="75"/>
        <v>43.006349489219723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63.963842316084893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2.8000000000000003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10.266666666666667</v>
      </c>
      <c r="H76" s="70">
        <f t="shared" si="56"/>
        <v>188.90666666666664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15.142857142857142</v>
      </c>
      <c r="N76" s="14">
        <f>IF('Données projet'!$A$36&gt;35,N75+M76-V75,IF(A76&lt;'Données projet'!$A$36,$K$205^A76,IF(A76='Données projet'!$A$36,'Données projet'!$B$36,N75+M76-V75)))</f>
        <v>405.14285714285734</v>
      </c>
      <c r="O76" s="14">
        <f>N76*VLOOKUP('Données projet'!$B$9,Paramètres!$A$1:$I$89,3,0)*VLOOKUP('Données projet'!$B$9,Paramètres!$A$1:$I$89,5,0)</f>
        <v>189.60685714285725</v>
      </c>
      <c r="P76" s="14">
        <f t="shared" si="87"/>
        <v>47.453024072159629</v>
      </c>
      <c r="Q76" s="22">
        <f t="shared" si="54"/>
        <v>412.87929311615432</v>
      </c>
      <c r="R76" s="62">
        <f t="shared" si="55"/>
        <v>684.46399902542521</v>
      </c>
      <c r="S76" s="62">
        <f ca="1">AVERAGE(OFFSET($R$3,0,0,'Données projet'!$E$9+1,1))-AVERAGE(OFFSET($H$3,0,0,'Données projet'!$E$9+1,1))</f>
        <v>349.50936264852089</v>
      </c>
      <c r="T76" s="62">
        <f t="shared" si="88"/>
        <v>260.52733851266106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243.56280000000012</v>
      </c>
      <c r="AK76" s="14">
        <f t="shared" si="89"/>
        <v>59.205425601852873</v>
      </c>
      <c r="AL76" s="22">
        <f t="shared" si="58"/>
        <v>527.32132625656061</v>
      </c>
      <c r="AM76" s="62">
        <f t="shared" si="59"/>
        <v>798.90603216583156</v>
      </c>
      <c r="AN76" s="62">
        <f ca="1">AVERAGE(OFFSET($AM$3,0,0,'Données projet'!$E$10+1,1))-AVERAGE(OFFSET($H$3,0,0,'Données projet'!$E$10+1,1))</f>
        <v>447.04988989014134</v>
      </c>
      <c r="AO76" s="62">
        <f t="shared" si="90"/>
        <v>278.04061554501783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262.29840000000013</v>
      </c>
      <c r="BF76" s="14">
        <f t="shared" si="91"/>
        <v>63.212052720005417</v>
      </c>
      <c r="BG76" s="22">
        <f t="shared" si="61"/>
        <v>566.93070515400962</v>
      </c>
      <c r="BH76" s="62">
        <f t="shared" si="62"/>
        <v>838.51541106328057</v>
      </c>
      <c r="BI76" s="62">
        <f ca="1">AVERAGE(OFFSET($BH$3,0,0,'Données projet'!$E$11+1,1))-AVERAGE(OFFSET($H$3,0,0,'Données projet'!$E$11+1,1))</f>
        <v>475.58735584427552</v>
      </c>
      <c r="BJ76" s="62">
        <f t="shared" si="92"/>
        <v>294.51413339056131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4.9658410716801891E-14</v>
      </c>
      <c r="CA76" s="14">
        <f t="shared" si="93"/>
        <v>8.0934058173791862E-13</v>
      </c>
      <c r="CB76" s="22">
        <f t="shared" si="64"/>
        <v>1.4960899118586383E-12</v>
      </c>
      <c r="CC76" s="62">
        <f t="shared" si="65"/>
        <v>271.58470590927243</v>
      </c>
      <c r="CD76" s="62">
        <f ca="1">AVERAGE(OFFSET($CC$3,0,0,'Données projet'!$E$12+1,1))-AVERAGE(OFFSET($H$3,0,0,'Données projet'!$E$12+1,1))</f>
        <v>344.32696811748974</v>
      </c>
      <c r="CE76" s="62">
        <f t="shared" si="94"/>
        <v>411.51927518440766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3.1716927827080403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3.1716927827080403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296.8</v>
      </c>
      <c r="CU76" s="18">
        <f>CT76*VLOOKUP('Données projet'!$B$13,Paramètres!$A$1:$I$89,3,0)*VLOOKUP('Données projet'!$B$13,Paramètres!$A$1:$I$89,5,0)</f>
        <v>268.54464000000002</v>
      </c>
      <c r="CV76" s="14">
        <f t="shared" si="95"/>
        <v>64.54030807605065</v>
      </c>
      <c r="CW76" s="22">
        <f t="shared" si="67"/>
        <v>580.12295123245474</v>
      </c>
      <c r="CX76" s="62">
        <f t="shared" si="68"/>
        <v>851.70765714172569</v>
      </c>
      <c r="CY76" s="62">
        <f ca="1">AVERAGE(OFFSET($CX$3,0,0,'Données projet'!$E$13+1,1))-AVERAGE(OFFSET($H$3,0,0,'Données projet'!$E$13+1,1))</f>
        <v>473.14533251757302</v>
      </c>
      <c r="CZ76" s="62">
        <f t="shared" si="96"/>
        <v>299.82031908667142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0.72823447398598207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0.72823447398598207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>
        <f>DO76*VLOOKUP('Données projet'!$B$14,Paramètres!$A$1:$I$89,3,0)*VLOOKUP('Données projet'!$B$14,Paramètres!$A$1:$I$89,5,0)</f>
        <v>0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89.751456703373435</v>
      </c>
      <c r="DU76" s="62">
        <f t="shared" si="98"/>
        <v>433.35713950666889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28.312400718895887</v>
      </c>
      <c r="EB76" s="23">
        <f>EXP(-LN(2)/25)*EB75+(1-EXP(-LN(2)/25))/(LN(2)/25)*Calculateur!DW76*Calculateur!DY76*VLOOKUP('Données projet'!$B$14,Paramètres!$A$1:$I$89,3,0)*0.475*44/12</f>
        <v>5.4290694313292054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33.741470150225091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>
        <f>EJ76*VLOOKUP('Données projet'!$B$15,Paramètres!$A$1:$I$89,3,0)*VLOOKUP('Données projet'!$B$15,Paramètres!$A$1:$I$89,5,0)</f>
        <v>0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204.71144247550794</v>
      </c>
      <c r="EP76" s="62">
        <f t="shared" si="100"/>
        <v>409.91012463636184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42.162896862602821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8.968341712455678E-5</v>
      </c>
      <c r="EY76" s="24">
        <f t="shared" si="75"/>
        <v>42.162986546019944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64.0685561570739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2.8000000000000003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10.266666666666667</v>
      </c>
      <c r="H77" s="70">
        <f t="shared" si="56"/>
        <v>188.90666666666664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15.142857142857142</v>
      </c>
      <c r="N77" s="14">
        <f>IF('Données projet'!$A$36&gt;35,N76+M77-V76,IF(A77&lt;'Données projet'!$A$36,$K$205^A77,IF(A77='Données projet'!$A$36,'Données projet'!$B$36,N76+M77-V76)))</f>
        <v>420.2857142857145</v>
      </c>
      <c r="O77" s="14">
        <f>N77*VLOOKUP('Données projet'!$B$9,Paramètres!$A$1:$I$89,3,0)*VLOOKUP('Données projet'!$B$9,Paramètres!$A$1:$I$89,5,0)</f>
        <v>196.69371428571441</v>
      </c>
      <c r="P77" s="14">
        <f t="shared" si="87"/>
        <v>49.016842754125221</v>
      </c>
      <c r="Q77" s="22">
        <f t="shared" si="54"/>
        <v>427.9458868443873</v>
      </c>
      <c r="R77" s="62">
        <f t="shared" si="55"/>
        <v>699.9078828168191</v>
      </c>
      <c r="S77" s="62">
        <f ca="1">AVERAGE(OFFSET($R$3,0,0,'Données projet'!$E$9+1,1))-AVERAGE(OFFSET($H$3,0,0,'Données projet'!$E$9+1,1))</f>
        <v>349.50936264852089</v>
      </c>
      <c r="T77" s="62">
        <f t="shared" si="88"/>
        <v>260.52733851266106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250.05240000000012</v>
      </c>
      <c r="AK77" s="14">
        <f t="shared" si="89"/>
        <v>60.597161386823522</v>
      </c>
      <c r="AL77" s="22">
        <f t="shared" si="58"/>
        <v>541.04798608205112</v>
      </c>
      <c r="AM77" s="62">
        <f t="shared" si="59"/>
        <v>813.00998205448286</v>
      </c>
      <c r="AN77" s="62">
        <f ca="1">AVERAGE(OFFSET($AM$3,0,0,'Données projet'!$E$10+1,1))-AVERAGE(OFFSET($H$3,0,0,'Données projet'!$E$10+1,1))</f>
        <v>447.04988989014134</v>
      </c>
      <c r="AO77" s="62">
        <f t="shared" si="90"/>
        <v>278.04061554501783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269.2872000000001</v>
      </c>
      <c r="BF77" s="14">
        <f t="shared" si="91"/>
        <v>64.697971872136733</v>
      </c>
      <c r="BG77" s="22">
        <f t="shared" si="61"/>
        <v>581.69084101063834</v>
      </c>
      <c r="BH77" s="62">
        <f t="shared" si="62"/>
        <v>853.65283698307007</v>
      </c>
      <c r="BI77" s="62">
        <f ca="1">AVERAGE(OFFSET($BH$3,0,0,'Données projet'!$E$11+1,1))-AVERAGE(OFFSET($H$3,0,0,'Données projet'!$E$11+1,1))</f>
        <v>475.58735584427552</v>
      </c>
      <c r="BJ77" s="62">
        <f t="shared" si="92"/>
        <v>294.51413339056131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4.9658410716801891E-14</v>
      </c>
      <c r="CA77" s="14">
        <f t="shared" si="93"/>
        <v>8.0934058173791862E-13</v>
      </c>
      <c r="CB77" s="22">
        <f t="shared" si="64"/>
        <v>1.4960899118586383E-12</v>
      </c>
      <c r="CC77" s="62">
        <f t="shared" si="65"/>
        <v>271.96199597243327</v>
      </c>
      <c r="CD77" s="62">
        <f ca="1">AVERAGE(OFFSET($CC$3,0,0,'Données projet'!$E$12+1,1))-AVERAGE(OFFSET($H$3,0,0,'Données projet'!$E$12+1,1))</f>
        <v>344.32696811748974</v>
      </c>
      <c r="CE77" s="62">
        <f t="shared" si="94"/>
        <v>411.51927518440766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3.0849626767728147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3.0849626767728147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304.40000000000003</v>
      </c>
      <c r="CU77" s="18">
        <f>CT77*VLOOKUP('Données projet'!$B$13,Paramètres!$A$1:$I$89,3,0)*VLOOKUP('Données projet'!$B$13,Paramètres!$A$1:$I$89,5,0)</f>
        <v>275.42112000000003</v>
      </c>
      <c r="CV77" s="14">
        <f t="shared" si="95"/>
        <v>65.998433293601067</v>
      </c>
      <c r="CW77" s="22">
        <f t="shared" si="67"/>
        <v>594.63905531968851</v>
      </c>
      <c r="CX77" s="62">
        <f t="shared" si="68"/>
        <v>866.60105129212025</v>
      </c>
      <c r="CY77" s="62">
        <f ca="1">AVERAGE(OFFSET($CX$3,0,0,'Données projet'!$E$13+1,1))-AVERAGE(OFFSET($H$3,0,0,'Données projet'!$E$13+1,1))</f>
        <v>473.14533251757302</v>
      </c>
      <c r="CZ77" s="62">
        <f t="shared" si="96"/>
        <v>299.82031908667142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0.7083208639986488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0.7083208639986488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>
        <f>DO77*VLOOKUP('Données projet'!$B$14,Paramètres!$A$1:$I$89,3,0)*VLOOKUP('Données projet'!$B$14,Paramètres!$A$1:$I$89,5,0)</f>
        <v>0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89.751456703373435</v>
      </c>
      <c r="DU77" s="62">
        <f t="shared" si="98"/>
        <v>433.35713950666889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27.757211809657619</v>
      </c>
      <c r="EB77" s="23">
        <f>EXP(-LN(2)/25)*EB76+(1-EXP(-LN(2)/25))/(LN(2)/25)*Calculateur!DW77*Calculateur!DY77*VLOOKUP('Données projet'!$B$14,Paramètres!$A$1:$I$89,3,0)*0.475*44/12</f>
        <v>5.2806112422271552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33.037823051884772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>
        <f>EJ77*VLOOKUP('Données projet'!$B$15,Paramètres!$A$1:$I$89,3,0)*VLOOKUP('Données projet'!$B$15,Paramètres!$A$1:$I$89,5,0)</f>
        <v>0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204.71144247550794</v>
      </c>
      <c r="EP77" s="62">
        <f t="shared" si="100"/>
        <v>409.91012463636184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41.33610817195494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6.3415752408755839E-5</v>
      </c>
      <c r="EY77" s="24">
        <f t="shared" si="75"/>
        <v>41.336171587707348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64.171453447026849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2.8000000000000003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10.266666666666667</v>
      </c>
      <c r="H78" s="70">
        <f t="shared" si="56"/>
        <v>188.90666666666664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15.142857142857142</v>
      </c>
      <c r="N78" s="14">
        <f>IF('Données projet'!$A$36&gt;35,N77+M78-V77,IF(A78&lt;'Données projet'!$A$36,$K$205^A78,IF(A78='Données projet'!$A$36,'Données projet'!$B$36,N77+M78-V77)))</f>
        <v>435.42857142857167</v>
      </c>
      <c r="O78" s="14">
        <f>N78*VLOOKUP('Données projet'!$B$9,Paramètres!$A$1:$I$89,3,0)*VLOOKUP('Données projet'!$B$9,Paramètres!$A$1:$I$89,5,0)</f>
        <v>203.78057142857153</v>
      </c>
      <c r="P78" s="14">
        <f t="shared" si="87"/>
        <v>50.574115202939069</v>
      </c>
      <c r="Q78" s="22">
        <f t="shared" si="54"/>
        <v>443.00107921654762</v>
      </c>
      <c r="R78" s="62">
        <f t="shared" si="55"/>
        <v>715.33382011303843</v>
      </c>
      <c r="S78" s="62">
        <f ca="1">AVERAGE(OFFSET($R$3,0,0,'Données projet'!$E$9+1,1))-AVERAGE(OFFSET($H$3,0,0,'Données projet'!$E$9+1,1))</f>
        <v>349.50936264852089</v>
      </c>
      <c r="T78" s="62">
        <f t="shared" si="88"/>
        <v>260.52733851266106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256.54200000000014</v>
      </c>
      <c r="AK78" s="14">
        <f t="shared" si="89"/>
        <v>61.984698688972557</v>
      </c>
      <c r="AL78" s="22">
        <f t="shared" si="58"/>
        <v>554.76733354996077</v>
      </c>
      <c r="AM78" s="62">
        <f t="shared" si="59"/>
        <v>827.10007444645157</v>
      </c>
      <c r="AN78" s="62">
        <f ca="1">AVERAGE(OFFSET($AM$3,0,0,'Données projet'!$E$10+1,1))-AVERAGE(OFFSET($H$3,0,0,'Données projet'!$E$10+1,1))</f>
        <v>447.04988989014134</v>
      </c>
      <c r="AO78" s="62">
        <f t="shared" si="90"/>
        <v>278.04061554501783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276.27600000000012</v>
      </c>
      <c r="BF78" s="14">
        <f t="shared" si="91"/>
        <v>66.179408416217214</v>
      </c>
      <c r="BG78" s="22">
        <f t="shared" si="61"/>
        <v>596.44316965824521</v>
      </c>
      <c r="BH78" s="62">
        <f t="shared" si="62"/>
        <v>868.77591055473613</v>
      </c>
      <c r="BI78" s="62">
        <f ca="1">AVERAGE(OFFSET($BH$3,0,0,'Données projet'!$E$11+1,1))-AVERAGE(OFFSET($H$3,0,0,'Données projet'!$E$11+1,1))</f>
        <v>475.58735584427552</v>
      </c>
      <c r="BJ78" s="62">
        <f t="shared" si="92"/>
        <v>294.51413339056131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4.9658410716801891E-14</v>
      </c>
      <c r="CA78" s="14">
        <f t="shared" si="93"/>
        <v>8.0934058173791862E-13</v>
      </c>
      <c r="CB78" s="22">
        <f t="shared" si="64"/>
        <v>1.4960899118586383E-12</v>
      </c>
      <c r="CC78" s="62">
        <f t="shared" si="65"/>
        <v>272.33274089649234</v>
      </c>
      <c r="CD78" s="62">
        <f ca="1">AVERAGE(OFFSET($CC$3,0,0,'Données projet'!$E$12+1,1))-AVERAGE(OFFSET($H$3,0,0,'Données projet'!$E$12+1,1))</f>
        <v>344.32696811748974</v>
      </c>
      <c r="CE78" s="62">
        <f t="shared" si="94"/>
        <v>411.51927518440766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3.0006042101453256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3.0006042101453256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312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312.00000000000006</v>
      </c>
      <c r="CU78" s="18">
        <f>CT78*VLOOKUP('Données projet'!$B$13,Paramètres!$A$1:$I$89,3,0)*VLOOKUP('Données projet'!$B$13,Paramètres!$A$1:$I$89,5,0)</f>
        <v>282.29760000000005</v>
      </c>
      <c r="CV78" s="14">
        <f t="shared" si="95"/>
        <v>67.452326629470178</v>
      </c>
      <c r="CW78" s="22">
        <f t="shared" si="67"/>
        <v>609.14778887966054</v>
      </c>
      <c r="CX78" s="62">
        <f t="shared" si="68"/>
        <v>881.48052977615134</v>
      </c>
      <c r="CY78" s="62">
        <f ca="1">AVERAGE(OFFSET($CX$3,0,0,'Données projet'!$E$13+1,1))-AVERAGE(OFFSET($H$3,0,0,'Données projet'!$E$13+1,1))</f>
        <v>473.14533251757302</v>
      </c>
      <c r="CZ78" s="62">
        <f t="shared" si="96"/>
        <v>299.82031908667142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0.68895179272363039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0.68895179272363039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>
        <f>DO78*VLOOKUP('Données projet'!$B$14,Paramètres!$A$1:$I$89,3,0)*VLOOKUP('Données projet'!$B$14,Paramètres!$A$1:$I$89,5,0)</f>
        <v>0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89.751456703373435</v>
      </c>
      <c r="DU78" s="62">
        <f t="shared" si="98"/>
        <v>433.35713950666889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27.212909816297717</v>
      </c>
      <c r="EB78" s="23">
        <f>EXP(-LN(2)/25)*EB77+(1-EXP(-LN(2)/25))/(LN(2)/25)*Calculateur!DW78*Calculateur!DY78*VLOOKUP('Données projet'!$B$14,Paramètres!$A$1:$I$89,3,0)*0.475*44/12</f>
        <v>5.1362126501131771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32.349122466410897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>
        <f>EJ78*VLOOKUP('Données projet'!$B$15,Paramètres!$A$1:$I$89,3,0)*VLOOKUP('Données projet'!$B$15,Paramètres!$A$1:$I$89,5,0)</f>
        <v>0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204.71144247550794</v>
      </c>
      <c r="EP78" s="62">
        <f t="shared" si="100"/>
        <v>409.91012463636184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40.525532303239359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4.484170856227839E-5</v>
      </c>
      <c r="EY78" s="24">
        <f t="shared" si="75"/>
        <v>40.525577144947924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64.272565699042971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2.8000000000000003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10.266666666666667</v>
      </c>
      <c r="H79" s="70">
        <f t="shared" si="56"/>
        <v>188.90666666666664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15.142857142857142</v>
      </c>
      <c r="N79" s="14">
        <f>IF('Données projet'!$A$36&gt;35,N78+M79-V78,IF(A79&lt;'Données projet'!$A$36,$K$205^A79,IF(A79='Données projet'!$A$36,'Données projet'!$B$36,N78+M79-V78)))</f>
        <v>450.57142857142884</v>
      </c>
      <c r="O79" s="14">
        <f>N79*VLOOKUP('Données projet'!$B$9,Paramètres!$A$1:$I$89,3,0)*VLOOKUP('Données projet'!$B$9,Paramètres!$A$1:$I$89,5,0)</f>
        <v>210.86742857142869</v>
      </c>
      <c r="P79" s="14">
        <f t="shared" si="87"/>
        <v>52.125095165913116</v>
      </c>
      <c r="Q79" s="22">
        <f t="shared" si="54"/>
        <v>458.04531217587032</v>
      </c>
      <c r="R79" s="62">
        <f t="shared" si="55"/>
        <v>730.74236640084939</v>
      </c>
      <c r="S79" s="62">
        <f ca="1">AVERAGE(OFFSET($R$3,0,0,'Données projet'!$E$9+1,1))-AVERAGE(OFFSET($H$3,0,0,'Données projet'!$E$9+1,1))</f>
        <v>349.50936264852089</v>
      </c>
      <c r="T79" s="62">
        <f t="shared" si="88"/>
        <v>260.52733851266106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241.33200000000014</v>
      </c>
      <c r="AK79" s="14">
        <f t="shared" si="89"/>
        <v>58.726024391301159</v>
      </c>
      <c r="AL79" s="22">
        <f t="shared" si="58"/>
        <v>522.60105914818303</v>
      </c>
      <c r="AM79" s="62">
        <f t="shared" si="59"/>
        <v>795.2981133731621</v>
      </c>
      <c r="AN79" s="62">
        <f ca="1">AVERAGE(OFFSET($AM$3,0,0,'Données projet'!$E$10+1,1))-AVERAGE(OFFSET($H$3,0,0,'Données projet'!$E$10+1,1))</f>
        <v>447.04988989014134</v>
      </c>
      <c r="AO79" s="62">
        <f t="shared" si="90"/>
        <v>278.04061554501783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259.89600000000013</v>
      </c>
      <c r="BF79" s="14">
        <f t="shared" si="91"/>
        <v>62.700208842736096</v>
      </c>
      <c r="BG79" s="22">
        <f t="shared" si="61"/>
        <v>561.85506373443229</v>
      </c>
      <c r="BH79" s="62">
        <f t="shared" si="62"/>
        <v>834.55211795941136</v>
      </c>
      <c r="BI79" s="62">
        <f ca="1">AVERAGE(OFFSET($BH$3,0,0,'Données projet'!$E$11+1,1))-AVERAGE(OFFSET($H$3,0,0,'Données projet'!$E$11+1,1))</f>
        <v>475.58735584427552</v>
      </c>
      <c r="BJ79" s="62">
        <f t="shared" si="92"/>
        <v>294.51413339056131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4.9658410716801891E-14</v>
      </c>
      <c r="CA79" s="14">
        <f t="shared" si="93"/>
        <v>8.0934058173791862E-13</v>
      </c>
      <c r="CB79" s="22">
        <f t="shared" si="64"/>
        <v>1.4960899118586383E-12</v>
      </c>
      <c r="CC79" s="62">
        <f t="shared" si="65"/>
        <v>272.69705422498055</v>
      </c>
      <c r="CD79" s="62">
        <f ca="1">AVERAGE(OFFSET($CC$3,0,0,'Données projet'!$E$12+1,1))-AVERAGE(OFFSET($H$3,0,0,'Données projet'!$E$12+1,1))</f>
        <v>344.32696811748974</v>
      </c>
      <c r="CE79" s="62">
        <f t="shared" si="94"/>
        <v>411.51927518440766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2.9185525302239843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2.9185525302239843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263.47776000000005</v>
      </c>
      <c r="CV79" s="14">
        <f t="shared" si="95"/>
        <v>63.46312159763346</v>
      </c>
      <c r="CW79" s="22">
        <f t="shared" si="67"/>
        <v>569.42203544921165</v>
      </c>
      <c r="CX79" s="62">
        <f t="shared" si="68"/>
        <v>842.11908967419072</v>
      </c>
      <c r="CY79" s="62">
        <f ca="1">AVERAGE(OFFSET($CX$3,0,0,'Données projet'!$E$13+1,1))-AVERAGE(OFFSET($H$3,0,0,'Données projet'!$E$13+1,1))</f>
        <v>473.14533251757302</v>
      </c>
      <c r="CZ79" s="62">
        <f t="shared" si="96"/>
        <v>299.82031908667142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0.67011236972120258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0.67011236972120258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>
        <f>DO79*VLOOKUP('Données projet'!$B$14,Paramètres!$A$1:$I$89,3,0)*VLOOKUP('Données projet'!$B$14,Paramètres!$A$1:$I$89,5,0)</f>
        <v>0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89.751456703373435</v>
      </c>
      <c r="DU79" s="62">
        <f t="shared" si="98"/>
        <v>433.35713950666889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26.679281253036166</v>
      </c>
      <c r="EB79" s="23">
        <f>EXP(-LN(2)/25)*EB78+(1-EXP(-LN(2)/25))/(LN(2)/25)*Calculateur!DW79*Calculateur!DY79*VLOOKUP('Données projet'!$B$14,Paramètres!$A$1:$I$89,3,0)*0.475*44/12</f>
        <v>4.9957626450941479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31.675043898130312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>
        <f>EJ79*VLOOKUP('Données projet'!$B$15,Paramètres!$A$1:$I$89,3,0)*VLOOKUP('Données projet'!$B$15,Paramètres!$A$1:$I$89,5,0)</f>
        <v>0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204.71144247550794</v>
      </c>
      <c r="EP79" s="62">
        <f t="shared" si="100"/>
        <v>409.91012463636184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39.73085133290683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3.170787620437792E-5</v>
      </c>
      <c r="EY79" s="24">
        <f t="shared" si="75"/>
        <v>39.730883040783034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64.37192387953975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2.8000000000000003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10.266666666666667</v>
      </c>
      <c r="H80" s="70">
        <f t="shared" si="56"/>
        <v>188.90666666666664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15.142857142857142</v>
      </c>
      <c r="N80" s="14">
        <f>IF('Données projet'!$A$36&gt;35,N79+M80-V79,IF(A80&lt;'Données projet'!$A$36,$K$205^A80,IF(A80='Données projet'!$A$36,'Données projet'!$B$36,N79+M80-V79)))</f>
        <v>465.71428571428601</v>
      </c>
      <c r="O80" s="14">
        <f>N80*VLOOKUP('Données projet'!$B$9,Paramètres!$A$1:$I$89,3,0)*VLOOKUP('Données projet'!$B$9,Paramètres!$A$1:$I$89,5,0)</f>
        <v>217.95428571428585</v>
      </c>
      <c r="P80" s="14">
        <f t="shared" si="87"/>
        <v>53.670018366701875</v>
      </c>
      <c r="Q80" s="22">
        <f t="shared" si="54"/>
        <v>473.07899627438695</v>
      </c>
      <c r="R80" s="62">
        <f t="shared" si="55"/>
        <v>746.13404380608756</v>
      </c>
      <c r="S80" s="62">
        <f ca="1">AVERAGE(OFFSET($R$3,0,0,'Données projet'!$E$9+1,1))-AVERAGE(OFFSET($H$3,0,0,'Données projet'!$E$9+1,1))</f>
        <v>349.50936264852089</v>
      </c>
      <c r="T80" s="62">
        <f t="shared" si="88"/>
        <v>260.52733851266106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247.41600000000014</v>
      </c>
      <c r="AK80" s="14">
        <f t="shared" si="89"/>
        <v>60.032282000540242</v>
      </c>
      <c r="AL80" s="22">
        <f t="shared" si="58"/>
        <v>535.47242448427448</v>
      </c>
      <c r="AM80" s="62">
        <f t="shared" si="59"/>
        <v>808.52747201597504</v>
      </c>
      <c r="AN80" s="62">
        <f ca="1">AVERAGE(OFFSET($AM$3,0,0,'Données projet'!$E$10+1,1))-AVERAGE(OFFSET($H$3,0,0,'Données projet'!$E$10+1,1))</f>
        <v>447.04988989014134</v>
      </c>
      <c r="AO80" s="62">
        <f t="shared" si="90"/>
        <v>278.04061554501783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266.44800000000009</v>
      </c>
      <c r="BF80" s="14">
        <f t="shared" si="91"/>
        <v>64.094865228054687</v>
      </c>
      <c r="BG80" s="22">
        <f t="shared" si="61"/>
        <v>575.69549027219546</v>
      </c>
      <c r="BH80" s="62">
        <f t="shared" si="62"/>
        <v>848.75053780389612</v>
      </c>
      <c r="BI80" s="62">
        <f ca="1">AVERAGE(OFFSET($BH$3,0,0,'Données projet'!$E$11+1,1))-AVERAGE(OFFSET($H$3,0,0,'Données projet'!$E$11+1,1))</f>
        <v>475.58735584427552</v>
      </c>
      <c r="BJ80" s="62">
        <f t="shared" si="92"/>
        <v>294.51413339056131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4.9658410716801891E-14</v>
      </c>
      <c r="CA80" s="14">
        <f t="shared" si="93"/>
        <v>8.0934058173791862E-13</v>
      </c>
      <c r="CB80" s="22">
        <f t="shared" si="64"/>
        <v>1.4960899118586383E-12</v>
      </c>
      <c r="CC80" s="62">
        <f t="shared" si="65"/>
        <v>273.05504753170209</v>
      </c>
      <c r="CD80" s="62">
        <f ca="1">AVERAGE(OFFSET($CC$3,0,0,'Données projet'!$E$12+1,1))-AVERAGE(OFFSET($H$3,0,0,'Données projet'!$E$12+1,1))</f>
        <v>344.32696811748974</v>
      </c>
      <c r="CE80" s="62">
        <f t="shared" si="94"/>
        <v>411.51927518440766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2.8387445578050023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2.8387445578050023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269.99232000000001</v>
      </c>
      <c r="CV80" s="14">
        <f t="shared" si="95"/>
        <v>64.847639395310296</v>
      </c>
      <c r="CW80" s="22">
        <f t="shared" si="67"/>
        <v>583.17959594683214</v>
      </c>
      <c r="CX80" s="62">
        <f t="shared" si="68"/>
        <v>856.23464347853269</v>
      </c>
      <c r="CY80" s="62">
        <f ca="1">AVERAGE(OFFSET($CX$3,0,0,'Données projet'!$E$13+1,1))-AVERAGE(OFFSET($H$3,0,0,'Données projet'!$E$13+1,1))</f>
        <v>473.14533251757302</v>
      </c>
      <c r="CZ80" s="62">
        <f t="shared" si="96"/>
        <v>299.82031908667142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0.65178811173149831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0.65178811173149831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>
        <f>DO80*VLOOKUP('Données projet'!$B$14,Paramètres!$A$1:$I$89,3,0)*VLOOKUP('Données projet'!$B$14,Paramètres!$A$1:$I$89,5,0)</f>
        <v>0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89.751456703373435</v>
      </c>
      <c r="DU80" s="62">
        <f t="shared" si="98"/>
        <v>433.35713950666889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26.156116820418891</v>
      </c>
      <c r="EB80" s="23">
        <f>EXP(-LN(2)/25)*EB79+(1-EXP(-LN(2)/25))/(LN(2)/25)*Calculateur!DW80*Calculateur!DY80*VLOOKUP('Données projet'!$B$14,Paramètres!$A$1:$I$89,3,0)*0.475*44/12</f>
        <v>4.8591532528483086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31.0152700732672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>
        <f>EJ80*VLOOKUP('Données projet'!$B$15,Paramètres!$A$1:$I$89,3,0)*VLOOKUP('Données projet'!$B$15,Paramètres!$A$1:$I$89,5,0)</f>
        <v>0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204.71144247550794</v>
      </c>
      <c r="EP80" s="62">
        <f t="shared" si="100"/>
        <v>409.91012463636184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38.951753571694987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2.2420854281139195E-5</v>
      </c>
      <c r="EY80" s="24">
        <f t="shared" si="75"/>
        <v>38.951775992549265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64.469558417736522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2.8000000000000003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10.266666666666667</v>
      </c>
      <c r="H81" s="70">
        <f t="shared" si="56"/>
        <v>188.90666666666664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15.142857142857142</v>
      </c>
      <c r="N81" s="14">
        <f>IF('Données projet'!$A$36&gt;35,N80+M81-V80,IF(A81&lt;'Données projet'!$A$36,$K$205^A81,IF(A81='Données projet'!$A$36,'Données projet'!$B$36,N80+M81-V80)))</f>
        <v>480.85714285714317</v>
      </c>
      <c r="O81" s="14">
        <f>N81*VLOOKUP('Données projet'!$B$9,Paramètres!$A$1:$I$89,3,0)*VLOOKUP('Données projet'!$B$9,Paramètres!$A$1:$I$89,5,0)</f>
        <v>225.041142857143</v>
      </c>
      <c r="P81" s="14">
        <f t="shared" si="87"/>
        <v>55.209104329514197</v>
      </c>
      <c r="Q81" s="22">
        <f t="shared" si="54"/>
        <v>488.10251385009468</v>
      </c>
      <c r="R81" s="62">
        <f t="shared" si="55"/>
        <v>761.50934430499831</v>
      </c>
      <c r="S81" s="62">
        <f ca="1">AVERAGE(OFFSET($R$3,0,0,'Données projet'!$E$9+1,1))-AVERAGE(OFFSET($H$3,0,0,'Données projet'!$E$9+1,1))</f>
        <v>349.50936264852089</v>
      </c>
      <c r="T81" s="62">
        <f t="shared" si="88"/>
        <v>260.52733851266106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253.50000000000014</v>
      </c>
      <c r="AK81" s="14">
        <f t="shared" si="89"/>
        <v>61.334805663162555</v>
      </c>
      <c r="AL81" s="22">
        <f t="shared" si="58"/>
        <v>548.33728653000833</v>
      </c>
      <c r="AM81" s="62">
        <f t="shared" si="59"/>
        <v>821.7441169849119</v>
      </c>
      <c r="AN81" s="62">
        <f ca="1">AVERAGE(OFFSET($AM$3,0,0,'Données projet'!$E$10+1,1))-AVERAGE(OFFSET($H$3,0,0,'Données projet'!$E$10+1,1))</f>
        <v>447.04988989014134</v>
      </c>
      <c r="AO81" s="62">
        <f t="shared" si="90"/>
        <v>278.04061554501783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273.00000000000011</v>
      </c>
      <c r="BF81" s="14">
        <f t="shared" si="91"/>
        <v>65.485534978229794</v>
      </c>
      <c r="BG81" s="22">
        <f t="shared" si="61"/>
        <v>589.52897342041706</v>
      </c>
      <c r="BH81" s="62">
        <f t="shared" si="62"/>
        <v>862.93580387532074</v>
      </c>
      <c r="BI81" s="62">
        <f ca="1">AVERAGE(OFFSET($BH$3,0,0,'Données projet'!$E$11+1,1))-AVERAGE(OFFSET($H$3,0,0,'Données projet'!$E$11+1,1))</f>
        <v>475.58735584427552</v>
      </c>
      <c r="BJ81" s="62">
        <f t="shared" si="92"/>
        <v>294.51413339056131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4.9658410716801891E-14</v>
      </c>
      <c r="CA81" s="14">
        <f t="shared" si="93"/>
        <v>8.0934058173791862E-13</v>
      </c>
      <c r="CB81" s="22">
        <f t="shared" si="64"/>
        <v>1.4960899118586383E-12</v>
      </c>
      <c r="CC81" s="62">
        <f t="shared" si="65"/>
        <v>273.4068304549051</v>
      </c>
      <c r="CD81" s="62">
        <f ca="1">AVERAGE(OFFSET($CC$3,0,0,'Données projet'!$E$12+1,1))-AVERAGE(OFFSET($H$3,0,0,'Données projet'!$E$12+1,1))</f>
        <v>344.32696811748974</v>
      </c>
      <c r="CE81" s="62">
        <f t="shared" si="94"/>
        <v>411.51927518440766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2.7611189385887362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2.7611189385887362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276.50687999999997</v>
      </c>
      <c r="CV81" s="14">
        <f t="shared" si="95"/>
        <v>66.228273722513677</v>
      </c>
      <c r="CW81" s="22">
        <f t="shared" si="67"/>
        <v>596.93039273337797</v>
      </c>
      <c r="CX81" s="62">
        <f t="shared" si="68"/>
        <v>870.33722318828154</v>
      </c>
      <c r="CY81" s="62">
        <f ca="1">AVERAGE(OFFSET($CX$3,0,0,'Données projet'!$E$13+1,1))-AVERAGE(OFFSET($H$3,0,0,'Données projet'!$E$13+1,1))</f>
        <v>473.14533251757302</v>
      </c>
      <c r="CZ81" s="62">
        <f t="shared" si="96"/>
        <v>299.82031908667142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0.63396493154015332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0.63396493154015332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>
        <f>DO81*VLOOKUP('Données projet'!$B$14,Paramètres!$A$1:$I$89,3,0)*VLOOKUP('Données projet'!$B$14,Paramètres!$A$1:$I$89,5,0)</f>
        <v>0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89.751456703373435</v>
      </c>
      <c r="DU81" s="62">
        <f t="shared" si="98"/>
        <v>433.35713950666889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25.643211323226446</v>
      </c>
      <c r="EB81" s="23">
        <f>EXP(-LN(2)/25)*EB80+(1-EXP(-LN(2)/25))/(LN(2)/25)*Calculateur!DW81*Calculateur!DY81*VLOOKUP('Données projet'!$B$14,Paramètres!$A$1:$I$89,3,0)*0.475*44/12</f>
        <v>4.7262794516174074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30.369490774843854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>
        <f>EJ81*VLOOKUP('Données projet'!$B$15,Paramètres!$A$1:$I$89,3,0)*VLOOKUP('Données projet'!$B$15,Paramètres!$A$1:$I$89,5,0)</f>
        <v>0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204.71144247550794</v>
      </c>
      <c r="EP81" s="62">
        <f t="shared" si="100"/>
        <v>409.91012463636184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38.187933442377798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1.585393810218896E-5</v>
      </c>
      <c r="EY81" s="24">
        <f t="shared" si="75"/>
        <v>38.1879492963159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64.565499214973713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2.8000000000000003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10.266666666666667</v>
      </c>
      <c r="H82" s="70">
        <f t="shared" si="56"/>
        <v>188.90666666666664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496</v>
      </c>
      <c r="L82" s="13">
        <f>VLOOKUP(A82,'Données projet'!$A$35:$I$55,9,0)</f>
        <v>15.142857142857142</v>
      </c>
      <c r="M82" s="13">
        <f t="array" ref="M82">INDEX(L:L,MIN(IF(ISNUMBER(L82:L278),ROW(L82:L278),"")))</f>
        <v>15.142857142857142</v>
      </c>
      <c r="N82" s="14">
        <f>IF('Données projet'!$A$36&gt;35,N81+M82-V81,IF(A82&lt;'Données projet'!$A$36,$K$205^A82,IF(A82='Données projet'!$A$36,'Données projet'!$B$36,N81+M82-V81)))</f>
        <v>496.00000000000034</v>
      </c>
      <c r="O82" s="14">
        <f>N82*VLOOKUP('Données projet'!$B$9,Paramètres!$A$1:$I$89,3,0)*VLOOKUP('Données projet'!$B$9,Paramètres!$A$1:$I$89,5,0)</f>
        <v>232.12800000000016</v>
      </c>
      <c r="P82" s="14">
        <f t="shared" si="87"/>
        <v>56.742557967082448</v>
      </c>
      <c r="Q82" s="22">
        <f t="shared" si="54"/>
        <v>503.11622179266891</v>
      </c>
      <c r="R82" s="62">
        <f t="shared" si="55"/>
        <v>776.86873252352677</v>
      </c>
      <c r="S82" s="62">
        <f ca="1">AVERAGE(OFFSET($R$3,0,0,'Données projet'!$E$9+1,1))-AVERAGE(OFFSET($H$3,0,0,'Données projet'!$E$9+1,1))</f>
        <v>349.50936264852089</v>
      </c>
      <c r="T82" s="62">
        <f t="shared" si="88"/>
        <v>260.52733851266106</v>
      </c>
      <c r="U82" s="16">
        <f>IF(ISNA(VLOOKUP(A82,'Données projet'!$A$35:$I$55,3,0)),0,VLOOKUP(A82,'Données projet'!$A$35:$I$55,3,0))</f>
        <v>13</v>
      </c>
      <c r="V82" s="16">
        <f>IF(ISNA(VLOOKUP(A82,'Données projet'!$A$35:$I$55,4,0)),0,VLOOKUP(A82,'Données projet'!$A$35:$I$55,4,0))</f>
        <v>88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259.58400000000017</v>
      </c>
      <c r="AK82" s="14">
        <f t="shared" si="89"/>
        <v>62.63369530482359</v>
      </c>
      <c r="AL82" s="22">
        <f t="shared" si="58"/>
        <v>561.19581932256801</v>
      </c>
      <c r="AM82" s="62">
        <f t="shared" si="59"/>
        <v>834.94833005342593</v>
      </c>
      <c r="AN82" s="62">
        <f ca="1">AVERAGE(OFFSET($AM$3,0,0,'Données projet'!$E$10+1,1))-AVERAGE(OFFSET($H$3,0,0,'Données projet'!$E$10+1,1))</f>
        <v>447.04988989014134</v>
      </c>
      <c r="AO82" s="62">
        <f t="shared" si="90"/>
        <v>278.04061554501783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279.55200000000013</v>
      </c>
      <c r="BF82" s="14">
        <f t="shared" si="91"/>
        <v>66.872324781216591</v>
      </c>
      <c r="BG82" s="22">
        <f t="shared" si="61"/>
        <v>603.3556989939525</v>
      </c>
      <c r="BH82" s="62">
        <f t="shared" si="62"/>
        <v>877.10820972481042</v>
      </c>
      <c r="BI82" s="62">
        <f ca="1">AVERAGE(OFFSET($BH$3,0,0,'Données projet'!$E$11+1,1))-AVERAGE(OFFSET($H$3,0,0,'Données projet'!$E$11+1,1))</f>
        <v>475.58735584427552</v>
      </c>
      <c r="BJ82" s="62">
        <f t="shared" si="92"/>
        <v>294.51413339056131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4.9658410716801891E-14</v>
      </c>
      <c r="CA82" s="14">
        <f t="shared" si="93"/>
        <v>8.0934058173791862E-13</v>
      </c>
      <c r="CB82" s="22">
        <f t="shared" si="64"/>
        <v>1.4960899118586383E-12</v>
      </c>
      <c r="CC82" s="62">
        <f t="shared" si="65"/>
        <v>273.75251073085934</v>
      </c>
      <c r="CD82" s="62">
        <f ca="1">AVERAGE(OFFSET($CC$3,0,0,'Données projet'!$E$12+1,1))-AVERAGE(OFFSET($H$3,0,0,'Données projet'!$E$12+1,1))</f>
        <v>344.32696811748974</v>
      </c>
      <c r="CE82" s="62">
        <f t="shared" si="94"/>
        <v>411.51927518440766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2.6856159960120931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2.6856159960120931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283.02144000000004</v>
      </c>
      <c r="CV82" s="14">
        <f t="shared" si="95"/>
        <v>67.605126603830598</v>
      </c>
      <c r="CW82" s="22">
        <f t="shared" si="67"/>
        <v>610.67460350167164</v>
      </c>
      <c r="CX82" s="62">
        <f t="shared" si="68"/>
        <v>884.42711423252945</v>
      </c>
      <c r="CY82" s="62">
        <f ca="1">AVERAGE(OFFSET($CX$3,0,0,'Données projet'!$E$13+1,1))-AVERAGE(OFFSET($H$3,0,0,'Données projet'!$E$13+1,1))</f>
        <v>473.14533251757302</v>
      </c>
      <c r="CZ82" s="62">
        <f t="shared" si="96"/>
        <v>299.82031908667142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0.616629127148421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0.616629127148421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>
        <f>DO82*VLOOKUP('Données projet'!$B$14,Paramètres!$A$1:$I$89,3,0)*VLOOKUP('Données projet'!$B$14,Paramètres!$A$1:$I$89,5,0)</f>
        <v>0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89.751456703373435</v>
      </c>
      <c r="DU82" s="62">
        <f t="shared" si="98"/>
        <v>433.35713950666889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25.140363589992479</v>
      </c>
      <c r="EB82" s="23">
        <f>EXP(-LN(2)/25)*EB81+(1-EXP(-LN(2)/25))/(LN(2)/25)*Calculateur!DW82*Calculateur!DY82*VLOOKUP('Données projet'!$B$14,Paramètres!$A$1:$I$89,3,0)*0.475*44/12</f>
        <v>4.5970390914686954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29.737402681461173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>
        <f>EJ82*VLOOKUP('Données projet'!$B$15,Paramètres!$A$1:$I$89,3,0)*VLOOKUP('Données projet'!$B$15,Paramètres!$A$1:$I$89,5,0)</f>
        <v>0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204.71144247550794</v>
      </c>
      <c r="EP82" s="62">
        <f t="shared" si="100"/>
        <v>409.91012463636184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37.43909135991224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1.1210427140569598E-5</v>
      </c>
      <c r="EY82" s="24">
        <f t="shared" si="75"/>
        <v>37.439102570339379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64.659775653870327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2.8000000000000003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10.266666666666667</v>
      </c>
      <c r="H83" s="70">
        <f t="shared" si="56"/>
        <v>188.90666666666664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423</v>
      </c>
      <c r="L83" s="13">
        <f>VLOOKUP(A83,'Données projet'!$A$35:$I$55,9,0)</f>
        <v>15</v>
      </c>
      <c r="M83" s="13">
        <f t="array" ref="M83">INDEX(L:L,MIN(IF(ISNUMBER(L83:L279),ROW(L83:L279),"")))</f>
        <v>15</v>
      </c>
      <c r="N83" s="14">
        <f>IF('Données projet'!$A$36&gt;35,N82+M83-V82,IF(A83&lt;'Données projet'!$A$36,$K$205^A83,IF(A83='Données projet'!$A$36,'Données projet'!$B$36,N82+M83-V82)))</f>
        <v>423.00000000000034</v>
      </c>
      <c r="O83" s="14">
        <f>N83*VLOOKUP('Données projet'!$B$9,Paramètres!$A$1:$I$89,3,0)*VLOOKUP('Données projet'!$B$9,Paramètres!$A$1:$I$89,5,0)</f>
        <v>197.96400000000017</v>
      </c>
      <c r="P83" s="14">
        <f t="shared" si="87"/>
        <v>49.296450435147804</v>
      </c>
      <c r="Q83" s="22">
        <f t="shared" si="54"/>
        <v>430.64528450788265</v>
      </c>
      <c r="R83" s="62">
        <f t="shared" si="55"/>
        <v>704.73747873473224</v>
      </c>
      <c r="S83" s="62">
        <f ca="1">AVERAGE(OFFSET($R$3,0,0,'Données projet'!$E$9+1,1))-AVERAGE(OFFSET($H$3,0,0,'Données projet'!$E$9+1,1))</f>
        <v>349.50936264852089</v>
      </c>
      <c r="T83" s="62">
        <f t="shared" si="88"/>
        <v>260.52733851266106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265.66800000000012</v>
      </c>
      <c r="AK83" s="14">
        <f t="shared" si="89"/>
        <v>63.929045899944406</v>
      </c>
      <c r="AL83" s="22">
        <f t="shared" si="58"/>
        <v>574.04818827573672</v>
      </c>
      <c r="AM83" s="62">
        <f t="shared" si="59"/>
        <v>848.14038250258636</v>
      </c>
      <c r="AN83" s="62">
        <f ca="1">AVERAGE(OFFSET($AM$3,0,0,'Données projet'!$E$10+1,1))-AVERAGE(OFFSET($H$3,0,0,'Données projet'!$E$10+1,1))</f>
        <v>447.04988989014134</v>
      </c>
      <c r="AO83" s="62">
        <f t="shared" si="90"/>
        <v>278.04061554501783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286.1040000000001</v>
      </c>
      <c r="BF83" s="14">
        <f t="shared" si="91"/>
        <v>68.255336038669796</v>
      </c>
      <c r="BG83" s="22">
        <f t="shared" si="61"/>
        <v>617.17584360068338</v>
      </c>
      <c r="BH83" s="62">
        <f t="shared" si="62"/>
        <v>891.26803782753291</v>
      </c>
      <c r="BI83" s="62">
        <f ca="1">AVERAGE(OFFSET($BH$3,0,0,'Données projet'!$E$11+1,1))-AVERAGE(OFFSET($H$3,0,0,'Données projet'!$E$11+1,1))</f>
        <v>475.58735584427552</v>
      </c>
      <c r="BJ83" s="62">
        <f t="shared" si="92"/>
        <v>294.51413339056131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4.9658410716801891E-14</v>
      </c>
      <c r="CA83" s="14">
        <f t="shared" si="93"/>
        <v>8.0934058173791862E-13</v>
      </c>
      <c r="CB83" s="22">
        <f t="shared" si="64"/>
        <v>1.4960899118586383E-12</v>
      </c>
      <c r="CC83" s="62">
        <f t="shared" si="65"/>
        <v>274.09219422685106</v>
      </c>
      <c r="CD83" s="62">
        <f ca="1">AVERAGE(OFFSET($CC$3,0,0,'Données projet'!$E$12+1,1))-AVERAGE(OFFSET($H$3,0,0,'Données projet'!$E$12+1,1))</f>
        <v>344.32696811748974</v>
      </c>
      <c r="CE83" s="62">
        <f t="shared" si="94"/>
        <v>411.51927518440766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2.6121776853707352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2.6121776853707352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289.536</v>
      </c>
      <c r="CV83" s="14">
        <f t="shared" si="95"/>
        <v>68.97829509904436</v>
      </c>
      <c r="CW83" s="22">
        <f t="shared" si="67"/>
        <v>624.41239729750225</v>
      </c>
      <c r="CX83" s="62">
        <f t="shared" si="68"/>
        <v>898.50459152435178</v>
      </c>
      <c r="CY83" s="62">
        <f ca="1">AVERAGE(OFFSET($CX$3,0,0,'Données projet'!$E$13+1,1))-AVERAGE(OFFSET($H$3,0,0,'Données projet'!$E$13+1,1))</f>
        <v>473.14533251757302</v>
      </c>
      <c r="CZ83" s="62">
        <f t="shared" si="96"/>
        <v>299.82031908667142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0.59976737123943091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0.59976737123943091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>
        <f>DO83*VLOOKUP('Données projet'!$B$14,Paramètres!$A$1:$I$89,3,0)*VLOOKUP('Données projet'!$B$14,Paramètres!$A$1:$I$89,5,0)</f>
        <v>0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89.751456703373435</v>
      </c>
      <c r="DU83" s="62">
        <f t="shared" si="98"/>
        <v>433.35713950666889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24.647376394100398</v>
      </c>
      <c r="EB83" s="23">
        <f>EXP(-LN(2)/25)*EB82+(1-EXP(-LN(2)/25))/(LN(2)/25)*Calculateur!DW83*Calculateur!DY83*VLOOKUP('Données projet'!$B$14,Paramètres!$A$1:$I$89,3,0)*0.475*44/12</f>
        <v>4.471332815764705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29.118709209865102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>
        <f>EJ83*VLOOKUP('Données projet'!$B$15,Paramètres!$A$1:$I$89,3,0)*VLOOKUP('Données projet'!$B$15,Paramètres!$A$1:$I$89,5,0)</f>
        <v>0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204.71144247550794</v>
      </c>
      <c r="EP83" s="62">
        <f t="shared" si="100"/>
        <v>409.91012463636184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36.70493361393526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7.9269690510944799E-6</v>
      </c>
      <c r="EY83" s="24">
        <f t="shared" si="75"/>
        <v>36.704941540904315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64.752416607322616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2.8000000000000003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10.266666666666667</v>
      </c>
      <c r="H84" s="70">
        <f t="shared" si="56"/>
        <v>188.90666666666664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14.142857142857142</v>
      </c>
      <c r="N84" s="14">
        <f>IF('Données projet'!$A$36&gt;35,N83+M84-V83,IF(A84&lt;'Données projet'!$A$36,$K$205^A84,IF(A84='Données projet'!$A$36,'Données projet'!$B$36,N83+M84-V83)))</f>
        <v>437.14285714285751</v>
      </c>
      <c r="O84" s="14">
        <f>N84*VLOOKUP('Données projet'!$B$9,Paramètres!$A$1:$I$89,3,0)*VLOOKUP('Données projet'!$B$9,Paramètres!$A$1:$I$89,5,0)</f>
        <v>204.58285714285734</v>
      </c>
      <c r="P84" s="14">
        <f t="shared" si="87"/>
        <v>50.750009154879976</v>
      </c>
      <c r="Q84" s="22">
        <f t="shared" si="54"/>
        <v>444.70474213522584</v>
      </c>
      <c r="R84" s="62">
        <f t="shared" si="55"/>
        <v>719.13072710883023</v>
      </c>
      <c r="S84" s="62">
        <f ca="1">AVERAGE(OFFSET($R$3,0,0,'Données projet'!$E$9+1,1))-AVERAGE(OFFSET($H$3,0,0,'Données projet'!$E$9+1,1))</f>
        <v>349.50936264852089</v>
      </c>
      <c r="T84" s="62">
        <f t="shared" si="88"/>
        <v>260.52733851266106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250.05240000000018</v>
      </c>
      <c r="AK84" s="14">
        <f t="shared" si="89"/>
        <v>60.597161386823522</v>
      </c>
      <c r="AL84" s="22">
        <f t="shared" si="58"/>
        <v>541.04798608205112</v>
      </c>
      <c r="AM84" s="62">
        <f t="shared" si="59"/>
        <v>815.47397105565551</v>
      </c>
      <c r="AN84" s="62">
        <f ca="1">AVERAGE(OFFSET($AM$3,0,0,'Données projet'!$E$10+1,1))-AVERAGE(OFFSET($H$3,0,0,'Données projet'!$E$10+1,1))</f>
        <v>447.04988989014134</v>
      </c>
      <c r="AO84" s="62">
        <f t="shared" si="90"/>
        <v>278.04061554501783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269.28720000000015</v>
      </c>
      <c r="BF84" s="14">
        <f t="shared" si="91"/>
        <v>64.697971872136733</v>
      </c>
      <c r="BG84" s="22">
        <f t="shared" si="61"/>
        <v>581.69084101063834</v>
      </c>
      <c r="BH84" s="62">
        <f t="shared" si="62"/>
        <v>856.11682598424272</v>
      </c>
      <c r="BI84" s="62">
        <f ca="1">AVERAGE(OFFSET($BH$3,0,0,'Données projet'!$E$11+1,1))-AVERAGE(OFFSET($H$3,0,0,'Données projet'!$E$11+1,1))</f>
        <v>475.58735584427552</v>
      </c>
      <c r="BJ84" s="62">
        <f t="shared" si="92"/>
        <v>294.51413339056131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4.9658410716801891E-14</v>
      </c>
      <c r="CA84" s="14">
        <f t="shared" si="93"/>
        <v>8.0934058173791862E-13</v>
      </c>
      <c r="CB84" s="22">
        <f t="shared" si="64"/>
        <v>1.4960899118586383E-12</v>
      </c>
      <c r="CC84" s="62">
        <f t="shared" si="65"/>
        <v>274.42598497360586</v>
      </c>
      <c r="CD84" s="62">
        <f ca="1">AVERAGE(OFFSET($CC$3,0,0,'Données projet'!$E$12+1,1))-AVERAGE(OFFSET($H$3,0,0,'Données projet'!$E$12+1,1))</f>
        <v>344.32696811748974</v>
      </c>
      <c r="CE84" s="62">
        <f t="shared" si="94"/>
        <v>411.51927518440766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2.5407475491958182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2.5407475491958182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298.8</v>
      </c>
      <c r="CU84" s="18">
        <f>CT84*VLOOKUP('Données projet'!$B$13,Paramètres!$A$1:$I$89,3,0)*VLOOKUP('Données projet'!$B$13,Paramètres!$A$1:$I$89,5,0)</f>
        <v>270.35424</v>
      </c>
      <c r="CV84" s="14">
        <f t="shared" si="95"/>
        <v>64.924442218534367</v>
      </c>
      <c r="CW84" s="22">
        <f t="shared" si="67"/>
        <v>583.94370486394735</v>
      </c>
      <c r="CX84" s="62">
        <f t="shared" si="68"/>
        <v>858.36968983755173</v>
      </c>
      <c r="CY84" s="62">
        <f ca="1">AVERAGE(OFFSET($CX$3,0,0,'Données projet'!$E$13+1,1))-AVERAGE(OFFSET($H$3,0,0,'Données projet'!$E$13+1,1))</f>
        <v>473.14533251757302</v>
      </c>
      <c r="CZ84" s="62">
        <f t="shared" si="96"/>
        <v>299.82031908667142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0.58336670093249343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0.58336670093249343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89.751456703373435</v>
      </c>
      <c r="DU84" s="62">
        <f t="shared" si="98"/>
        <v>433.35713950666889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24.164056376427265</v>
      </c>
      <c r="EB84" s="23">
        <f>EXP(-LN(2)/25)*EB83+(1-EXP(-LN(2)/25))/(LN(2)/25)*Calculateur!DW84*Calculateur!DY84*VLOOKUP('Données projet'!$B$14,Paramètres!$A$1:$I$89,3,0)*0.475*44/12</f>
        <v>4.3490639847804458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28.513120361207712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204.71144247550794</v>
      </c>
      <c r="EP84" s="62">
        <f t="shared" si="100"/>
        <v>409.91012463636184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35.985172253564883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5.6052135702847988E-6</v>
      </c>
      <c r="EY84" s="24">
        <f t="shared" si="75"/>
        <v>35.985177858778457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64.843450447346655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2.8000000000000003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10.266666666666667</v>
      </c>
      <c r="H85" s="70">
        <f t="shared" si="56"/>
        <v>188.90666666666664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14.142857142857142</v>
      </c>
      <c r="N85" s="14">
        <f>IF('Données projet'!$A$36&gt;35,N84+M85-V84,IF(A85&lt;'Données projet'!$A$36,$K$205^A85,IF(A85='Données projet'!$A$36,'Données projet'!$B$36,N84+M85-V84)))</f>
        <v>451.28571428571468</v>
      </c>
      <c r="O85" s="14">
        <f>N85*VLOOKUP('Données projet'!$B$9,Paramètres!$A$1:$I$89,3,0)*VLOOKUP('Données projet'!$B$9,Paramètres!$A$1:$I$89,5,0)</f>
        <v>211.20171428571447</v>
      </c>
      <c r="P85" s="14">
        <f t="shared" si="87"/>
        <v>52.198103230485451</v>
      </c>
      <c r="Q85" s="22">
        <f t="shared" si="54"/>
        <v>458.75468217404813</v>
      </c>
      <c r="R85" s="62">
        <f t="shared" si="55"/>
        <v>733.50866737119554</v>
      </c>
      <c r="S85" s="62">
        <f ca="1">AVERAGE(OFFSET($R$3,0,0,'Données projet'!$E$9+1,1))-AVERAGE(OFFSET($H$3,0,0,'Données projet'!$E$9+1,1))</f>
        <v>349.50936264852089</v>
      </c>
      <c r="T85" s="62">
        <f t="shared" si="88"/>
        <v>260.52733851266106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255.73080000000016</v>
      </c>
      <c r="AK85" s="14">
        <f t="shared" si="89"/>
        <v>61.811482021795285</v>
      </c>
      <c r="AL85" s="22">
        <f t="shared" si="58"/>
        <v>553.05280785462708</v>
      </c>
      <c r="AM85" s="62">
        <f t="shared" si="59"/>
        <v>827.80679305177455</v>
      </c>
      <c r="AN85" s="62">
        <f ca="1">AVERAGE(OFFSET($AM$3,0,0,'Données projet'!$E$10+1,1))-AVERAGE(OFFSET($H$3,0,0,'Données projet'!$E$10+1,1))</f>
        <v>447.04988989014134</v>
      </c>
      <c r="AO85" s="62">
        <f t="shared" si="90"/>
        <v>278.04061554501783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275.40240000000011</v>
      </c>
      <c r="BF85" s="14">
        <f t="shared" si="91"/>
        <v>65.994469603831561</v>
      </c>
      <c r="BG85" s="22">
        <f t="shared" si="61"/>
        <v>594.59954789334006</v>
      </c>
      <c r="BH85" s="62">
        <f t="shared" si="62"/>
        <v>869.35353309048742</v>
      </c>
      <c r="BI85" s="62">
        <f ca="1">AVERAGE(OFFSET($BH$3,0,0,'Données projet'!$E$11+1,1))-AVERAGE(OFFSET($H$3,0,0,'Données projet'!$E$11+1,1))</f>
        <v>475.58735584427552</v>
      </c>
      <c r="BJ85" s="62">
        <f t="shared" si="92"/>
        <v>294.51413339056131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4.9658410716801891E-14</v>
      </c>
      <c r="CA85" s="14">
        <f t="shared" si="93"/>
        <v>8.0934058173791862E-13</v>
      </c>
      <c r="CB85" s="22">
        <f t="shared" si="64"/>
        <v>1.4960899118586383E-12</v>
      </c>
      <c r="CC85" s="62">
        <f t="shared" si="65"/>
        <v>274.75398519714889</v>
      </c>
      <c r="CD85" s="62">
        <f ca="1">AVERAGE(OFFSET($CC$3,0,0,'Données projet'!$E$12+1,1))-AVERAGE(OFFSET($H$3,0,0,'Données projet'!$E$12+1,1))</f>
        <v>344.32696811748974</v>
      </c>
      <c r="CE85" s="62">
        <f t="shared" si="94"/>
        <v>411.51927518440766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2.471270673850952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2.471270673850952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305.60000000000002</v>
      </c>
      <c r="CU85" s="18">
        <f>CT85*VLOOKUP('Données projet'!$B$13,Paramètres!$A$1:$I$89,3,0)*VLOOKUP('Données projet'!$B$13,Paramètres!$A$1:$I$89,5,0)</f>
        <v>276.50687999999997</v>
      </c>
      <c r="CV85" s="14">
        <f t="shared" si="95"/>
        <v>66.228273722513677</v>
      </c>
      <c r="CW85" s="22">
        <f t="shared" si="67"/>
        <v>596.93039273337797</v>
      </c>
      <c r="CX85" s="62">
        <f t="shared" si="68"/>
        <v>871.68437793052544</v>
      </c>
      <c r="CY85" s="62">
        <f ca="1">AVERAGE(OFFSET($CX$3,0,0,'Données projet'!$E$13+1,1))-AVERAGE(OFFSET($H$3,0,0,'Données projet'!$E$13+1,1))</f>
        <v>473.14533251757302</v>
      </c>
      <c r="CZ85" s="62">
        <f t="shared" si="96"/>
        <v>299.82031908667142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0.56741450781757286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0.56741450781757286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89.751456703373435</v>
      </c>
      <c r="DU85" s="62">
        <f t="shared" si="98"/>
        <v>433.35713950666889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23.690213969504597</v>
      </c>
      <c r="EB85" s="23">
        <f>EXP(-LN(2)/25)*EB84+(1-EXP(-LN(2)/25))/(LN(2)/25)*Calculateur!DW85*Calculateur!DY85*VLOOKUP('Données projet'!$B$14,Paramètres!$A$1:$I$89,3,0)*0.475*44/12</f>
        <v>4.2301386014092897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27.920352570913888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204.71144247550794</v>
      </c>
      <c r="EP85" s="62">
        <f t="shared" si="100"/>
        <v>409.91012463636184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35.279524974460287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3.96348452554724E-6</v>
      </c>
      <c r="EY85" s="24">
        <f t="shared" si="75"/>
        <v>35.279528937944811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64.93290505376747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2.8000000000000003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10.266666666666667</v>
      </c>
      <c r="H86" s="70">
        <f t="shared" si="56"/>
        <v>188.90666666666664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14.142857142857142</v>
      </c>
      <c r="N86" s="14">
        <f>IF('Données projet'!$A$36&gt;35,N85+M86-V85,IF(A86&lt;'Données projet'!$A$36,$K$205^A86,IF(A86='Données projet'!$A$36,'Données projet'!$B$36,N85+M86-V85)))</f>
        <v>465.42857142857184</v>
      </c>
      <c r="O86" s="14">
        <f>N86*VLOOKUP('Données projet'!$B$9,Paramètres!$A$1:$I$89,3,0)*VLOOKUP('Données projet'!$B$9,Paramètres!$A$1:$I$89,5,0)</f>
        <v>217.82057142857164</v>
      </c>
      <c r="P86" s="14">
        <f t="shared" si="87"/>
        <v>53.640923568007189</v>
      </c>
      <c r="Q86" s="22">
        <f t="shared" si="54"/>
        <v>472.79543711904148</v>
      </c>
      <c r="R86" s="62">
        <f t="shared" si="55"/>
        <v>747.87173246915199</v>
      </c>
      <c r="S86" s="62">
        <f ca="1">AVERAGE(OFFSET($R$3,0,0,'Données projet'!$E$9+1,1))-AVERAGE(OFFSET($H$3,0,0,'Données projet'!$E$9+1,1))</f>
        <v>349.50936264852089</v>
      </c>
      <c r="T86" s="62">
        <f t="shared" si="88"/>
        <v>260.52733851266106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261.40920000000011</v>
      </c>
      <c r="AK86" s="14">
        <f t="shared" si="89"/>
        <v>63.022667885185157</v>
      </c>
      <c r="AL86" s="22">
        <f t="shared" si="58"/>
        <v>565.052169900031</v>
      </c>
      <c r="AM86" s="62">
        <f t="shared" si="59"/>
        <v>840.12846525014152</v>
      </c>
      <c r="AN86" s="62">
        <f ca="1">AVERAGE(OFFSET($AM$3,0,0,'Données projet'!$E$10+1,1))-AVERAGE(OFFSET($H$3,0,0,'Données projet'!$E$10+1,1))</f>
        <v>447.04988989014134</v>
      </c>
      <c r="AO86" s="62">
        <f t="shared" si="90"/>
        <v>278.04061554501783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281.51760000000013</v>
      </c>
      <c r="BF86" s="14">
        <f t="shared" si="91"/>
        <v>67.287620423575518</v>
      </c>
      <c r="BG86" s="22">
        <f t="shared" si="61"/>
        <v>607.50242557106083</v>
      </c>
      <c r="BH86" s="62">
        <f t="shared" si="62"/>
        <v>882.57872092117123</v>
      </c>
      <c r="BI86" s="62">
        <f ca="1">AVERAGE(OFFSET($BH$3,0,0,'Données projet'!$E$11+1,1))-AVERAGE(OFFSET($H$3,0,0,'Données projet'!$E$11+1,1))</f>
        <v>475.58735584427552</v>
      </c>
      <c r="BJ86" s="62">
        <f t="shared" si="92"/>
        <v>294.51413339056131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4.9658410716801891E-14</v>
      </c>
      <c r="CA86" s="14">
        <f t="shared" si="93"/>
        <v>8.0934058173791862E-13</v>
      </c>
      <c r="CB86" s="22">
        <f t="shared" si="64"/>
        <v>1.4960899118586383E-12</v>
      </c>
      <c r="CC86" s="62">
        <f t="shared" si="65"/>
        <v>275.07629535011193</v>
      </c>
      <c r="CD86" s="62">
        <f ca="1">AVERAGE(OFFSET($CC$3,0,0,'Données projet'!$E$12+1,1))-AVERAGE(OFFSET($H$3,0,0,'Données projet'!$E$12+1,1))</f>
        <v>344.32696811748974</v>
      </c>
      <c r="CE86" s="62">
        <f t="shared" si="94"/>
        <v>411.51927518440766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2.4036936473160213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2.4036936473160213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312.40000000000003</v>
      </c>
      <c r="CU86" s="18">
        <f>CT86*VLOOKUP('Données projet'!$B$13,Paramètres!$A$1:$I$89,3,0)*VLOOKUP('Données projet'!$B$13,Paramètres!$A$1:$I$89,5,0)</f>
        <v>282.65952000000004</v>
      </c>
      <c r="CV86" s="14">
        <f t="shared" si="95"/>
        <v>67.528732309967324</v>
      </c>
      <c r="CW86" s="22">
        <f t="shared" si="67"/>
        <v>609.91120610652649</v>
      </c>
      <c r="CX86" s="62">
        <f t="shared" si="68"/>
        <v>884.98750145663689</v>
      </c>
      <c r="CY86" s="62">
        <f ca="1">AVERAGE(OFFSET($CX$3,0,0,'Données projet'!$E$13+1,1))-AVERAGE(OFFSET($H$3,0,0,'Données projet'!$E$13+1,1))</f>
        <v>473.14533251757302</v>
      </c>
      <c r="CZ86" s="62">
        <f t="shared" si="96"/>
        <v>299.82031908667142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0.55189852826226915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0.55189852826226915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89.751456703373435</v>
      </c>
      <c r="DU86" s="62">
        <f t="shared" si="98"/>
        <v>433.35713950666889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23.225663323166355</v>
      </c>
      <c r="EB86" s="23">
        <f>EXP(-LN(2)/25)*EB85+(1-EXP(-LN(2)/25))/(LN(2)/25)*Calculateur!DW86*Calculateur!DY86*VLOOKUP('Données projet'!$B$14,Paramètres!$A$1:$I$89,3,0)*0.475*44/12</f>
        <v>4.1144652389004319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27.340128562066788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204.71144247550794</v>
      </c>
      <c r="EP86" s="62">
        <f t="shared" si="100"/>
        <v>409.91012463636184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34.587715008096588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2.8026067851423994E-6</v>
      </c>
      <c r="EY86" s="24">
        <f t="shared" si="75"/>
        <v>34.587717810703374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65.020807822757405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2.8000000000000003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10.266666666666667</v>
      </c>
      <c r="H87" s="70">
        <f t="shared" si="56"/>
        <v>188.90666666666664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14.142857142857142</v>
      </c>
      <c r="N87" s="14">
        <f>IF('Données projet'!$A$36&gt;35,N86+M87-V86,IF(A87&lt;'Données projet'!$A$36,$K$205^A87,IF(A87='Données projet'!$A$36,'Données projet'!$B$36,N86+M87-V86)))</f>
        <v>479.57142857142901</v>
      </c>
      <c r="O87" s="14">
        <f>N87*VLOOKUP('Données projet'!$B$9,Paramètres!$A$1:$I$89,3,0)*VLOOKUP('Données projet'!$B$9,Paramètres!$A$1:$I$89,5,0)</f>
        <v>224.43942857142878</v>
      </c>
      <c r="P87" s="14">
        <f t="shared" si="87"/>
        <v>55.078648812192505</v>
      </c>
      <c r="Q87" s="22">
        <f t="shared" si="54"/>
        <v>486.82731810980704</v>
      </c>
      <c r="R87" s="62">
        <f t="shared" si="55"/>
        <v>762.22033225230427</v>
      </c>
      <c r="S87" s="62">
        <f ca="1">AVERAGE(OFFSET($R$3,0,0,'Données projet'!$E$9+1,1))-AVERAGE(OFFSET($H$3,0,0,'Données projet'!$E$9+1,1))</f>
        <v>349.50936264852089</v>
      </c>
      <c r="T87" s="62">
        <f t="shared" si="88"/>
        <v>260.52733851266106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267.08760000000018</v>
      </c>
      <c r="AK87" s="14">
        <f t="shared" si="89"/>
        <v>64.230794913549914</v>
      </c>
      <c r="AL87" s="22">
        <f t="shared" si="58"/>
        <v>577.04620447443301</v>
      </c>
      <c r="AM87" s="62">
        <f t="shared" si="59"/>
        <v>852.43921861693025</v>
      </c>
      <c r="AN87" s="62">
        <f ca="1">AVERAGE(OFFSET($AM$3,0,0,'Données projet'!$E$10+1,1))-AVERAGE(OFFSET($H$3,0,0,'Données projet'!$E$10+1,1))</f>
        <v>447.04988989014134</v>
      </c>
      <c r="AO87" s="62">
        <f t="shared" si="90"/>
        <v>278.04061554501783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287.63280000000015</v>
      </c>
      <c r="BF87" s="14">
        <f t="shared" si="91"/>
        <v>68.577505406803525</v>
      </c>
      <c r="BG87" s="22">
        <f t="shared" si="61"/>
        <v>620.39961525018305</v>
      </c>
      <c r="BH87" s="62">
        <f t="shared" si="62"/>
        <v>895.79262939268028</v>
      </c>
      <c r="BI87" s="62">
        <f ca="1">AVERAGE(OFFSET($BH$3,0,0,'Données projet'!$E$11+1,1))-AVERAGE(OFFSET($H$3,0,0,'Données projet'!$E$11+1,1))</f>
        <v>475.58735584427552</v>
      </c>
      <c r="BJ87" s="62">
        <f t="shared" si="92"/>
        <v>294.51413339056131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4.9658410716801891E-14</v>
      </c>
      <c r="CA87" s="14">
        <f t="shared" si="93"/>
        <v>8.0934058173791862E-13</v>
      </c>
      <c r="CB87" s="22">
        <f t="shared" si="64"/>
        <v>1.4960899118586383E-12</v>
      </c>
      <c r="CC87" s="62">
        <f t="shared" si="65"/>
        <v>275.39301414249871</v>
      </c>
      <c r="CD87" s="62">
        <f ca="1">AVERAGE(OFFSET($CC$3,0,0,'Données projet'!$E$12+1,1))-AVERAGE(OFFSET($H$3,0,0,'Données projet'!$E$12+1,1))</f>
        <v>344.32696811748974</v>
      </c>
      <c r="CE87" s="62">
        <f t="shared" si="94"/>
        <v>411.51927518440766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2.3379645181254096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2.3379645181254096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319.20000000000005</v>
      </c>
      <c r="CU87" s="18">
        <f>CT87*VLOOKUP('Données projet'!$B$13,Paramètres!$A$1:$I$89,3,0)*VLOOKUP('Données projet'!$B$13,Paramètres!$A$1:$I$89,5,0)</f>
        <v>288.81216000000006</v>
      </c>
      <c r="CV87" s="14">
        <f t="shared" si="95"/>
        <v>68.825899854238159</v>
      </c>
      <c r="CW87" s="22">
        <f t="shared" si="67"/>
        <v>622.88628757946492</v>
      </c>
      <c r="CX87" s="62">
        <f t="shared" si="68"/>
        <v>898.27930172196216</v>
      </c>
      <c r="CY87" s="62">
        <f ca="1">AVERAGE(OFFSET($CX$3,0,0,'Données projet'!$E$13+1,1))-AVERAGE(OFFSET($H$3,0,0,'Données projet'!$E$13+1,1))</f>
        <v>473.14533251757302</v>
      </c>
      <c r="CZ87" s="62">
        <f t="shared" si="96"/>
        <v>299.82031908667142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0.5368068339838552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0.5368068339838552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89.751456703373435</v>
      </c>
      <c r="DU87" s="62">
        <f t="shared" si="98"/>
        <v>433.35713950666889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22.770222231654888</v>
      </c>
      <c r="EB87" s="23">
        <f>EXP(-LN(2)/25)*EB86+(1-EXP(-LN(2)/25))/(LN(2)/25)*Calculateur!DW87*Calculateur!DY87*VLOOKUP('Données projet'!$B$14,Paramètres!$A$1:$I$89,3,0)*0.475*44/12</f>
        <v>4.0019549705723767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26.772177202227265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204.71144247550794</v>
      </c>
      <c r="EP87" s="62">
        <f t="shared" si="100"/>
        <v>409.91012463636184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33.909471013210869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1.98174226277362E-6</v>
      </c>
      <c r="EY87" s="24">
        <f t="shared" si="75"/>
        <v>33.909472994953134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65.107185675226518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2.8000000000000003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10.266666666666667</v>
      </c>
      <c r="H88" s="70">
        <f t="shared" si="56"/>
        <v>188.90666666666664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14.142857142857142</v>
      </c>
      <c r="N88" s="14">
        <f>IF('Données projet'!$A$36&gt;35,N87+M88-V87,IF(A88&lt;'Données projet'!$A$36,$K$205^A88,IF(A88='Données projet'!$A$36,'Données projet'!$B$36,N87+M88-V87)))</f>
        <v>493.71428571428618</v>
      </c>
      <c r="O88" s="14">
        <f>N88*VLOOKUP('Données projet'!$B$9,Paramètres!$A$1:$I$89,3,0)*VLOOKUP('Données projet'!$B$9,Paramètres!$A$1:$I$89,5,0)</f>
        <v>231.05828571428594</v>
      </c>
      <c r="P88" s="14">
        <f t="shared" si="87"/>
        <v>56.511446472092771</v>
      </c>
      <c r="Q88" s="22">
        <f t="shared" si="54"/>
        <v>500.85061689127627</v>
      </c>
      <c r="R88" s="62">
        <f t="shared" si="55"/>
        <v>776.55485546318948</v>
      </c>
      <c r="S88" s="62">
        <f ca="1">AVERAGE(OFFSET($R$3,0,0,'Données projet'!$E$9+1,1))-AVERAGE(OFFSET($H$3,0,0,'Données projet'!$E$9+1,1))</f>
        <v>349.50936264852089</v>
      </c>
      <c r="T88" s="62">
        <f t="shared" si="88"/>
        <v>260.52733851266106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272.76600000000019</v>
      </c>
      <c r="AK88" s="14">
        <f t="shared" si="89"/>
        <v>65.435935630087627</v>
      </c>
      <c r="AL88" s="22">
        <f t="shared" si="58"/>
        <v>589.03503788906949</v>
      </c>
      <c r="AM88" s="62">
        <f t="shared" si="59"/>
        <v>864.73927646098264</v>
      </c>
      <c r="AN88" s="62">
        <f ca="1">AVERAGE(OFFSET($AM$3,0,0,'Données projet'!$E$10+1,1))-AVERAGE(OFFSET($H$3,0,0,'Données projet'!$E$10+1,1))</f>
        <v>447.04988989014134</v>
      </c>
      <c r="AO88" s="62">
        <f t="shared" si="90"/>
        <v>278.04061554501783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293.74800000000016</v>
      </c>
      <c r="BF88" s="14">
        <f t="shared" si="91"/>
        <v>69.864201984598637</v>
      </c>
      <c r="BG88" s="22">
        <f t="shared" si="61"/>
        <v>633.29125178984293</v>
      </c>
      <c r="BH88" s="62">
        <f t="shared" si="62"/>
        <v>908.99549036175608</v>
      </c>
      <c r="BI88" s="62">
        <f ca="1">AVERAGE(OFFSET($BH$3,0,0,'Données projet'!$E$11+1,1))-AVERAGE(OFFSET($H$3,0,0,'Données projet'!$E$11+1,1))</f>
        <v>475.58735584427552</v>
      </c>
      <c r="BJ88" s="62">
        <f t="shared" si="92"/>
        <v>294.51413339056131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4.9658410716801891E-14</v>
      </c>
      <c r="CA88" s="14">
        <f t="shared" si="93"/>
        <v>8.0934058173791862E-13</v>
      </c>
      <c r="CB88" s="22">
        <f t="shared" si="64"/>
        <v>1.4960899118586383E-12</v>
      </c>
      <c r="CC88" s="62">
        <f t="shared" si="65"/>
        <v>275.70423857191469</v>
      </c>
      <c r="CD88" s="62">
        <f ca="1">AVERAGE(OFFSET($CC$3,0,0,'Données projet'!$E$12+1,1))-AVERAGE(OFFSET($H$3,0,0,'Données projet'!$E$12+1,1))</f>
        <v>344.32696811748974</v>
      </c>
      <c r="CE88" s="62">
        <f t="shared" si="94"/>
        <v>411.51927518440766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2.2740327554290598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2.2740327554290598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326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326.00000000000006</v>
      </c>
      <c r="CU88" s="18">
        <f>CT88*VLOOKUP('Données projet'!$B$13,Paramètres!$A$1:$I$89,3,0)*VLOOKUP('Données projet'!$B$13,Paramètres!$A$1:$I$89,5,0)</f>
        <v>294.96480000000003</v>
      </c>
      <c r="CV88" s="14">
        <f t="shared" si="95"/>
        <v>70.119854541045001</v>
      </c>
      <c r="CW88" s="22">
        <f t="shared" si="67"/>
        <v>635.85577332565333</v>
      </c>
      <c r="CX88" s="62">
        <f t="shared" si="68"/>
        <v>911.56001189756648</v>
      </c>
      <c r="CY88" s="62">
        <f ca="1">AVERAGE(OFFSET($CX$3,0,0,'Données projet'!$E$13+1,1))-AVERAGE(OFFSET($H$3,0,0,'Données projet'!$E$13+1,1))</f>
        <v>473.14533251757302</v>
      </c>
      <c r="CZ88" s="62">
        <f t="shared" si="96"/>
        <v>299.82031908667142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0.52212782287912218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0.52212782287912218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89.751456703373435</v>
      </c>
      <c r="DU88" s="62">
        <f t="shared" si="98"/>
        <v>433.35713950666889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22.323712062156325</v>
      </c>
      <c r="EB88" s="23">
        <f>EXP(-LN(2)/25)*EB87+(1-EXP(-LN(2)/25))/(LN(2)/25)*Calculateur!DW88*Calculateur!DY88*VLOOKUP('Données projet'!$B$14,Paramètres!$A$1:$I$89,3,0)*0.475*44/12</f>
        <v>3.8925213014484097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26.216233363604736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204.71144247550794</v>
      </c>
      <c r="EP88" s="62">
        <f t="shared" si="100"/>
        <v>409.91012463636184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33.244526969376871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1.4013033925711997E-6</v>
      </c>
      <c r="EY88" s="24">
        <f t="shared" si="75"/>
        <v>33.244528370680264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65.19206506506724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2.8000000000000003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10.266666666666667</v>
      </c>
      <c r="H89" s="70">
        <f t="shared" si="56"/>
        <v>188.90666666666664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14.142857142857142</v>
      </c>
      <c r="N89" s="14">
        <f>IF('Données projet'!$A$36&gt;35,N88+M89-V88,IF(A89&lt;'Données projet'!$A$36,$K$205^A89,IF(A89='Données projet'!$A$36,'Données projet'!$B$36,N88+M89-V88)))</f>
        <v>507.85714285714334</v>
      </c>
      <c r="O89" s="14">
        <f>N89*VLOOKUP('Données projet'!$B$9,Paramètres!$A$1:$I$89,3,0)*VLOOKUP('Données projet'!$B$9,Paramètres!$A$1:$I$89,5,0)</f>
        <v>237.67714285714308</v>
      </c>
      <c r="P89" s="14">
        <f t="shared" si="87"/>
        <v>57.939473914063178</v>
      </c>
      <c r="Q89" s="22">
        <f t="shared" si="54"/>
        <v>514.86560754318418</v>
      </c>
      <c r="R89" s="62">
        <f t="shared" si="55"/>
        <v>790.87567149645656</v>
      </c>
      <c r="S89" s="62">
        <f ca="1">AVERAGE(OFFSET($R$3,0,0,'Données projet'!$E$9+1,1))-AVERAGE(OFFSET($H$3,0,0,'Données projet'!$E$9+1,1))</f>
        <v>349.50936264852089</v>
      </c>
      <c r="T89" s="62">
        <f t="shared" si="88"/>
        <v>260.52733851266106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256.94760000000014</v>
      </c>
      <c r="AK89" s="14">
        <f t="shared" si="89"/>
        <v>62.071283104858303</v>
      </c>
      <c r="AL89" s="22">
        <f t="shared" si="58"/>
        <v>555.6245547409618</v>
      </c>
      <c r="AM89" s="62">
        <f t="shared" si="59"/>
        <v>831.63461869423418</v>
      </c>
      <c r="AN89" s="62">
        <f ca="1">AVERAGE(OFFSET($AM$3,0,0,'Données projet'!$E$10+1,1))-AVERAGE(OFFSET($H$3,0,0,'Données projet'!$E$10+1,1))</f>
        <v>447.04988989014134</v>
      </c>
      <c r="AO89" s="62">
        <f t="shared" si="90"/>
        <v>278.04061554501783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276.71280000000013</v>
      </c>
      <c r="BF89" s="14">
        <f t="shared" si="91"/>
        <v>66.271852286117081</v>
      </c>
      <c r="BG89" s="22">
        <f t="shared" si="61"/>
        <v>597.36493606498743</v>
      </c>
      <c r="BH89" s="62">
        <f t="shared" si="62"/>
        <v>873.37500001825993</v>
      </c>
      <c r="BI89" s="62">
        <f ca="1">AVERAGE(OFFSET($BH$3,0,0,'Données projet'!$E$11+1,1))-AVERAGE(OFFSET($H$3,0,0,'Données projet'!$E$11+1,1))</f>
        <v>475.58735584427552</v>
      </c>
      <c r="BJ89" s="62">
        <f t="shared" si="92"/>
        <v>294.51413339056131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4.9658410716801891E-14</v>
      </c>
      <c r="CA89" s="14">
        <f t="shared" si="93"/>
        <v>8.0934058173791862E-13</v>
      </c>
      <c r="CB89" s="22">
        <f t="shared" si="64"/>
        <v>1.4960899118586383E-12</v>
      </c>
      <c r="CC89" s="62">
        <f t="shared" si="65"/>
        <v>276.01006395327391</v>
      </c>
      <c r="CD89" s="62">
        <f ca="1">AVERAGE(OFFSET($CC$3,0,0,'Données projet'!$E$12+1,1))-AVERAGE(OFFSET($H$3,0,0,'Données projet'!$E$12+1,1))</f>
        <v>344.32696811748974</v>
      </c>
      <c r="CE89" s="62">
        <f t="shared" si="94"/>
        <v>411.51927518440766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2.211849210145667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2.211849210145667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</v>
      </c>
      <c r="CT89" s="13">
        <f>IF('Données projet'!$A$140&gt;35,CT88+CS89-DB88,IF(A89&lt;'Données projet'!$A$140,$CQ$205^A89,IF(A89='Données projet'!$A$140,'Données projet'!$B$140,CT88+CS89-DB88)))</f>
        <v>304.40000000000003</v>
      </c>
      <c r="CU89" s="18">
        <f>CT89*VLOOKUP('Données projet'!$B$13,Paramètres!$A$1:$I$89,3,0)*VLOOKUP('Données projet'!$B$13,Paramètres!$A$1:$I$89,5,0)</f>
        <v>275.42112000000003</v>
      </c>
      <c r="CV89" s="14">
        <f t="shared" si="95"/>
        <v>65.998433293601067</v>
      </c>
      <c r="CW89" s="22">
        <f t="shared" si="67"/>
        <v>594.63905531968851</v>
      </c>
      <c r="CX89" s="62">
        <f t="shared" si="68"/>
        <v>870.64911927296089</v>
      </c>
      <c r="CY89" s="62">
        <f ca="1">AVERAGE(OFFSET($CX$3,0,0,'Données projet'!$E$13+1,1))-AVERAGE(OFFSET($H$3,0,0,'Données projet'!$E$13+1,1))</f>
        <v>473.14533251757302</v>
      </c>
      <c r="CZ89" s="62">
        <f t="shared" si="96"/>
        <v>299.82031908667142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0.50785021010498377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0.50785021010498377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89.751456703373435</v>
      </c>
      <c r="DU89" s="62">
        <f t="shared" si="98"/>
        <v>433.35713950666889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21.885957684737317</v>
      </c>
      <c r="EB89" s="23">
        <f>EXP(-LN(2)/25)*EB88+(1-EXP(-LN(2)/25))/(LN(2)/25)*Calculateur!DW89*Calculateur!DY89*VLOOKUP('Données projet'!$B$14,Paramètres!$A$1:$I$89,3,0)*0.475*44/12</f>
        <v>3.7860801017615042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25.672037786498819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204.71144247550794</v>
      </c>
      <c r="EP89" s="62">
        <f t="shared" si="100"/>
        <v>409.91012463636184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32.592622072666636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9.9087113138680999E-7</v>
      </c>
      <c r="EY89" s="24">
        <f t="shared" si="75"/>
        <v>32.592623063537765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65.275471987256125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2.8000000000000003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10.266666666666667</v>
      </c>
      <c r="H90" s="70">
        <f t="shared" si="56"/>
        <v>188.90666666666664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522</v>
      </c>
      <c r="L90" s="13">
        <f>VLOOKUP(A90,'Données projet'!$A$35:$I$55,9,0)</f>
        <v>14.142857142857142</v>
      </c>
      <c r="M90" s="13">
        <f t="array" ref="M90">INDEX(L:L,MIN(IF(ISNUMBER(L90:L286),ROW(L90:L286),"")))</f>
        <v>14.142857142857142</v>
      </c>
      <c r="N90" s="14">
        <f>IF('Données projet'!$A$36&gt;35,N89+M90-V89,IF(A90&lt;'Données projet'!$A$36,$K$205^A90,IF(A90='Données projet'!$A$36,'Données projet'!$B$36,N89+M90-V89)))</f>
        <v>522.00000000000045</v>
      </c>
      <c r="O90" s="14">
        <f>N90*VLOOKUP('Données projet'!$B$9,Paramètres!$A$1:$I$89,3,0)*VLOOKUP('Données projet'!$B$9,Paramètres!$A$1:$I$89,5,0)</f>
        <v>244.29600000000022</v>
      </c>
      <c r="P90" s="14">
        <f t="shared" si="87"/>
        <v>59.362879241040417</v>
      </c>
      <c r="Q90" s="22">
        <f t="shared" si="54"/>
        <v>528.87254801147901</v>
      </c>
      <c r="R90" s="62">
        <f t="shared" si="55"/>
        <v>805.18313195946723</v>
      </c>
      <c r="S90" s="62">
        <f ca="1">AVERAGE(OFFSET($R$3,0,0,'Données projet'!$E$9+1,1))-AVERAGE(OFFSET($H$3,0,0,'Données projet'!$E$9+1,1))</f>
        <v>349.50936264852089</v>
      </c>
      <c r="T90" s="62">
        <f t="shared" si="88"/>
        <v>260.52733851266106</v>
      </c>
      <c r="U90" s="16">
        <f>IF(ISNA(VLOOKUP(A90,'Données projet'!$A$35:$I$55,3,0)),0,VLOOKUP(A90,'Données projet'!$A$35:$I$55,3,0))</f>
        <v>15</v>
      </c>
      <c r="V90" s="16">
        <f>IF(ISNA(VLOOKUP(A90,'Données projet'!$A$35:$I$55,4,0)),0,VLOOKUP(A90,'Données projet'!$A$35:$I$55,4,0))</f>
        <v>89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262.42320000000012</v>
      </c>
      <c r="AK90" s="14">
        <f t="shared" si="89"/>
        <v>63.23862706204779</v>
      </c>
      <c r="AL90" s="22">
        <f t="shared" si="58"/>
        <v>567.19434879973335</v>
      </c>
      <c r="AM90" s="62">
        <f t="shared" si="59"/>
        <v>843.50493274772157</v>
      </c>
      <c r="AN90" s="62">
        <f ca="1">AVERAGE(OFFSET($AM$3,0,0,'Données projet'!$E$10+1,1))-AVERAGE(OFFSET($H$3,0,0,'Données projet'!$E$10+1,1))</f>
        <v>447.04988989014134</v>
      </c>
      <c r="AO90" s="62">
        <f t="shared" si="90"/>
        <v>278.04061554501783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282.60960000000011</v>
      </c>
      <c r="BF90" s="14">
        <f t="shared" si="91"/>
        <v>67.51819427275305</v>
      </c>
      <c r="BG90" s="22">
        <f t="shared" si="61"/>
        <v>609.80590835837836</v>
      </c>
      <c r="BH90" s="62">
        <f t="shared" si="62"/>
        <v>886.11649230636658</v>
      </c>
      <c r="BI90" s="62">
        <f ca="1">AVERAGE(OFFSET($BH$3,0,0,'Données projet'!$E$11+1,1))-AVERAGE(OFFSET($H$3,0,0,'Données projet'!$E$11+1,1))</f>
        <v>475.58735584427552</v>
      </c>
      <c r="BJ90" s="62">
        <f t="shared" si="92"/>
        <v>294.51413339056131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4.9658410716801891E-14</v>
      </c>
      <c r="CA90" s="14">
        <f t="shared" si="93"/>
        <v>8.0934058173791862E-13</v>
      </c>
      <c r="CB90" s="22">
        <f t="shared" si="64"/>
        <v>1.4960899118586383E-12</v>
      </c>
      <c r="CC90" s="62">
        <f t="shared" si="65"/>
        <v>276.3105839479897</v>
      </c>
      <c r="CD90" s="62">
        <f ca="1">AVERAGE(OFFSET($CC$3,0,0,'Données projet'!$E$12+1,1))-AVERAGE(OFFSET($H$3,0,0,'Données projet'!$E$12+1,1))</f>
        <v>344.32696811748974</v>
      </c>
      <c r="CE90" s="62">
        <f t="shared" si="94"/>
        <v>411.51927518440766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2.1513660771781389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2.1513660771781389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6.4</v>
      </c>
      <c r="CT90" s="13">
        <f>IF('Données projet'!$A$140&gt;35,CT89+CS90-DB89,IF(A90&lt;'Données projet'!$A$140,$CQ$205^A90,IF(A90='Données projet'!$A$140,'Données projet'!$B$140,CT89+CS90-DB89)))</f>
        <v>310.8</v>
      </c>
      <c r="CU90" s="18">
        <f>CT90*VLOOKUP('Données projet'!$B$13,Paramètres!$A$1:$I$89,3,0)*VLOOKUP('Données projet'!$B$13,Paramètres!$A$1:$I$89,5,0)</f>
        <v>281.21184</v>
      </c>
      <c r="CV90" s="14">
        <f t="shared" si="95"/>
        <v>67.22304110496664</v>
      </c>
      <c r="CW90" s="22">
        <f t="shared" si="67"/>
        <v>606.85741792448357</v>
      </c>
      <c r="CX90" s="62">
        <f t="shared" si="68"/>
        <v>883.16800187247179</v>
      </c>
      <c r="CY90" s="62">
        <f ca="1">AVERAGE(OFFSET($CX$3,0,0,'Données projet'!$E$13+1,1))-AVERAGE(OFFSET($H$3,0,0,'Données projet'!$E$13+1,1))</f>
        <v>473.14533251757302</v>
      </c>
      <c r="CZ90" s="62">
        <f t="shared" si="96"/>
        <v>299.82031908667142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0.49396301940298115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0.49396301940298115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89.751456703373435</v>
      </c>
      <c r="DU90" s="62">
        <f t="shared" si="98"/>
        <v>433.35713950666889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21.456787403655689</v>
      </c>
      <c r="EB90" s="23">
        <f>EXP(-LN(2)/25)*EB89+(1-EXP(-LN(2)/25))/(LN(2)/25)*Calculateur!DW90*Calculateur!DY90*VLOOKUP('Données projet'!$B$14,Paramètres!$A$1:$I$89,3,0)*0.475*44/12</f>
        <v>3.6825495422775365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25.139336945933223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204.71144247550794</v>
      </c>
      <c r="EP90" s="62">
        <f t="shared" si="100"/>
        <v>409.91012463636184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31.953500633358168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7.0065169628559984E-7</v>
      </c>
      <c r="EY90" s="24">
        <f t="shared" si="75"/>
        <v>31.953501334009864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65.357431985814969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2.8000000000000003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10.266666666666667</v>
      </c>
      <c r="H91" s="70">
        <f t="shared" si="56"/>
        <v>188.90666666666664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447</v>
      </c>
      <c r="L91" s="13">
        <f>VLOOKUP(A91,'Données projet'!$A$35:$I$55,9,0)</f>
        <v>14</v>
      </c>
      <c r="M91" s="13">
        <f t="array" ref="M91">INDEX(L:L,MIN(IF(ISNUMBER(L91:L287),ROW(L91:L287),"")))</f>
        <v>14</v>
      </c>
      <c r="N91" s="14">
        <f>IF('Données projet'!$A$36&gt;35,N90+M91-V90,IF(A91&lt;'Données projet'!$A$36,$K$205^A91,IF(A91='Données projet'!$A$36,'Données projet'!$B$36,N90+M91-V90)))</f>
        <v>447.00000000000045</v>
      </c>
      <c r="O91" s="14">
        <f>N91*VLOOKUP('Données projet'!$B$9,Paramètres!$A$1:$I$89,3,0)*VLOOKUP('Données projet'!$B$9,Paramètres!$A$1:$I$89,5,0)</f>
        <v>209.19600000000023</v>
      </c>
      <c r="P91" s="14">
        <f t="shared" si="87"/>
        <v>51.759852265375834</v>
      </c>
      <c r="Q91" s="22">
        <f t="shared" si="54"/>
        <v>454.4981093621966</v>
      </c>
      <c r="R91" s="62">
        <f t="shared" si="55"/>
        <v>731.10399995485432</v>
      </c>
      <c r="S91" s="62">
        <f ca="1">AVERAGE(OFFSET($R$3,0,0,'Données projet'!$E$9+1,1))-AVERAGE(OFFSET($H$3,0,0,'Données projet'!$E$9+1,1))</f>
        <v>349.50936264852089</v>
      </c>
      <c r="T91" s="62">
        <f t="shared" si="88"/>
        <v>260.52733851266106</v>
      </c>
      <c r="U91" s="16">
        <f>IF(ISNA(VLOOKUP(A91,'Données projet'!$A$35:$I$55,3,0)),0,VLOOKUP(A91,'Données projet'!$A$35:$I$55,3,0))</f>
        <v>16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267.89880000000011</v>
      </c>
      <c r="AK91" s="14">
        <f t="shared" si="89"/>
        <v>64.403139057834565</v>
      </c>
      <c r="AL91" s="22">
        <f t="shared" si="58"/>
        <v>578.75921052572869</v>
      </c>
      <c r="AM91" s="62">
        <f t="shared" si="59"/>
        <v>855.36510111838629</v>
      </c>
      <c r="AN91" s="62">
        <f ca="1">AVERAGE(OFFSET($AM$3,0,0,'Données projet'!$E$10+1,1))-AVERAGE(OFFSET($H$3,0,0,'Données projet'!$E$10+1,1))</f>
        <v>447.04988989014134</v>
      </c>
      <c r="AO91" s="62">
        <f t="shared" si="90"/>
        <v>278.04061554501783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288.5064000000001</v>
      </c>
      <c r="BF91" s="14">
        <f t="shared" si="91"/>
        <v>68.761512649784393</v>
      </c>
      <c r="BG91" s="22">
        <f t="shared" si="61"/>
        <v>622.24161453170791</v>
      </c>
      <c r="BH91" s="62">
        <f t="shared" si="62"/>
        <v>898.84750512436563</v>
      </c>
      <c r="BI91" s="62">
        <f ca="1">AVERAGE(OFFSET($BH$3,0,0,'Données projet'!$E$11+1,1))-AVERAGE(OFFSET($H$3,0,0,'Données projet'!$E$11+1,1))</f>
        <v>475.58735584427552</v>
      </c>
      <c r="BJ91" s="62">
        <f t="shared" si="92"/>
        <v>294.51413339056131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4.9658410716801891E-14</v>
      </c>
      <c r="CA91" s="14">
        <f t="shared" si="93"/>
        <v>8.0934058173791862E-13</v>
      </c>
      <c r="CB91" s="22">
        <f t="shared" si="64"/>
        <v>1.4960899118586383E-12</v>
      </c>
      <c r="CC91" s="62">
        <f t="shared" si="65"/>
        <v>276.60589059265914</v>
      </c>
      <c r="CD91" s="62">
        <f ca="1">AVERAGE(OFFSET($CC$3,0,0,'Données projet'!$E$12+1,1))-AVERAGE(OFFSET($H$3,0,0,'Données projet'!$E$12+1,1))</f>
        <v>344.32696811748974</v>
      </c>
      <c r="CE91" s="62">
        <f t="shared" si="94"/>
        <v>411.51927518440766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2.0925368586622777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2.0925368586622777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6.4</v>
      </c>
      <c r="CT91" s="13">
        <f>IF('Données projet'!$A$140&gt;35,CT90+CS91-DB90,IF(A91&lt;'Données projet'!$A$140,$CQ$205^A91,IF(A91='Données projet'!$A$140,'Données projet'!$B$140,CT90+CS91-DB90)))</f>
        <v>317.2</v>
      </c>
      <c r="CU91" s="18">
        <f>CT91*VLOOKUP('Données projet'!$B$13,Paramètres!$A$1:$I$89,3,0)*VLOOKUP('Données projet'!$B$13,Paramètres!$A$1:$I$89,5,0)</f>
        <v>287.00255999999996</v>
      </c>
      <c r="CV91" s="14">
        <f t="shared" si="95"/>
        <v>68.444716936118553</v>
      </c>
      <c r="CW91" s="22">
        <f t="shared" si="67"/>
        <v>619.07067399707296</v>
      </c>
      <c r="CX91" s="62">
        <f t="shared" si="68"/>
        <v>895.67656458973056</v>
      </c>
      <c r="CY91" s="62">
        <f ca="1">AVERAGE(OFFSET($CX$3,0,0,'Données projet'!$E$13+1,1))-AVERAGE(OFFSET($H$3,0,0,'Données projet'!$E$13+1,1))</f>
        <v>473.14533251757302</v>
      </c>
      <c r="CZ91" s="62">
        <f t="shared" si="96"/>
        <v>299.82031908667142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0.4804555746610204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0.4804555746610204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89.751456703373435</v>
      </c>
      <c r="DU91" s="62">
        <f t="shared" si="98"/>
        <v>433.35713950666889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21.036032890018049</v>
      </c>
      <c r="EB91" s="23">
        <f>EXP(-LN(2)/25)*EB90+(1-EXP(-LN(2)/25))/(LN(2)/25)*Calculateur!DW91*Calculateur!DY91*VLOOKUP('Données projet'!$B$14,Paramètres!$A$1:$I$89,3,0)*0.475*44/12</f>
        <v>3.5818500313870936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24.617882921405144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204.71144247550794</v>
      </c>
      <c r="EP91" s="62">
        <f t="shared" si="100"/>
        <v>409.91012463636184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31.326911975648951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4.9543556569340499E-7</v>
      </c>
      <c r="EY91" s="24">
        <f t="shared" si="75"/>
        <v>31.326912471084515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65.437970161633913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2.8000000000000003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10.266666666666667</v>
      </c>
      <c r="H92" s="70">
        <f t="shared" si="56"/>
        <v>188.90666666666664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13</v>
      </c>
      <c r="N92" s="14">
        <f>IF('Données projet'!$A$36&gt;35,N91+M92-V91,IF(A92&lt;'Données projet'!$A$36,$K$205^A92,IF(A92='Données projet'!$A$36,'Données projet'!$B$36,N91+M92-V91)))</f>
        <v>460.00000000000045</v>
      </c>
      <c r="O92" s="14">
        <f>N92*VLOOKUP('Données projet'!$B$9,Paramètres!$A$1:$I$89,3,0)*VLOOKUP('Données projet'!$B$9,Paramètres!$A$1:$I$89,5,0)</f>
        <v>215.28000000000023</v>
      </c>
      <c r="P92" s="14">
        <f t="shared" si="87"/>
        <v>53.08772574085318</v>
      </c>
      <c r="Q92" s="22">
        <f t="shared" si="54"/>
        <v>467.40712233198633</v>
      </c>
      <c r="R92" s="62">
        <f t="shared" si="55"/>
        <v>744.30319665923525</v>
      </c>
      <c r="S92" s="62">
        <f ca="1">AVERAGE(OFFSET($R$3,0,0,'Données projet'!$E$9+1,1))-AVERAGE(OFFSET($H$3,0,0,'Données projet'!$E$9+1,1))</f>
        <v>349.50936264852089</v>
      </c>
      <c r="T92" s="62">
        <f t="shared" si="88"/>
        <v>260.52733851266106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273.37440000000009</v>
      </c>
      <c r="AK92" s="14">
        <f t="shared" si="89"/>
        <v>65.564883644654444</v>
      </c>
      <c r="AL92" s="22">
        <f t="shared" si="58"/>
        <v>590.31925234777327</v>
      </c>
      <c r="AM92" s="62">
        <f t="shared" si="59"/>
        <v>867.2153266750222</v>
      </c>
      <c r="AN92" s="62">
        <f ca="1">AVERAGE(OFFSET($AM$3,0,0,'Données projet'!$E$10+1,1))-AVERAGE(OFFSET($H$3,0,0,'Données projet'!$E$10+1,1))</f>
        <v>447.04988989014134</v>
      </c>
      <c r="AO92" s="62">
        <f t="shared" si="90"/>
        <v>278.04061554501783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294.40320000000008</v>
      </c>
      <c r="BF92" s="14">
        <f t="shared" si="91"/>
        <v>70.001876338124134</v>
      </c>
      <c r="BG92" s="22">
        <f t="shared" si="61"/>
        <v>634.672174622233</v>
      </c>
      <c r="BH92" s="62">
        <f t="shared" si="62"/>
        <v>911.56824894948193</v>
      </c>
      <c r="BI92" s="62">
        <f ca="1">AVERAGE(OFFSET($BH$3,0,0,'Données projet'!$E$11+1,1))-AVERAGE(OFFSET($H$3,0,0,'Données projet'!$E$11+1,1))</f>
        <v>475.58735584427552</v>
      </c>
      <c r="BJ92" s="62">
        <f t="shared" si="92"/>
        <v>294.51413339056131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4.9658410716801891E-14</v>
      </c>
      <c r="CA92" s="14">
        <f t="shared" si="93"/>
        <v>8.0934058173791862E-13</v>
      </c>
      <c r="CB92" s="22">
        <f t="shared" si="64"/>
        <v>1.4960899118586383E-12</v>
      </c>
      <c r="CC92" s="62">
        <f t="shared" si="65"/>
        <v>276.8960743272504</v>
      </c>
      <c r="CD92" s="62">
        <f ca="1">AVERAGE(OFFSET($CC$3,0,0,'Données projet'!$E$12+1,1))-AVERAGE(OFFSET($H$3,0,0,'Données projet'!$E$12+1,1))</f>
        <v>344.32696811748974</v>
      </c>
      <c r="CE92" s="62">
        <f t="shared" si="94"/>
        <v>411.51927518440766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2.0353163282204267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2.0353163282204267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6.4</v>
      </c>
      <c r="CT92" s="13">
        <f>IF('Données projet'!$A$140&gt;35,CT91+CS92-DB91,IF(A92&lt;'Données projet'!$A$140,$CQ$205^A92,IF(A92='Données projet'!$A$140,'Données projet'!$B$140,CT91+CS92-DB91)))</f>
        <v>323.59999999999997</v>
      </c>
      <c r="CU92" s="18">
        <f>CT92*VLOOKUP('Données projet'!$B$13,Paramètres!$A$1:$I$89,3,0)*VLOOKUP('Données projet'!$B$13,Paramètres!$A$1:$I$89,5,0)</f>
        <v>292.79327999999992</v>
      </c>
      <c r="CV92" s="14">
        <f t="shared" si="95"/>
        <v>69.663526761731433</v>
      </c>
      <c r="CW92" s="22">
        <f t="shared" si="67"/>
        <v>631.27893844334869</v>
      </c>
      <c r="CX92" s="62">
        <f t="shared" si="68"/>
        <v>908.17501277059762</v>
      </c>
      <c r="CY92" s="62">
        <f ca="1">AVERAGE(OFFSET($CX$3,0,0,'Données projet'!$E$13+1,1))-AVERAGE(OFFSET($H$3,0,0,'Données projet'!$E$13+1,1))</f>
        <v>473.14533251757302</v>
      </c>
      <c r="CZ92" s="62">
        <f t="shared" si="96"/>
        <v>299.82031908667142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0.46731749170585424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0.46731749170585424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89.751456703373435</v>
      </c>
      <c r="DU92" s="62">
        <f t="shared" si="98"/>
        <v>433.35713950666889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20.623529115757929</v>
      </c>
      <c r="EB92" s="23">
        <f>EXP(-LN(2)/25)*EB91+(1-EXP(-LN(2)/25))/(LN(2)/25)*Calculateur!DW92*Calculateur!DY92*VLOOKUP('Données projet'!$B$14,Paramètres!$A$1:$I$89,3,0)*0.475*44/12</f>
        <v>3.4839041539175066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24.107433269675436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204.71144247550794</v>
      </c>
      <c r="EP92" s="62">
        <f t="shared" si="100"/>
        <v>409.91012463636184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30.712610339336067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3.5032584814279992E-7</v>
      </c>
      <c r="EY92" s="24">
        <f t="shared" si="75"/>
        <v>30.712610689661915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65.517111180158793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2.8000000000000003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10.266666666666667</v>
      </c>
      <c r="H93" s="70">
        <f t="shared" si="56"/>
        <v>188.90666666666664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13</v>
      </c>
      <c r="N93" s="14">
        <f>IF('Données projet'!$A$36&gt;35,N92+M93-V92,IF(A93&lt;'Données projet'!$A$36,$K$205^A93,IF(A93='Données projet'!$A$36,'Données projet'!$B$36,N92+M93-V92)))</f>
        <v>473.00000000000045</v>
      </c>
      <c r="O93" s="14">
        <f>N93*VLOOKUP('Données projet'!$B$9,Paramètres!$A$1:$I$89,3,0)*VLOOKUP('Données projet'!$B$9,Paramètres!$A$1:$I$89,5,0)</f>
        <v>221.3640000000002</v>
      </c>
      <c r="P93" s="14">
        <f t="shared" si="87"/>
        <v>54.411237653200843</v>
      </c>
      <c r="Q93" s="22">
        <f t="shared" si="54"/>
        <v>480.30853891265838</v>
      </c>
      <c r="R93" s="62">
        <f t="shared" si="55"/>
        <v>757.48976293545707</v>
      </c>
      <c r="S93" s="62">
        <f ca="1">AVERAGE(OFFSET($R$3,0,0,'Données projet'!$E$9+1,1))-AVERAGE(OFFSET($H$3,0,0,'Données projet'!$E$9+1,1))</f>
        <v>349.50936264852089</v>
      </c>
      <c r="T93" s="62">
        <f t="shared" si="88"/>
        <v>260.52733851266106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278.85000000000008</v>
      </c>
      <c r="AK93" s="14">
        <f t="shared" si="89"/>
        <v>66.723922641152967</v>
      </c>
      <c r="AL93" s="22">
        <f t="shared" si="58"/>
        <v>601.87458193334146</v>
      </c>
      <c r="AM93" s="62">
        <f t="shared" si="59"/>
        <v>879.05580595614015</v>
      </c>
      <c r="AN93" s="62">
        <f ca="1">AVERAGE(OFFSET($AM$3,0,0,'Données projet'!$E$10+1,1))-AVERAGE(OFFSET($H$3,0,0,'Données projet'!$E$10+1,1))</f>
        <v>447.04988989014134</v>
      </c>
      <c r="AO93" s="62">
        <f t="shared" si="90"/>
        <v>278.04061554501783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300.30000000000007</v>
      </c>
      <c r="BF93" s="14">
        <f t="shared" si="91"/>
        <v>71.239351339890163</v>
      </c>
      <c r="BG93" s="22">
        <f t="shared" si="61"/>
        <v>647.0977035836421</v>
      </c>
      <c r="BH93" s="62">
        <f t="shared" si="62"/>
        <v>924.27892760644067</v>
      </c>
      <c r="BI93" s="62">
        <f ca="1">AVERAGE(OFFSET($BH$3,0,0,'Données projet'!$E$11+1,1))-AVERAGE(OFFSET($H$3,0,0,'Données projet'!$E$11+1,1))</f>
        <v>475.58735584427552</v>
      </c>
      <c r="BJ93" s="62">
        <f t="shared" si="92"/>
        <v>294.51413339056131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4.9658410716801891E-14</v>
      </c>
      <c r="CA93" s="14">
        <f t="shared" si="93"/>
        <v>8.0934058173791862E-13</v>
      </c>
      <c r="CB93" s="22">
        <f t="shared" si="64"/>
        <v>1.4960899118586383E-12</v>
      </c>
      <c r="CC93" s="62">
        <f t="shared" si="65"/>
        <v>277.18122402280011</v>
      </c>
      <c r="CD93" s="62">
        <f ca="1">AVERAGE(OFFSET($CC$3,0,0,'Données projet'!$E$12+1,1))-AVERAGE(OFFSET($H$3,0,0,'Données projet'!$E$12+1,1))</f>
        <v>344.32696811748974</v>
      </c>
      <c r="CE93" s="62">
        <f t="shared" si="94"/>
        <v>411.51927518440766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1.9796604961926052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1.9796604961926052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330</v>
      </c>
      <c r="CR93" s="13">
        <f>VLOOKUP(A93,'Données projet'!$A$139:$I$159,9,0)</f>
        <v>6.4</v>
      </c>
      <c r="CS93" s="13">
        <f t="array" ref="CS93">INDEX(CR:CR,MIN(IF(ISNUMBER(CR93:CR289),ROW(CR93:CR289),"")))</f>
        <v>6.4</v>
      </c>
      <c r="CT93" s="13">
        <f>IF('Données projet'!$A$140&gt;35,CT92+CS93-DB92,IF(A93&lt;'Données projet'!$A$140,$CQ$205^A93,IF(A93='Données projet'!$A$140,'Données projet'!$B$140,CT92+CS93-DB92)))</f>
        <v>329.99999999999994</v>
      </c>
      <c r="CU93" s="18">
        <f>CT93*VLOOKUP('Données projet'!$B$13,Paramètres!$A$1:$I$89,3,0)*VLOOKUP('Données projet'!$B$13,Paramètres!$A$1:$I$89,5,0)</f>
        <v>298.58399999999995</v>
      </c>
      <c r="CV93" s="14">
        <f t="shared" si="95"/>
        <v>70.879533797607607</v>
      </c>
      <c r="CW93" s="22">
        <f t="shared" si="67"/>
        <v>643.48232136416652</v>
      </c>
      <c r="CX93" s="62">
        <f t="shared" si="68"/>
        <v>920.6635453869651</v>
      </c>
      <c r="CY93" s="62">
        <f ca="1">AVERAGE(OFFSET($CX$3,0,0,'Données projet'!$E$13+1,1))-AVERAGE(OFFSET($H$3,0,0,'Données projet'!$E$13+1,1))</f>
        <v>473.14533251757302</v>
      </c>
      <c r="CZ93" s="62">
        <f t="shared" si="96"/>
        <v>299.82031908667142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0.45453867031999884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0.45453867031999884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89.751456703373435</v>
      </c>
      <c r="DU93" s="62">
        <f t="shared" si="98"/>
        <v>433.35713950666889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20.219114288908592</v>
      </c>
      <c r="EB93" s="23">
        <f>EXP(-LN(2)/25)*EB92+(1-EXP(-LN(2)/25))/(LN(2)/25)*Calculateur!DW93*Calculateur!DY93*VLOOKUP('Données projet'!$B$14,Paramètres!$A$1:$I$89,3,0)*0.475*44/12</f>
        <v>3.3886366116180757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23.607750900526668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204.71144247550794</v>
      </c>
      <c r="EP93" s="62">
        <f t="shared" si="100"/>
        <v>409.91012463636184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30.110354783424278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2.477177828467025E-7</v>
      </c>
      <c r="EY93" s="24">
        <f t="shared" si="75"/>
        <v>30.11035503114206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65.594879278945072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2.8000000000000003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10.266666666666667</v>
      </c>
      <c r="H94" s="70">
        <f t="shared" si="56"/>
        <v>188.90666666666664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</v>
      </c>
      <c r="N94" s="14">
        <f>IF('Données projet'!$A$36&gt;35,N93+M94-V93,IF(A94&lt;'Données projet'!$A$36,$K$205^A94,IF(A94='Données projet'!$A$36,'Données projet'!$B$36,N93+M94-V93)))</f>
        <v>486.00000000000045</v>
      </c>
      <c r="O94" s="14">
        <f>N94*VLOOKUP('Données projet'!$B$9,Paramètres!$A$1:$I$89,3,0)*VLOOKUP('Données projet'!$B$9,Paramètres!$A$1:$I$89,5,0)</f>
        <v>227.44800000000021</v>
      </c>
      <c r="P94" s="14">
        <f t="shared" si="87"/>
        <v>55.730521649800735</v>
      </c>
      <c r="Q94" s="22">
        <f t="shared" si="54"/>
        <v>493.20259187340326</v>
      </c>
      <c r="R94" s="62">
        <f t="shared" si="55"/>
        <v>770.66401888203302</v>
      </c>
      <c r="S94" s="62">
        <f ca="1">AVERAGE(OFFSET($R$3,0,0,'Données projet'!$E$9+1,1))-AVERAGE(OFFSET($H$3,0,0,'Données projet'!$E$9+1,1))</f>
        <v>349.50936264852089</v>
      </c>
      <c r="T94" s="62">
        <f t="shared" si="88"/>
        <v>260.52733851266106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262.62600000000009</v>
      </c>
      <c r="AK94" s="14">
        <f t="shared" si="89"/>
        <v>63.281807230823453</v>
      </c>
      <c r="AL94" s="22">
        <f t="shared" si="58"/>
        <v>567.622764260351</v>
      </c>
      <c r="AM94" s="62">
        <f t="shared" si="59"/>
        <v>845.0841912689807</v>
      </c>
      <c r="AN94" s="62">
        <f ca="1">AVERAGE(OFFSET($AM$3,0,0,'Données projet'!$E$10+1,1))-AVERAGE(OFFSET($H$3,0,0,'Données projet'!$E$10+1,1))</f>
        <v>447.04988989014134</v>
      </c>
      <c r="AO94" s="62">
        <f t="shared" si="90"/>
        <v>278.04061554501783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282.82800000000009</v>
      </c>
      <c r="BF94" s="14">
        <f t="shared" si="91"/>
        <v>67.564296586474342</v>
      </c>
      <c r="BG94" s="22">
        <f t="shared" si="61"/>
        <v>610.26658322144294</v>
      </c>
      <c r="BH94" s="62">
        <f t="shared" si="62"/>
        <v>887.72801023007264</v>
      </c>
      <c r="BI94" s="62">
        <f ca="1">AVERAGE(OFFSET($BH$3,0,0,'Données projet'!$E$11+1,1))-AVERAGE(OFFSET($H$3,0,0,'Données projet'!$E$11+1,1))</f>
        <v>475.58735584427552</v>
      </c>
      <c r="BJ94" s="62">
        <f t="shared" si="92"/>
        <v>294.51413339056131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4.9658410716801891E-14</v>
      </c>
      <c r="CA94" s="14">
        <f t="shared" si="93"/>
        <v>8.0934058173791862E-13</v>
      </c>
      <c r="CB94" s="22">
        <f t="shared" si="64"/>
        <v>1.4960899118586383E-12</v>
      </c>
      <c r="CC94" s="62">
        <f t="shared" si="65"/>
        <v>277.46142700863123</v>
      </c>
      <c r="CD94" s="62">
        <f ca="1">AVERAGE(OFFSET($CC$3,0,0,'Données projet'!$E$12+1,1))-AVERAGE(OFFSET($H$3,0,0,'Données projet'!$E$12+1,1))</f>
        <v>344.32696811748974</v>
      </c>
      <c r="CE94" s="62">
        <f t="shared" si="94"/>
        <v>411.51927518440766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1.9255265758183975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1.9255265758183975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307.99999999999994</v>
      </c>
      <c r="CU94" s="18">
        <f>CT94*VLOOKUP('Données projet'!$B$13,Paramètres!$A$1:$I$89,3,0)*VLOOKUP('Données projet'!$B$13,Paramètres!$A$1:$I$89,5,0)</f>
        <v>278.67839999999995</v>
      </c>
      <c r="CV94" s="14">
        <f t="shared" si="95"/>
        <v>66.687639951856809</v>
      </c>
      <c r="CW94" s="22">
        <f t="shared" si="67"/>
        <v>601.51251958281716</v>
      </c>
      <c r="CX94" s="62">
        <f t="shared" si="68"/>
        <v>878.97394659144697</v>
      </c>
      <c r="CY94" s="62">
        <f ca="1">AVERAGE(OFFSET($CX$3,0,0,'Données projet'!$E$13+1,1))-AVERAGE(OFFSET($H$3,0,0,'Données projet'!$E$13+1,1))</f>
        <v>473.14533251757302</v>
      </c>
      <c r="CZ94" s="62">
        <f t="shared" si="96"/>
        <v>299.82031908667142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0.44210928647694864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0.44210928647694864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89.751456703373435</v>
      </c>
      <c r="DU94" s="62">
        <f t="shared" si="98"/>
        <v>433.35713950666889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19.822629790145083</v>
      </c>
      <c r="EB94" s="23">
        <f>EXP(-LN(2)/25)*EB93+(1-EXP(-LN(2)/25))/(LN(2)/25)*Calculateur!DW94*Calculateur!DY94*VLOOKUP('Données projet'!$B$14,Paramètres!$A$1:$I$89,3,0)*0.475*44/12</f>
        <v>3.295974165272725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23.118603955417807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204.71144247550794</v>
      </c>
      <c r="EP94" s="62">
        <f t="shared" si="100"/>
        <v>409.91012463636184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29.519909091624303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1.7516292407139996E-7</v>
      </c>
      <c r="EY94" s="24">
        <f t="shared" si="75"/>
        <v>29.519909266787227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65.671298275080844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2.8000000000000003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10.266666666666667</v>
      </c>
      <c r="H95" s="70">
        <f t="shared" si="56"/>
        <v>188.90666666666664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</v>
      </c>
      <c r="N95" s="14">
        <f>IF('Données projet'!$A$36&gt;35,N94+M95-V94,IF(A95&lt;'Données projet'!$A$36,$K$205^A95,IF(A95='Données projet'!$A$36,'Données projet'!$B$36,N94+M95-V94)))</f>
        <v>499.00000000000045</v>
      </c>
      <c r="O95" s="14">
        <f>N95*VLOOKUP('Données projet'!$B$9,Paramètres!$A$1:$I$89,3,0)*VLOOKUP('Données projet'!$B$9,Paramètres!$A$1:$I$89,5,0)</f>
        <v>233.53200000000021</v>
      </c>
      <c r="P95" s="14">
        <f t="shared" si="87"/>
        <v>57.04570382109813</v>
      </c>
      <c r="Q95" s="22">
        <f t="shared" si="54"/>
        <v>506.08950082174624</v>
      </c>
      <c r="R95" s="62">
        <f t="shared" si="55"/>
        <v>783.82626992084306</v>
      </c>
      <c r="S95" s="62">
        <f ca="1">AVERAGE(OFFSET($R$3,0,0,'Données projet'!$E$9+1,1))-AVERAGE(OFFSET($H$3,0,0,'Données projet'!$E$9+1,1))</f>
        <v>349.50936264852089</v>
      </c>
      <c r="T95" s="62">
        <f t="shared" si="88"/>
        <v>260.52733851266106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267.69600000000008</v>
      </c>
      <c r="AK95" s="14">
        <f t="shared" si="89"/>
        <v>64.360058723585496</v>
      </c>
      <c r="AL95" s="22">
        <f t="shared" si="58"/>
        <v>578.33096894357823</v>
      </c>
      <c r="AM95" s="62">
        <f t="shared" si="59"/>
        <v>856.06773804267505</v>
      </c>
      <c r="AN95" s="62">
        <f ca="1">AVERAGE(OFFSET($AM$3,0,0,'Données projet'!$E$10+1,1))-AVERAGE(OFFSET($H$3,0,0,'Données projet'!$E$10+1,1))</f>
        <v>447.04988989014134</v>
      </c>
      <c r="AO95" s="62">
        <f t="shared" si="90"/>
        <v>278.04061554501783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288.28800000000007</v>
      </c>
      <c r="BF95" s="14">
        <f t="shared" si="91"/>
        <v>68.715516926722444</v>
      </c>
      <c r="BG95" s="22">
        <f t="shared" si="61"/>
        <v>621.78112531404167</v>
      </c>
      <c r="BH95" s="62">
        <f t="shared" si="62"/>
        <v>899.51789441313849</v>
      </c>
      <c r="BI95" s="62">
        <f ca="1">AVERAGE(OFFSET($BH$3,0,0,'Données projet'!$E$11+1,1))-AVERAGE(OFFSET($H$3,0,0,'Données projet'!$E$11+1,1))</f>
        <v>475.58735584427552</v>
      </c>
      <c r="BJ95" s="62">
        <f t="shared" si="92"/>
        <v>294.51413339056131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4.9658410716801891E-14</v>
      </c>
      <c r="CA95" s="14">
        <f t="shared" si="93"/>
        <v>8.0934058173791862E-13</v>
      </c>
      <c r="CB95" s="22">
        <f t="shared" si="64"/>
        <v>1.4960899118586383E-12</v>
      </c>
      <c r="CC95" s="62">
        <f t="shared" si="65"/>
        <v>277.73676909909824</v>
      </c>
      <c r="CD95" s="62">
        <f ca="1">AVERAGE(OFFSET($CC$3,0,0,'Données projet'!$E$12+1,1))-AVERAGE(OFFSET($H$3,0,0,'Données projet'!$E$12+1,1))</f>
        <v>344.32696811748974</v>
      </c>
      <c r="CE95" s="62">
        <f t="shared" si="94"/>
        <v>411.51927518440766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1.8728729503436017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1.8728729503436017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313.99999999999994</v>
      </c>
      <c r="CU95" s="18">
        <f>CT95*VLOOKUP('Données projet'!$B$13,Paramètres!$A$1:$I$89,3,0)*VLOOKUP('Données projet'!$B$13,Paramètres!$A$1:$I$89,5,0)</f>
        <v>284.10719999999992</v>
      </c>
      <c r="CV95" s="14">
        <f t="shared" si="95"/>
        <v>67.834241327943715</v>
      </c>
      <c r="CW95" s="22">
        <f t="shared" si="67"/>
        <v>612.96467697950186</v>
      </c>
      <c r="CX95" s="62">
        <f t="shared" si="68"/>
        <v>890.70144607859856</v>
      </c>
      <c r="CY95" s="62">
        <f ca="1">AVERAGE(OFFSET($CX$3,0,0,'Données projet'!$E$13+1,1))-AVERAGE(OFFSET($H$3,0,0,'Données projet'!$E$13+1,1))</f>
        <v>473.14533251757302</v>
      </c>
      <c r="CZ95" s="62">
        <f t="shared" si="96"/>
        <v>299.82031908667142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0.43001978478871955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0.43001978478871955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89.751456703373435</v>
      </c>
      <c r="DU95" s="62">
        <f t="shared" si="98"/>
        <v>433.35713950666889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19.433920110570661</v>
      </c>
      <c r="EB95" s="23">
        <f>EXP(-LN(2)/25)*EB94+(1-EXP(-LN(2)/25))/(LN(2)/25)*Calculateur!DW95*Calculateur!DY95*VLOOKUP('Données projet'!$B$14,Paramètres!$A$1:$I$89,3,0)*0.475*44/12</f>
        <v>3.2058455783955941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22.639765688966254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204.71144247550794</v>
      </c>
      <c r="EP95" s="62">
        <f t="shared" si="100"/>
        <v>409.91012463636184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28.941041679704213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1.2385889142335125E-7</v>
      </c>
      <c r="EY95" s="24">
        <f t="shared" si="75"/>
        <v>28.941041803563106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65.746391572480931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2.8000000000000003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10.266666666666667</v>
      </c>
      <c r="H96" s="70">
        <f t="shared" si="56"/>
        <v>188.90666666666664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</v>
      </c>
      <c r="N96" s="14">
        <f>IF('Données projet'!$A$36&gt;35,N95+M96-V95,IF(A96&lt;'Données projet'!$A$36,$K$205^A96,IF(A96='Données projet'!$A$36,'Données projet'!$B$36,N95+M96-V95)))</f>
        <v>512.00000000000045</v>
      </c>
      <c r="O96" s="14">
        <f>N96*VLOOKUP('Données projet'!$B$9,Paramètres!$A$1:$I$89,3,0)*VLOOKUP('Données projet'!$B$9,Paramètres!$A$1:$I$89,5,0)</f>
        <v>239.61600000000021</v>
      </c>
      <c r="P96" s="14">
        <f t="shared" si="87"/>
        <v>58.356903313490214</v>
      </c>
      <c r="Q96" s="22">
        <f t="shared" si="54"/>
        <v>518.96947327099576</v>
      </c>
      <c r="R96" s="62">
        <f t="shared" si="55"/>
        <v>796.97680789086257</v>
      </c>
      <c r="S96" s="62">
        <f ca="1">AVERAGE(OFFSET($R$3,0,0,'Données projet'!$E$9+1,1))-AVERAGE(OFFSET($H$3,0,0,'Données projet'!$E$9+1,1))</f>
        <v>349.50936264852089</v>
      </c>
      <c r="T96" s="62">
        <f t="shared" si="88"/>
        <v>260.52733851266106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272.76600000000008</v>
      </c>
      <c r="AK96" s="14">
        <f t="shared" si="89"/>
        <v>65.435935630087627</v>
      </c>
      <c r="AL96" s="22">
        <f t="shared" si="58"/>
        <v>589.03503788906926</v>
      </c>
      <c r="AM96" s="62">
        <f t="shared" si="59"/>
        <v>867.04237250893607</v>
      </c>
      <c r="AN96" s="62">
        <f ca="1">AVERAGE(OFFSET($AM$3,0,0,'Données projet'!$E$10+1,1))-AVERAGE(OFFSET($H$3,0,0,'Données projet'!$E$10+1,1))</f>
        <v>447.04988989014134</v>
      </c>
      <c r="AO96" s="62">
        <f t="shared" si="90"/>
        <v>278.04061554501783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293.74800000000005</v>
      </c>
      <c r="BF96" s="14">
        <f t="shared" si="91"/>
        <v>69.864201984598637</v>
      </c>
      <c r="BG96" s="22">
        <f t="shared" si="61"/>
        <v>633.2912517898427</v>
      </c>
      <c r="BH96" s="62">
        <f t="shared" si="62"/>
        <v>911.29858640970951</v>
      </c>
      <c r="BI96" s="62">
        <f ca="1">AVERAGE(OFFSET($BH$3,0,0,'Données projet'!$E$11+1,1))-AVERAGE(OFFSET($H$3,0,0,'Données projet'!$E$11+1,1))</f>
        <v>475.58735584427552</v>
      </c>
      <c r="BJ96" s="62">
        <f t="shared" si="92"/>
        <v>294.51413339056131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4.9658410716801891E-14</v>
      </c>
      <c r="CA96" s="14">
        <f t="shared" si="93"/>
        <v>8.0934058173791862E-13</v>
      </c>
      <c r="CB96" s="22">
        <f t="shared" si="64"/>
        <v>1.4960899118586383E-12</v>
      </c>
      <c r="CC96" s="62">
        <f t="shared" si="65"/>
        <v>278.00733461986835</v>
      </c>
      <c r="CD96" s="62">
        <f ca="1">AVERAGE(OFFSET($CC$3,0,0,'Données projet'!$E$12+1,1))-AVERAGE(OFFSET($H$3,0,0,'Données projet'!$E$12+1,1))</f>
        <v>344.32696811748974</v>
      </c>
      <c r="CE96" s="62">
        <f t="shared" si="94"/>
        <v>411.51927518440766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1.8216591410263479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1.8216591410263479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319.99999999999994</v>
      </c>
      <c r="CU96" s="18">
        <f>CT96*VLOOKUP('Données projet'!$B$13,Paramètres!$A$1:$I$89,3,0)*VLOOKUP('Données projet'!$B$13,Paramètres!$A$1:$I$89,5,0)</f>
        <v>289.53599999999994</v>
      </c>
      <c r="CV96" s="14">
        <f t="shared" si="95"/>
        <v>68.97829509904436</v>
      </c>
      <c r="CW96" s="22">
        <f t="shared" si="67"/>
        <v>624.41239729750214</v>
      </c>
      <c r="CX96" s="62">
        <f t="shared" si="68"/>
        <v>902.41973191736906</v>
      </c>
      <c r="CY96" s="62">
        <f ca="1">AVERAGE(OFFSET($CX$3,0,0,'Données projet'!$E$13+1,1))-AVERAGE(OFFSET($H$3,0,0,'Données projet'!$E$13+1,1))</f>
        <v>473.14533251757302</v>
      </c>
      <c r="CZ96" s="62">
        <f t="shared" si="96"/>
        <v>299.82031908667142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0.41826087115991434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0.41826087115991434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89.751456703373435</v>
      </c>
      <c r="DU96" s="62">
        <f t="shared" si="98"/>
        <v>433.35713950666889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19.052832790723201</v>
      </c>
      <c r="EB96" s="23">
        <f>EXP(-LN(2)/25)*EB95+(1-EXP(-LN(2)/25))/(LN(2)/25)*Calculateur!DW96*Calculateur!DY96*VLOOKUP('Données projet'!$B$14,Paramètres!$A$1:$I$89,3,0)*0.475*44/12</f>
        <v>3.1181815624662748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22.171014353189477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204.71144247550794</v>
      </c>
      <c r="EP96" s="62">
        <f t="shared" si="100"/>
        <v>409.91012463636184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28.373525504657618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8.7581462035699981E-8</v>
      </c>
      <c r="EY96" s="24">
        <f t="shared" si="75"/>
        <v>28.37352559223908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65.82018216905459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2.8000000000000003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10.266666666666667</v>
      </c>
      <c r="H97" s="70">
        <f t="shared" si="56"/>
        <v>188.90666666666664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525</v>
      </c>
      <c r="L97" s="13">
        <f>VLOOKUP(A97,'Données projet'!$A$35:$I$55,9,0)</f>
        <v>13</v>
      </c>
      <c r="M97" s="13">
        <f t="array" ref="M97">INDEX(L:L,MIN(IF(ISNUMBER(L97:L293),ROW(L97:L293),"")))</f>
        <v>13</v>
      </c>
      <c r="N97" s="14">
        <f>IF('Données projet'!$A$36&gt;35,N96+M97-V96,IF(A97&lt;'Données projet'!$A$36,$K$205^A97,IF(A97='Données projet'!$A$36,'Données projet'!$B$36,N96+M97-V96)))</f>
        <v>525.00000000000045</v>
      </c>
      <c r="O97" s="14">
        <f>N97*VLOOKUP('Données projet'!$B$9,Paramètres!$A$1:$I$89,3,0)*VLOOKUP('Données projet'!$B$9,Paramètres!$A$1:$I$89,5,0)</f>
        <v>245.70000000000022</v>
      </c>
      <c r="P97" s="14">
        <f t="shared" si="87"/>
        <v>59.66423287821754</v>
      </c>
      <c r="Q97" s="22">
        <f t="shared" si="54"/>
        <v>531.84270559622928</v>
      </c>
      <c r="R97" s="62">
        <f t="shared" si="55"/>
        <v>810.11591202997465</v>
      </c>
      <c r="S97" s="62">
        <f ca="1">AVERAGE(OFFSET($R$3,0,0,'Données projet'!$E$9+1,1))-AVERAGE(OFFSET($H$3,0,0,'Données projet'!$E$9+1,1))</f>
        <v>349.50936264852089</v>
      </c>
      <c r="T97" s="62">
        <f t="shared" si="88"/>
        <v>260.52733851266106</v>
      </c>
      <c r="U97" s="16">
        <f>IF(ISNA(VLOOKUP(A97,'Données projet'!$A$35:$I$55,3,0)),0,VLOOKUP(A97,'Données projet'!$A$35:$I$55,3,0))</f>
        <v>17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277.83600000000007</v>
      </c>
      <c r="AK97" s="14">
        <f t="shared" si="89"/>
        <v>66.509487177652318</v>
      </c>
      <c r="AL97" s="22">
        <f t="shared" si="58"/>
        <v>599.73505683441124</v>
      </c>
      <c r="AM97" s="62">
        <f t="shared" si="59"/>
        <v>878.00826326815672</v>
      </c>
      <c r="AN97" s="62">
        <f ca="1">AVERAGE(OFFSET($AM$3,0,0,'Données projet'!$E$10+1,1))-AVERAGE(OFFSET($H$3,0,0,'Données projet'!$E$10+1,1))</f>
        <v>447.04988989014134</v>
      </c>
      <c r="AO97" s="62">
        <f t="shared" si="90"/>
        <v>278.04061554501783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299.20800000000008</v>
      </c>
      <c r="BF97" s="14">
        <f t="shared" si="91"/>
        <v>71.010404318801307</v>
      </c>
      <c r="BG97" s="22">
        <f t="shared" si="61"/>
        <v>644.79705418857907</v>
      </c>
      <c r="BH97" s="62">
        <f t="shared" si="62"/>
        <v>923.07026062232444</v>
      </c>
      <c r="BI97" s="62">
        <f ca="1">AVERAGE(OFFSET($BH$3,0,0,'Données projet'!$E$11+1,1))-AVERAGE(OFFSET($H$3,0,0,'Données projet'!$E$11+1,1))</f>
        <v>475.58735584427552</v>
      </c>
      <c r="BJ97" s="62">
        <f t="shared" si="92"/>
        <v>294.51413339056131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4.9658410716801891E-14</v>
      </c>
      <c r="CA97" s="14">
        <f t="shared" si="93"/>
        <v>8.0934058173791862E-13</v>
      </c>
      <c r="CB97" s="22">
        <f t="shared" si="64"/>
        <v>1.4960899118586383E-12</v>
      </c>
      <c r="CC97" s="62">
        <f t="shared" si="65"/>
        <v>278.27320643374691</v>
      </c>
      <c r="CD97" s="62">
        <f ca="1">AVERAGE(OFFSET($CC$3,0,0,'Données projet'!$E$12+1,1))-AVERAGE(OFFSET($H$3,0,0,'Données projet'!$E$12+1,1))</f>
        <v>344.32696811748974</v>
      </c>
      <c r="CE97" s="62">
        <f t="shared" si="94"/>
        <v>411.51927518440766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1.7718457760180917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1.7718457760180917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325.99999999999994</v>
      </c>
      <c r="CU97" s="18">
        <f>CT97*VLOOKUP('Données projet'!$B$13,Paramètres!$A$1:$I$89,3,0)*VLOOKUP('Données projet'!$B$13,Paramètres!$A$1:$I$89,5,0)</f>
        <v>294.96479999999997</v>
      </c>
      <c r="CV97" s="14">
        <f t="shared" si="95"/>
        <v>70.119854541045001</v>
      </c>
      <c r="CW97" s="22">
        <f t="shared" si="67"/>
        <v>635.85577332565333</v>
      </c>
      <c r="CX97" s="62">
        <f t="shared" si="68"/>
        <v>914.12897975939882</v>
      </c>
      <c r="CY97" s="62">
        <f ca="1">AVERAGE(OFFSET($CX$3,0,0,'Données projet'!$E$13+1,1))-AVERAGE(OFFSET($H$3,0,0,'Données projet'!$E$13+1,1))</f>
        <v>473.14533251757302</v>
      </c>
      <c r="CZ97" s="62">
        <f t="shared" si="96"/>
        <v>299.82031908667142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0.40682350564266323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0.40682350564266323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89.751456703373435</v>
      </c>
      <c r="DU97" s="62">
        <f t="shared" si="98"/>
        <v>433.35713950666889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18.679218360777636</v>
      </c>
      <c r="EB97" s="23">
        <f>EXP(-LN(2)/25)*EB96+(1-EXP(-LN(2)/25))/(LN(2)/25)*Calculateur!DW97*Calculateur!DY97*VLOOKUP('Données projet'!$B$14,Paramètres!$A$1:$I$89,3,0)*0.475*44/12</f>
        <v>3.0329147236625928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21.712133084440229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204.71144247550794</v>
      </c>
      <c r="EP97" s="62">
        <f t="shared" si="100"/>
        <v>409.91012463636184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27.817137975653001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6.1929445711675624E-8</v>
      </c>
      <c r="EY97" s="24">
        <f t="shared" si="75"/>
        <v>27.817138037582446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65.892692663748761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2.8000000000000003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10.266666666666667</v>
      </c>
      <c r="H98" s="70">
        <f t="shared" si="56"/>
        <v>188.90666666666664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538</v>
      </c>
      <c r="L98" s="13">
        <f>VLOOKUP(A98,'Données projet'!$A$35:$I$55,9,0)</f>
        <v>13</v>
      </c>
      <c r="M98" s="13">
        <f t="array" ref="M98">INDEX(L:L,MIN(IF(ISNUMBER(L98:L294),ROW(L98:L294),"")))</f>
        <v>13</v>
      </c>
      <c r="N98" s="14">
        <f>IF('Données projet'!$A$36&gt;35,N97+M98-V97,IF(A98&lt;'Données projet'!$A$36,$K$205^A98,IF(A98='Données projet'!$A$36,'Données projet'!$B$36,N97+M98-V97)))</f>
        <v>538.00000000000045</v>
      </c>
      <c r="O98" s="14">
        <f>N98*VLOOKUP('Données projet'!$B$9,Paramètres!$A$1:$I$89,3,0)*VLOOKUP('Données projet'!$B$9,Paramètres!$A$1:$I$89,5,0)</f>
        <v>251.78400000000019</v>
      </c>
      <c r="P98" s="14">
        <f t="shared" si="87"/>
        <v>60.967799364357568</v>
      </c>
      <c r="Q98" s="22">
        <f t="shared" si="54"/>
        <v>544.70938389292303</v>
      </c>
      <c r="R98" s="62">
        <f t="shared" si="55"/>
        <v>823.24384985897655</v>
      </c>
      <c r="S98" s="62">
        <f ca="1">AVERAGE(OFFSET($R$3,0,0,'Données projet'!$E$9+1,1))-AVERAGE(OFFSET($H$3,0,0,'Données projet'!$E$9+1,1))</f>
        <v>349.50936264852089</v>
      </c>
      <c r="T98" s="62">
        <f t="shared" si="88"/>
        <v>260.52733851266106</v>
      </c>
      <c r="U98" s="16">
        <f>IF(ISNA(VLOOKUP(A98,'Données projet'!$A$35:$I$55,3,0)),0,VLOOKUP(A98,'Données projet'!$A$35:$I$55,3,0))</f>
        <v>18</v>
      </c>
      <c r="V98" s="16">
        <f>IF(ISNA(VLOOKUP(A98,'Données projet'!$A$35:$I$55,4,0)),0,VLOOKUP(A98,'Données projet'!$A$35:$I$55,4,0))</f>
        <v>269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282.90600000000006</v>
      </c>
      <c r="AK98" s="14">
        <f t="shared" si="89"/>
        <v>67.580760694123512</v>
      </c>
      <c r="AL98" s="22">
        <f t="shared" si="58"/>
        <v>610.43110820893185</v>
      </c>
      <c r="AM98" s="62">
        <f t="shared" si="59"/>
        <v>888.96557417498548</v>
      </c>
      <c r="AN98" s="62">
        <f ca="1">AVERAGE(OFFSET($AM$3,0,0,'Données projet'!$E$10+1,1))-AVERAGE(OFFSET($H$3,0,0,'Données projet'!$E$10+1,1))</f>
        <v>447.04988989014134</v>
      </c>
      <c r="AO98" s="62">
        <f t="shared" si="90"/>
        <v>278.04061554501783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304.66800000000006</v>
      </c>
      <c r="BF98" s="14">
        <f t="shared" si="91"/>
        <v>72.154174460006061</v>
      </c>
      <c r="BG98" s="22">
        <f t="shared" si="61"/>
        <v>656.29862051784391</v>
      </c>
      <c r="BH98" s="62">
        <f t="shared" si="62"/>
        <v>934.83308648389743</v>
      </c>
      <c r="BI98" s="62">
        <f ca="1">AVERAGE(OFFSET($BH$3,0,0,'Données projet'!$E$11+1,1))-AVERAGE(OFFSET($H$3,0,0,'Données projet'!$E$11+1,1))</f>
        <v>475.58735584427552</v>
      </c>
      <c r="BJ98" s="62">
        <f t="shared" si="92"/>
        <v>294.51413339056131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4.9658410716801891E-14</v>
      </c>
      <c r="CA98" s="14">
        <f t="shared" si="93"/>
        <v>8.0934058173791862E-13</v>
      </c>
      <c r="CB98" s="22">
        <f t="shared" si="64"/>
        <v>1.4960899118586383E-12</v>
      </c>
      <c r="CC98" s="62">
        <f t="shared" si="65"/>
        <v>278.53446596605505</v>
      </c>
      <c r="CD98" s="62">
        <f ca="1">AVERAGE(OFFSET($CC$3,0,0,'Données projet'!$E$12+1,1))-AVERAGE(OFFSET($H$3,0,0,'Données projet'!$E$12+1,1))</f>
        <v>344.32696811748974</v>
      </c>
      <c r="CE98" s="62">
        <f t="shared" si="94"/>
        <v>411.51927518440766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1.7233945600955571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1.7233945600955571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332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331.99999999999994</v>
      </c>
      <c r="CU98" s="18">
        <f>CT98*VLOOKUP('Données projet'!$B$13,Paramètres!$A$1:$I$89,3,0)*VLOOKUP('Données projet'!$B$13,Paramètres!$A$1:$I$89,5,0)</f>
        <v>300.39359999999994</v>
      </c>
      <c r="CV98" s="14">
        <f t="shared" si="95"/>
        <v>71.258970856492667</v>
      </c>
      <c r="CW98" s="22">
        <f t="shared" si="67"/>
        <v>647.29489424172459</v>
      </c>
      <c r="CX98" s="62">
        <f t="shared" si="68"/>
        <v>925.82936020777811</v>
      </c>
      <c r="CY98" s="62">
        <f ca="1">AVERAGE(OFFSET($CX$3,0,0,'Données projet'!$E$13+1,1))-AVERAGE(OFFSET($H$3,0,0,'Données projet'!$E$13+1,1))</f>
        <v>473.14533251757302</v>
      </c>
      <c r="CZ98" s="62">
        <f t="shared" si="96"/>
        <v>299.82031908667142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0.39569889548694626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0.39569889548694626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89.751456703373435</v>
      </c>
      <c r="DU98" s="62">
        <f t="shared" si="98"/>
        <v>433.35713950666889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18.312930281921002</v>
      </c>
      <c r="EB98" s="23">
        <f>EXP(-LN(2)/25)*EB97+(1-EXP(-LN(2)/25))/(LN(2)/25)*Calculateur!DW98*Calculateur!DY98*VLOOKUP('Données projet'!$B$14,Paramètres!$A$1:$I$89,3,0)*0.475*44/12</f>
        <v>2.9499795110499858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21.262909792970987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204.71144247550794</v>
      </c>
      <c r="EP98" s="62">
        <f t="shared" si="100"/>
        <v>409.91012463636184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27.271660866729281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4.379073101784999E-8</v>
      </c>
      <c r="EY98" s="24">
        <f t="shared" si="75"/>
        <v>27.271660910520012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65.963945263469157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2.8000000000000003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10.266666666666667</v>
      </c>
      <c r="H99" s="70">
        <f t="shared" si="56"/>
        <v>188.90666666666664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280</v>
      </c>
      <c r="L99" s="13">
        <f>VLOOKUP(A99,'Données projet'!$A$35:$I$55,9,0)</f>
        <v>11</v>
      </c>
      <c r="M99" s="13">
        <f t="array" ref="M99">INDEX(L:L,MIN(IF(ISNUMBER(L99:L295),ROW(L99:L295),"")))</f>
        <v>11</v>
      </c>
      <c r="N99" s="14">
        <f>IF('Données projet'!$A$36&gt;35,N98+M99-V98,IF(A99&lt;'Données projet'!$A$36,$K$205^A99,IF(A99='Données projet'!$A$36,'Données projet'!$B$36,N98+M99-V98)))</f>
        <v>280.00000000000045</v>
      </c>
      <c r="O99" s="14">
        <f>N99*VLOOKUP('Données projet'!$B$9,Paramètres!$A$1:$I$89,3,0)*VLOOKUP('Données projet'!$B$9,Paramètres!$A$1:$I$89,5,0)</f>
        <v>131.04000000000019</v>
      </c>
      <c r="P99" s="14">
        <f t="shared" si="87"/>
        <v>34.236561238949953</v>
      </c>
      <c r="Q99" s="22">
        <f t="shared" ref="Q99:Q130" si="107">(O99+P99)*0.475*44/12</f>
        <v>287.85667749117147</v>
      </c>
      <c r="R99" s="62">
        <f t="shared" si="55"/>
        <v>566.64787072073636</v>
      </c>
      <c r="S99" s="62">
        <f ca="1">AVERAGE(OFFSET($R$3,0,0,'Données projet'!$E$9+1,1))-AVERAGE(OFFSET($H$3,0,0,'Données projet'!$E$9+1,1))</f>
        <v>349.50936264852089</v>
      </c>
      <c r="T99" s="62">
        <f t="shared" si="88"/>
        <v>260.52733851266106</v>
      </c>
      <c r="U99" s="16">
        <f>IF(ISNA(VLOOKUP(A99,'Données projet'!$A$35:$I$55,3,0)),0,VLOOKUP(A99,'Données projet'!$A$35:$I$55,3,0))</f>
        <v>19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266.47920000000011</v>
      </c>
      <c r="AK99" s="14">
        <f t="shared" si="89"/>
        <v>64.101496824889679</v>
      </c>
      <c r="AL99" s="22">
        <f t="shared" si="58"/>
        <v>575.76138030334971</v>
      </c>
      <c r="AM99" s="62">
        <f t="shared" si="59"/>
        <v>854.55257353291472</v>
      </c>
      <c r="AN99" s="62">
        <f ca="1">AVERAGE(OFFSET($AM$3,0,0,'Données projet'!$E$10+1,1))-AVERAGE(OFFSET($H$3,0,0,'Données projet'!$E$10+1,1))</f>
        <v>447.04988989014134</v>
      </c>
      <c r="AO99" s="62">
        <f t="shared" si="90"/>
        <v>278.04061554501783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286.97760000000005</v>
      </c>
      <c r="BF99" s="14">
        <f t="shared" si="91"/>
        <v>68.43945728851196</v>
      </c>
      <c r="BG99" s="22">
        <f t="shared" si="61"/>
        <v>619.01804144415848</v>
      </c>
      <c r="BH99" s="62">
        <f t="shared" si="62"/>
        <v>897.80923467372349</v>
      </c>
      <c r="BI99" s="62">
        <f ca="1">AVERAGE(OFFSET($BH$3,0,0,'Données projet'!$E$11+1,1))-AVERAGE(OFFSET($H$3,0,0,'Données projet'!$E$11+1,1))</f>
        <v>475.58735584427552</v>
      </c>
      <c r="BJ99" s="62">
        <f t="shared" si="92"/>
        <v>294.51413339056131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4.9658410716801891E-14</v>
      </c>
      <c r="CA99" s="14">
        <f t="shared" si="93"/>
        <v>8.0934058173791862E-13</v>
      </c>
      <c r="CB99" s="22">
        <f t="shared" si="64"/>
        <v>1.4960899118586383E-12</v>
      </c>
      <c r="CC99" s="62">
        <f t="shared" si="65"/>
        <v>278.79119322956643</v>
      </c>
      <c r="CD99" s="62">
        <f ca="1">AVERAGE(OFFSET($CC$3,0,0,'Données projet'!$E$12+1,1))-AVERAGE(OFFSET($H$3,0,0,'Données projet'!$E$12+1,1))</f>
        <v>344.32696811748974</v>
      </c>
      <c r="CE99" s="62">
        <f t="shared" si="94"/>
        <v>411.51927518440766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1.676268245220363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1.676268245220363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5.8</v>
      </c>
      <c r="CT99" s="13">
        <f>IF('Données projet'!$A$140&gt;35,CT98+CS99-DB98,IF(A99&lt;'Données projet'!$A$140,$CQ$205^A99,IF(A99='Données projet'!$A$140,'Données projet'!$B$140,CT98+CS99-DB98)))</f>
        <v>309.79999999999995</v>
      </c>
      <c r="CU99" s="18">
        <f>CT99*VLOOKUP('Données projet'!$B$13,Paramètres!$A$1:$I$89,3,0)*VLOOKUP('Données projet'!$B$13,Paramètres!$A$1:$I$89,5,0)</f>
        <v>280.30703999999997</v>
      </c>
      <c r="CV99" s="14">
        <f t="shared" si="95"/>
        <v>67.03189112007388</v>
      </c>
      <c r="CW99" s="22">
        <f t="shared" si="67"/>
        <v>604.94863836746197</v>
      </c>
      <c r="CX99" s="62">
        <f t="shared" si="68"/>
        <v>883.73983159702698</v>
      </c>
      <c r="CY99" s="62">
        <f ca="1">AVERAGE(OFFSET($CX$3,0,0,'Données projet'!$E$13+1,1))-AVERAGE(OFFSET($H$3,0,0,'Données projet'!$E$13+1,1))</f>
        <v>473.14533251757302</v>
      </c>
      <c r="CZ99" s="62">
        <f t="shared" si="96"/>
        <v>299.82031908667142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0.38487848838095517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0.38487848838095517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89.751456703373435</v>
      </c>
      <c r="DU99" s="62">
        <f t="shared" si="98"/>
        <v>433.35713950666889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17.95382488887708</v>
      </c>
      <c r="EB99" s="23">
        <f>EXP(-LN(2)/25)*EB98+(1-EXP(-LN(2)/25))/(LN(2)/25)*Calculateur!DW99*Calculateur!DY99*VLOOKUP('Données projet'!$B$14,Paramètres!$A$1:$I$89,3,0)*0.475*44/12</f>
        <v>2.8693121661876435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20.823137055064723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204.71144247550794</v>
      </c>
      <c r="EP99" s="62">
        <f t="shared" si="100"/>
        <v>409.91012463636184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26.736880231203372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3.0964722855837812E-8</v>
      </c>
      <c r="EY99" s="24">
        <f t="shared" si="75"/>
        <v>26.736880262168096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66.03396178988136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2.8000000000000003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10.266666666666667</v>
      </c>
      <c r="H100" s="70">
        <f t="shared" si="56"/>
        <v>188.90666666666664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8.5555555555555554</v>
      </c>
      <c r="N100" s="14">
        <f>IF('Données projet'!$A$36&gt;35,N99+M100-V99,IF(A100&lt;'Données projet'!$A$36,$K$205^A100,IF(A100='Données projet'!$A$36,'Données projet'!$B$36,N99+M100-V99)))</f>
        <v>288.555555555556</v>
      </c>
      <c r="O100" s="14">
        <f>N100*VLOOKUP('Données projet'!$B$9,Paramètres!$A$1:$I$89,3,0)*VLOOKUP('Données projet'!$B$9,Paramètres!$A$1:$I$89,5,0)</f>
        <v>135.04400000000021</v>
      </c>
      <c r="P100" s="14">
        <f t="shared" si="87"/>
        <v>35.159284945629004</v>
      </c>
      <c r="Q100" s="22">
        <f t="shared" si="107"/>
        <v>296.43738794697089</v>
      </c>
      <c r="R100" s="62">
        <f t="shared" si="55"/>
        <v>575.48085479598149</v>
      </c>
      <c r="S100" s="62">
        <f ca="1">AVERAGE(OFFSET($R$3,0,0,'Données projet'!$E$9+1,1))-AVERAGE(OFFSET($H$3,0,0,'Données projet'!$E$9+1,1))</f>
        <v>349.50936264852089</v>
      </c>
      <c r="T100" s="62">
        <f t="shared" si="88"/>
        <v>260.52733851266106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271.34640000000007</v>
      </c>
      <c r="AK100" s="14">
        <f t="shared" si="89"/>
        <v>65.134926573557365</v>
      </c>
      <c r="AL100" s="22">
        <f t="shared" si="58"/>
        <v>586.03831044894594</v>
      </c>
      <c r="AM100" s="62">
        <f t="shared" si="59"/>
        <v>865.08177729795648</v>
      </c>
      <c r="AN100" s="62">
        <f ca="1">AVERAGE(OFFSET($AM$3,0,0,'Données projet'!$E$10+1,1))-AVERAGE(OFFSET($H$3,0,0,'Données projet'!$E$10+1,1))</f>
        <v>447.04988989014134</v>
      </c>
      <c r="AO100" s="62">
        <f t="shared" si="90"/>
        <v>278.04061554501783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292.21920000000011</v>
      </c>
      <c r="BF100" s="14">
        <f t="shared" si="91"/>
        <v>69.542822648884666</v>
      </c>
      <c r="BG100" s="22">
        <f t="shared" si="61"/>
        <v>630.06885611347434</v>
      </c>
      <c r="BH100" s="62">
        <f t="shared" si="62"/>
        <v>909.112322962485</v>
      </c>
      <c r="BI100" s="62">
        <f ca="1">AVERAGE(OFFSET($BH$3,0,0,'Données projet'!$E$11+1,1))-AVERAGE(OFFSET($H$3,0,0,'Données projet'!$E$11+1,1))</f>
        <v>475.58735584427552</v>
      </c>
      <c r="BJ100" s="62">
        <f t="shared" si="92"/>
        <v>294.51413339056131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4.9658410716801891E-14</v>
      </c>
      <c r="CA100" s="14">
        <f t="shared" si="93"/>
        <v>8.0934058173791862E-13</v>
      </c>
      <c r="CB100" s="22">
        <f t="shared" si="64"/>
        <v>1.4960899118586383E-12</v>
      </c>
      <c r="CC100" s="62">
        <f t="shared" si="65"/>
        <v>279.04346684901208</v>
      </c>
      <c r="CD100" s="62">
        <f ca="1">AVERAGE(OFFSET($CC$3,0,0,'Données projet'!$E$12+1,1))-AVERAGE(OFFSET($H$3,0,0,'Données projet'!$E$12+1,1))</f>
        <v>344.32696811748974</v>
      </c>
      <c r="CE100" s="62">
        <f t="shared" si="94"/>
        <v>411.51927518440766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1.6304306019036963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1.6304306019036963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5.8</v>
      </c>
      <c r="CT100" s="13">
        <f>IF('Données projet'!$A$140&gt;35,CT99+CS100-DB99,IF(A100&lt;'Données projet'!$A$140,$CQ$205^A100,IF(A100='Données projet'!$A$140,'Données projet'!$B$140,CT99+CS100-DB99)))</f>
        <v>315.59999999999997</v>
      </c>
      <c r="CU100" s="18">
        <f>CT100*VLOOKUP('Données projet'!$B$13,Paramètres!$A$1:$I$89,3,0)*VLOOKUP('Données projet'!$B$13,Paramètres!$A$1:$I$89,5,0)</f>
        <v>285.55487999999997</v>
      </c>
      <c r="CV100" s="14">
        <f t="shared" si="95"/>
        <v>68.139569194998018</v>
      </c>
      <c r="CW100" s="22">
        <f t="shared" si="67"/>
        <v>616.01783234795482</v>
      </c>
      <c r="CX100" s="62">
        <f t="shared" si="68"/>
        <v>895.06129919696536</v>
      </c>
      <c r="CY100" s="62">
        <f ca="1">AVERAGE(OFFSET($CX$3,0,0,'Données projet'!$E$13+1,1))-AVERAGE(OFFSET($H$3,0,0,'Données projet'!$E$13+1,1))</f>
        <v>473.14533251757302</v>
      </c>
      <c r="CZ100" s="62">
        <f t="shared" si="96"/>
        <v>299.82031908667142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0.37435396587629788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0.37435396587629788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89.751456703373435</v>
      </c>
      <c r="DU100" s="62">
        <f t="shared" si="98"/>
        <v>433.35713950666889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17.601761333558084</v>
      </c>
      <c r="EB100" s="23">
        <f>EXP(-LN(2)/25)*EB99+(1-EXP(-LN(2)/25))/(LN(2)/25)*Calculateur!DW100*Calculateur!DY100*VLOOKUP('Données projet'!$B$14,Paramètres!$A$1:$I$89,3,0)*0.475*44/12</f>
        <v>2.7908506741126735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20.392612007670756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204.71144247550794</v>
      </c>
      <c r="EP100" s="62">
        <f t="shared" si="100"/>
        <v>409.91012463636184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26.212586317756145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2.1895365508924995E-8</v>
      </c>
      <c r="EY100" s="24">
        <f t="shared" si="75"/>
        <v>26.212586339651509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66.102763686093809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2.8000000000000003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10.266666666666667</v>
      </c>
      <c r="H101" s="70">
        <f t="shared" si="56"/>
        <v>188.90666666666664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8.5555555555555554</v>
      </c>
      <c r="N101" s="14">
        <f>IF('Données projet'!$A$36&gt;35,N100+M101-V100,IF(A101&lt;'Données projet'!$A$36,$K$205^A101,IF(A101='Données projet'!$A$36,'Données projet'!$B$36,N100+M101-V100)))</f>
        <v>297.11111111111154</v>
      </c>
      <c r="O101" s="14">
        <f>N101*VLOOKUP('Données projet'!$B$9,Paramètres!$A$1:$I$89,3,0)*VLOOKUP('Données projet'!$B$9,Paramètres!$A$1:$I$89,5,0)</f>
        <v>139.0480000000002</v>
      </c>
      <c r="P101" s="14">
        <f t="shared" si="87"/>
        <v>36.078829132999324</v>
      </c>
      <c r="Q101" s="22">
        <f t="shared" si="107"/>
        <v>305.01256073997416</v>
      </c>
      <c r="R101" s="62">
        <f t="shared" si="55"/>
        <v>584.30392482513241</v>
      </c>
      <c r="S101" s="62">
        <f ca="1">AVERAGE(OFFSET($R$3,0,0,'Données projet'!$E$9+1,1))-AVERAGE(OFFSET($H$3,0,0,'Données projet'!$E$9+1,1))</f>
        <v>349.50936264852089</v>
      </c>
      <c r="T101" s="62">
        <f t="shared" si="88"/>
        <v>260.52733851266106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276.2136000000001</v>
      </c>
      <c r="AK101" s="14">
        <f t="shared" si="89"/>
        <v>66.166200760877473</v>
      </c>
      <c r="AL101" s="22">
        <f t="shared" si="58"/>
        <v>596.31148632519512</v>
      </c>
      <c r="AM101" s="62">
        <f t="shared" si="59"/>
        <v>875.60285041035331</v>
      </c>
      <c r="AN101" s="62">
        <f ca="1">AVERAGE(OFFSET($AM$3,0,0,'Données projet'!$E$10+1,1))-AVERAGE(OFFSET($H$3,0,0,'Données projet'!$E$10+1,1))</f>
        <v>447.04988989014134</v>
      </c>
      <c r="AO101" s="62">
        <f t="shared" si="90"/>
        <v>278.04061554501783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297.46080000000012</v>
      </c>
      <c r="BF101" s="14">
        <f t="shared" si="91"/>
        <v>70.643886573938502</v>
      </c>
      <c r="BG101" s="22">
        <f t="shared" si="61"/>
        <v>641.11566244960977</v>
      </c>
      <c r="BH101" s="62">
        <f t="shared" si="62"/>
        <v>920.40702653476797</v>
      </c>
      <c r="BI101" s="62">
        <f ca="1">AVERAGE(OFFSET($BH$3,0,0,'Données projet'!$E$11+1,1))-AVERAGE(OFFSET($H$3,0,0,'Données projet'!$E$11+1,1))</f>
        <v>475.58735584427552</v>
      </c>
      <c r="BJ101" s="62">
        <f t="shared" si="92"/>
        <v>294.51413339056131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4.9658410716801891E-14</v>
      </c>
      <c r="CA101" s="14">
        <f t="shared" si="93"/>
        <v>8.0934058173791862E-13</v>
      </c>
      <c r="CB101" s="22">
        <f t="shared" si="64"/>
        <v>1.4960899118586383E-12</v>
      </c>
      <c r="CC101" s="62">
        <f t="shared" si="65"/>
        <v>279.29136408515973</v>
      </c>
      <c r="CD101" s="62">
        <f ca="1">AVERAGE(OFFSET($CC$3,0,0,'Données projet'!$E$12+1,1))-AVERAGE(OFFSET($H$3,0,0,'Données projet'!$E$12+1,1))</f>
        <v>344.32696811748974</v>
      </c>
      <c r="CE101" s="62">
        <f t="shared" si="94"/>
        <v>411.51927518440766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1.5858463913540208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1.5858463913540208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5.8</v>
      </c>
      <c r="CT101" s="13">
        <f>IF('Données projet'!$A$140&gt;35,CT100+CS101-DB100,IF(A101&lt;'Données projet'!$A$140,$CQ$205^A101,IF(A101='Données projet'!$A$140,'Données projet'!$B$140,CT100+CS101-DB100)))</f>
        <v>321.39999999999998</v>
      </c>
      <c r="CU101" s="18">
        <f>CT101*VLOOKUP('Données projet'!$B$13,Paramètres!$A$1:$I$89,3,0)*VLOOKUP('Données projet'!$B$13,Paramètres!$A$1:$I$89,5,0)</f>
        <v>290.80271999999997</v>
      </c>
      <c r="CV101" s="14">
        <f t="shared" si="95"/>
        <v>69.244880157128961</v>
      </c>
      <c r="CW101" s="22">
        <f t="shared" si="67"/>
        <v>627.08290360699959</v>
      </c>
      <c r="CX101" s="62">
        <f t="shared" si="68"/>
        <v>906.3742676921579</v>
      </c>
      <c r="CY101" s="62">
        <f ca="1">AVERAGE(OFFSET($CX$3,0,0,'Données projet'!$E$13+1,1))-AVERAGE(OFFSET($H$3,0,0,'Données projet'!$E$13+1,1))</f>
        <v>473.14533251757302</v>
      </c>
      <c r="CZ101" s="62">
        <f t="shared" si="96"/>
        <v>299.82031908667142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0.36411723699299103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0.36411723699299103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89.751456703373435</v>
      </c>
      <c r="DU101" s="62">
        <f t="shared" si="98"/>
        <v>433.35713950666889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17.256601529821332</v>
      </c>
      <c r="EB101" s="23">
        <f>EXP(-LN(2)/25)*EB100+(1-EXP(-LN(2)/25))/(LN(2)/25)*Calculateur!DW101*Calculateur!DY101*VLOOKUP('Données projet'!$B$14,Paramètres!$A$1:$I$89,3,0)*0.475*44/12</f>
        <v>2.714534715664604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19.971136245485937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204.71144247550794</v>
      </c>
      <c r="EP101" s="62">
        <f t="shared" si="100"/>
        <v>409.91012463636184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25.698573488163905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1.5482361427918906E-8</v>
      </c>
      <c r="EY101" s="24">
        <f t="shared" si="75"/>
        <v>25.698573503646266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66.170372023224971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2.8000000000000003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10.266666666666667</v>
      </c>
      <c r="H102" s="70">
        <f t="shared" si="56"/>
        <v>188.90666666666664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8.5555555555555554</v>
      </c>
      <c r="N102" s="14">
        <f>IF('Données projet'!$A$36&gt;35,N101+M102-V101,IF(A102&lt;'Données projet'!$A$36,$K$205^A102,IF(A102='Données projet'!$A$36,'Données projet'!$B$36,N101+M102-V101)))</f>
        <v>305.66666666666708</v>
      </c>
      <c r="O102" s="14">
        <f>N102*VLOOKUP('Données projet'!$B$9,Paramètres!$A$1:$I$89,3,0)*VLOOKUP('Données projet'!$B$9,Paramètres!$A$1:$I$89,5,0)</f>
        <v>143.05200000000019</v>
      </c>
      <c r="P102" s="14">
        <f t="shared" si="87"/>
        <v>36.995295872593921</v>
      </c>
      <c r="Q102" s="22">
        <f t="shared" si="107"/>
        <v>313.58237364476804</v>
      </c>
      <c r="R102" s="62">
        <f t="shared" si="55"/>
        <v>593.11733450324186</v>
      </c>
      <c r="S102" s="62">
        <f ca="1">AVERAGE(OFFSET($R$3,0,0,'Données projet'!$E$9+1,1))-AVERAGE(OFFSET($H$3,0,0,'Données projet'!$E$9+1,1))</f>
        <v>349.50936264852089</v>
      </c>
      <c r="T102" s="62">
        <f t="shared" si="88"/>
        <v>260.52733851266106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281.08080000000012</v>
      </c>
      <c r="AK102" s="14">
        <f t="shared" si="89"/>
        <v>67.195361752546177</v>
      </c>
      <c r="AL102" s="22">
        <f t="shared" si="58"/>
        <v>606.58098171901804</v>
      </c>
      <c r="AM102" s="62">
        <f t="shared" si="59"/>
        <v>886.11594257749198</v>
      </c>
      <c r="AN102" s="62">
        <f ca="1">AVERAGE(OFFSET($AM$3,0,0,'Données projet'!$E$10+1,1))-AVERAGE(OFFSET($H$3,0,0,'Données projet'!$E$10+1,1))</f>
        <v>447.04988989014134</v>
      </c>
      <c r="AO102" s="62">
        <f t="shared" si="90"/>
        <v>278.04061554501783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302.70240000000007</v>
      </c>
      <c r="BF102" s="14">
        <f t="shared" si="91"/>
        <v>71.742694296396621</v>
      </c>
      <c r="BG102" s="22">
        <f t="shared" si="61"/>
        <v>652.15853923289092</v>
      </c>
      <c r="BH102" s="62">
        <f t="shared" si="62"/>
        <v>931.69350009136474</v>
      </c>
      <c r="BI102" s="62">
        <f ca="1">AVERAGE(OFFSET($BH$3,0,0,'Données projet'!$E$11+1,1))-AVERAGE(OFFSET($H$3,0,0,'Données projet'!$E$11+1,1))</f>
        <v>475.58735584427552</v>
      </c>
      <c r="BJ102" s="62">
        <f t="shared" si="92"/>
        <v>294.51413339056131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4.9658410716801891E-14</v>
      </c>
      <c r="CA102" s="14">
        <f t="shared" si="93"/>
        <v>8.0934058173791862E-13</v>
      </c>
      <c r="CB102" s="22">
        <f t="shared" si="64"/>
        <v>1.4960899118586383E-12</v>
      </c>
      <c r="CC102" s="62">
        <f t="shared" si="65"/>
        <v>279.53496085847536</v>
      </c>
      <c r="CD102" s="62">
        <f ca="1">AVERAGE(OFFSET($CC$3,0,0,'Données projet'!$E$12+1,1))-AVERAGE(OFFSET($H$3,0,0,'Données projet'!$E$12+1,1))</f>
        <v>344.32696811748974</v>
      </c>
      <c r="CE102" s="62">
        <f t="shared" si="94"/>
        <v>411.51927518440766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1.542481338386408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1.542481338386408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5.8</v>
      </c>
      <c r="CT102" s="13">
        <f>IF('Données projet'!$A$140&gt;35,CT101+CS102-DB101,IF(A102&lt;'Données projet'!$A$140,$CQ$205^A102,IF(A102='Données projet'!$A$140,'Données projet'!$B$140,CT101+CS102-DB101)))</f>
        <v>327.2</v>
      </c>
      <c r="CU102" s="18">
        <f>CT102*VLOOKUP('Données projet'!$B$13,Paramètres!$A$1:$I$89,3,0)*VLOOKUP('Données projet'!$B$13,Paramètres!$A$1:$I$89,5,0)</f>
        <v>296.05055999999996</v>
      </c>
      <c r="CV102" s="14">
        <f t="shared" si="95"/>
        <v>70.34787165092402</v>
      </c>
      <c r="CW102" s="22">
        <f t="shared" si="67"/>
        <v>638.14393512535923</v>
      </c>
      <c r="CX102" s="62">
        <f t="shared" si="68"/>
        <v>917.67889598383317</v>
      </c>
      <c r="CY102" s="62">
        <f ca="1">AVERAGE(OFFSET($CX$3,0,0,'Données projet'!$E$13+1,1))-AVERAGE(OFFSET($H$3,0,0,'Données projet'!$E$13+1,1))</f>
        <v>473.14533251757302</v>
      </c>
      <c r="CZ102" s="62">
        <f t="shared" si="96"/>
        <v>299.82031908667142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0.3541604319993244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0.3541604319993244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89.751456703373435</v>
      </c>
      <c r="DU102" s="62">
        <f t="shared" si="98"/>
        <v>433.35713950666889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16.918210099309164</v>
      </c>
      <c r="EB102" s="23">
        <f>EXP(-LN(2)/25)*EB101+(1-EXP(-LN(2)/25))/(LN(2)/25)*Calculateur!DW102*Calculateur!DY102*VLOOKUP('Données projet'!$B$14,Paramètres!$A$1:$I$89,3,0)*0.475*44/12</f>
        <v>2.6403056211135789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19.558515720422744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204.71144247550794</v>
      </c>
      <c r="EP102" s="62">
        <f t="shared" si="100"/>
        <v>409.91012463636184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25.194640136643102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1.0947682754462498E-8</v>
      </c>
      <c r="EY102" s="24">
        <f t="shared" si="75"/>
        <v>25.194640147590786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66.236807506856508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2.8000000000000003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10.266666666666667</v>
      </c>
      <c r="H103" s="70">
        <f t="shared" si="56"/>
        <v>188.90666666666664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8.5555555555555554</v>
      </c>
      <c r="N103" s="14">
        <f>IF('Données projet'!$A$36&gt;35,N102+M103-V102,IF(A103&lt;'Données projet'!$A$36,$K$205^A103,IF(A103='Données projet'!$A$36,'Données projet'!$B$36,N102+M103-V102)))</f>
        <v>314.22222222222263</v>
      </c>
      <c r="O103" s="14">
        <f>N103*VLOOKUP('Données projet'!$B$9,Paramètres!$A$1:$I$89,3,0)*VLOOKUP('Données projet'!$B$9,Paramètres!$A$1:$I$89,5,0)</f>
        <v>147.05600000000018</v>
      </c>
      <c r="P103" s="14">
        <f t="shared" si="87"/>
        <v>37.908781196921652</v>
      </c>
      <c r="Q103" s="22">
        <f t="shared" si="107"/>
        <v>322.14699391797217</v>
      </c>
      <c r="R103" s="62">
        <f t="shared" si="55"/>
        <v>601.9213256903455</v>
      </c>
      <c r="S103" s="62">
        <f ca="1">AVERAGE(OFFSET($R$3,0,0,'Données projet'!$E$9+1,1))-AVERAGE(OFFSET($H$3,0,0,'Données projet'!$E$9+1,1))</f>
        <v>349.50936264852089</v>
      </c>
      <c r="T103" s="62">
        <f t="shared" si="88"/>
        <v>260.52733851266106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285.94800000000009</v>
      </c>
      <c r="AK103" s="14">
        <f t="shared" si="89"/>
        <v>68.222450362989363</v>
      </c>
      <c r="AL103" s="22">
        <f t="shared" si="58"/>
        <v>616.84686771553993</v>
      </c>
      <c r="AM103" s="62">
        <f t="shared" si="59"/>
        <v>896.62119948791326</v>
      </c>
      <c r="AN103" s="62">
        <f ca="1">AVERAGE(OFFSET($AM$3,0,0,'Données projet'!$E$10+1,1))-AVERAGE(OFFSET($H$3,0,0,'Données projet'!$E$10+1,1))</f>
        <v>447.04988989014134</v>
      </c>
      <c r="AO103" s="62">
        <f t="shared" si="90"/>
        <v>278.04061554501783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307.94400000000013</v>
      </c>
      <c r="BF103" s="14">
        <f t="shared" si="91"/>
        <v>72.839289392732255</v>
      </c>
      <c r="BG103" s="22">
        <f t="shared" si="61"/>
        <v>663.19756235900888</v>
      </c>
      <c r="BH103" s="62">
        <f t="shared" si="62"/>
        <v>942.97189413138221</v>
      </c>
      <c r="BI103" s="62">
        <f ca="1">AVERAGE(OFFSET($BH$3,0,0,'Données projet'!$E$11+1,1))-AVERAGE(OFFSET($H$3,0,0,'Données projet'!$E$11+1,1))</f>
        <v>475.58735584427552</v>
      </c>
      <c r="BJ103" s="62">
        <f t="shared" si="92"/>
        <v>294.51413339056131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4.9658410716801891E-14</v>
      </c>
      <c r="CA103" s="14">
        <f t="shared" si="93"/>
        <v>8.0934058173791862E-13</v>
      </c>
      <c r="CB103" s="22">
        <f t="shared" si="64"/>
        <v>1.4960899118586383E-12</v>
      </c>
      <c r="CC103" s="62">
        <f t="shared" si="65"/>
        <v>279.77433177237481</v>
      </c>
      <c r="CD103" s="62">
        <f ca="1">AVERAGE(OFFSET($CC$3,0,0,'Données projet'!$E$12+1,1))-AVERAGE(OFFSET($H$3,0,0,'Données projet'!$E$12+1,1))</f>
        <v>344.32696811748974</v>
      </c>
      <c r="CE103" s="62">
        <f t="shared" si="94"/>
        <v>411.51927518440766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1.5003021050726635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1.5003021050726635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333</v>
      </c>
      <c r="CR103" s="13">
        <f>VLOOKUP(A103,'Données projet'!$A$139:$I$159,9,0)</f>
        <v>5.8</v>
      </c>
      <c r="CS103" s="13">
        <f t="array" ref="CS103">INDEX(CR:CR,MIN(IF(ISNUMBER(CR103:CR299),ROW(CR103:CR299),"")))</f>
        <v>5.8</v>
      </c>
      <c r="CT103" s="13">
        <f>IF('Données projet'!$A$140&gt;35,CT102+CS103-DB102,IF(A103&lt;'Données projet'!$A$140,$CQ$205^A103,IF(A103='Données projet'!$A$140,'Données projet'!$B$140,CT102+CS103-DB102)))</f>
        <v>333</v>
      </c>
      <c r="CU103" s="18">
        <f>CT103*VLOOKUP('Données projet'!$B$13,Paramètres!$A$1:$I$89,3,0)*VLOOKUP('Données projet'!$B$13,Paramètres!$A$1:$I$89,5,0)</f>
        <v>301.29840000000002</v>
      </c>
      <c r="CV103" s="14">
        <f t="shared" si="95"/>
        <v>71.448589534990518</v>
      </c>
      <c r="CW103" s="22">
        <f t="shared" si="67"/>
        <v>649.2010067734418</v>
      </c>
      <c r="CX103" s="62">
        <f t="shared" si="68"/>
        <v>928.97533854581513</v>
      </c>
      <c r="CY103" s="62">
        <f ca="1">AVERAGE(OFFSET($CX$3,0,0,'Données projet'!$E$13+1,1))-AVERAGE(OFFSET($H$3,0,0,'Données projet'!$E$13+1,1))</f>
        <v>473.14533251757302</v>
      </c>
      <c r="CZ103" s="62">
        <f t="shared" si="96"/>
        <v>299.82031908667142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0.34447589636181519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0.34447589636181519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89.751456703373435</v>
      </c>
      <c r="DU103" s="62">
        <f t="shared" si="98"/>
        <v>433.35713950666889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16.586454318350945</v>
      </c>
      <c r="EB103" s="23">
        <f>EXP(-LN(2)/25)*EB102+(1-EXP(-LN(2)/25))/(LN(2)/25)*Calculateur!DW103*Calculateur!DY103*VLOOKUP('Données projet'!$B$14,Paramètres!$A$1:$I$89,3,0)*0.475*44/12</f>
        <v>2.5681063250565899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19.154560643407535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204.71144247550794</v>
      </c>
      <c r="EP103" s="62">
        <f t="shared" si="100"/>
        <v>409.91012463636184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24.700588610776627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7.741180713959453E-9</v>
      </c>
      <c r="EY103" s="24">
        <f t="shared" si="75"/>
        <v>24.700588618517809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66.302090483374542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2.8000000000000003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10.266666666666667</v>
      </c>
      <c r="H104" s="70">
        <f t="shared" si="56"/>
        <v>188.90666666666664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8.5555555555555554</v>
      </c>
      <c r="N104" s="14">
        <f>IF('Données projet'!$A$36&gt;35,N103+M104-V103,IF(A104&lt;'Données projet'!$A$36,$K$205^A104,IF(A104='Données projet'!$A$36,'Données projet'!$B$36,N103+M104-V103)))</f>
        <v>322.77777777777817</v>
      </c>
      <c r="O104" s="14">
        <f>N104*VLOOKUP('Données projet'!$B$9,Paramètres!$A$1:$I$89,3,0)*VLOOKUP('Données projet'!$B$9,Paramètres!$A$1:$I$89,5,0)</f>
        <v>151.06000000000017</v>
      </c>
      <c r="P104" s="14">
        <f t="shared" si="87"/>
        <v>38.819375611338231</v>
      </c>
      <c r="Q104" s="22">
        <f t="shared" si="107"/>
        <v>330.70657918974769</v>
      </c>
      <c r="R104" s="62">
        <f t="shared" si="55"/>
        <v>610.71612932581741</v>
      </c>
      <c r="S104" s="62">
        <f ca="1">AVERAGE(OFFSET($R$3,0,0,'Données projet'!$E$9+1,1))-AVERAGE(OFFSET($H$3,0,0,'Données projet'!$E$9+1,1))</f>
        <v>349.50936264852089</v>
      </c>
      <c r="T104" s="62">
        <f t="shared" si="88"/>
        <v>260.52733851266106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269.11560000000014</v>
      </c>
      <c r="AK104" s="14">
        <f t="shared" si="89"/>
        <v>64.661541462287133</v>
      </c>
      <c r="AL104" s="22">
        <f t="shared" si="58"/>
        <v>581.32852138015028</v>
      </c>
      <c r="AM104" s="62">
        <f t="shared" si="59"/>
        <v>861.33807151622</v>
      </c>
      <c r="AN104" s="62">
        <f ca="1">AVERAGE(OFFSET($AM$3,0,0,'Données projet'!$E$10+1,1))-AVERAGE(OFFSET($H$3,0,0,'Données projet'!$E$10+1,1))</f>
        <v>447.04988989014134</v>
      </c>
      <c r="AO104" s="62">
        <f t="shared" si="90"/>
        <v>278.04061554501783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289.81680000000011</v>
      </c>
      <c r="BF104" s="14">
        <f t="shared" si="91"/>
        <v>69.037402000248321</v>
      </c>
      <c r="BG104" s="22">
        <f t="shared" si="61"/>
        <v>625.00440181709939</v>
      </c>
      <c r="BH104" s="62">
        <f t="shared" si="62"/>
        <v>905.01395195316911</v>
      </c>
      <c r="BI104" s="62">
        <f ca="1">AVERAGE(OFFSET($BH$3,0,0,'Données projet'!$E$11+1,1))-AVERAGE(OFFSET($H$3,0,0,'Données projet'!$E$11+1,1))</f>
        <v>475.58735584427552</v>
      </c>
      <c r="BJ104" s="62">
        <f t="shared" si="92"/>
        <v>294.51413339056131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4.9658410716801891E-14</v>
      </c>
      <c r="CA104" s="14">
        <f t="shared" si="93"/>
        <v>8.0934058173791862E-13</v>
      </c>
      <c r="CB104" s="22">
        <f t="shared" si="64"/>
        <v>1.4960899118586383E-12</v>
      </c>
      <c r="CC104" s="62">
        <f t="shared" si="65"/>
        <v>280.0095501360712</v>
      </c>
      <c r="CD104" s="62">
        <f ca="1">AVERAGE(OFFSET($CC$3,0,0,'Données projet'!$E$12+1,1))-AVERAGE(OFFSET($H$3,0,0,'Données projet'!$E$12+1,1))</f>
        <v>344.32696811748974</v>
      </c>
      <c r="CE104" s="62">
        <f t="shared" si="94"/>
        <v>411.51927518440766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1.4592762651119928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1.4592762651119928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311.39999999999998</v>
      </c>
      <c r="CU104" s="18">
        <f>CT104*VLOOKUP('Données projet'!$B$13,Paramètres!$A$1:$I$89,3,0)*VLOOKUP('Données projet'!$B$13,Paramètres!$A$1:$I$89,5,0)</f>
        <v>281.75471999999996</v>
      </c>
      <c r="CV104" s="14">
        <f t="shared" si="95"/>
        <v>67.337696723120317</v>
      </c>
      <c r="CW104" s="22">
        <f t="shared" si="67"/>
        <v>608.00262579276773</v>
      </c>
      <c r="CX104" s="62">
        <f t="shared" si="68"/>
        <v>888.01217592883745</v>
      </c>
      <c r="CY104" s="62">
        <f ca="1">AVERAGE(OFFSET($CX$3,0,0,'Données projet'!$E$13+1,1))-AVERAGE(OFFSET($H$3,0,0,'Données projet'!$E$13+1,1))</f>
        <v>473.14533251757302</v>
      </c>
      <c r="CZ104" s="62">
        <f t="shared" si="96"/>
        <v>299.82031908667142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0.33505618486060129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0.33505618486060129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89.751456703373435</v>
      </c>
      <c r="DU104" s="62">
        <f t="shared" si="98"/>
        <v>433.35713950666889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16.261204065906274</v>
      </c>
      <c r="EB104" s="23">
        <f>EXP(-LN(2)/25)*EB103+(1-EXP(-LN(2)/25))/(LN(2)/25)*Calculateur!DW104*Calculateur!DY104*VLOOKUP('Données projet'!$B$14,Paramètres!$A$1:$I$89,3,0)*0.475*44/12</f>
        <v>2.4978813225470753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18.75908538845335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204.71144247550794</v>
      </c>
      <c r="EP104" s="62">
        <f t="shared" si="100"/>
        <v>409.91012463636184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24.216225133990719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5.4738413772312488E-9</v>
      </c>
      <c r="EY104" s="24">
        <f t="shared" si="75"/>
        <v>24.216225139464559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66.366240946200833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2.8000000000000003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10.266666666666667</v>
      </c>
      <c r="H105" s="70">
        <f t="shared" si="56"/>
        <v>188.90666666666664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8.5555555555555554</v>
      </c>
      <c r="N105" s="14">
        <f>IF('Données projet'!$A$36&gt;35,N104+M105-V104,IF(A105&lt;'Données projet'!$A$36,$K$205^A105,IF(A105='Données projet'!$A$36,'Données projet'!$B$36,N104+M105-V104)))</f>
        <v>331.33333333333371</v>
      </c>
      <c r="O105" s="14">
        <f>N105*VLOOKUP('Données projet'!$B$9,Paramètres!$A$1:$I$89,3,0)*VLOOKUP('Données projet'!$B$9,Paramètres!$A$1:$I$89,5,0)</f>
        <v>155.06400000000016</v>
      </c>
      <c r="P105" s="14">
        <f t="shared" si="87"/>
        <v>39.727164550120129</v>
      </c>
      <c r="Q105" s="22">
        <f t="shared" si="107"/>
        <v>339.2612782581262</v>
      </c>
      <c r="R105" s="62">
        <f t="shared" si="55"/>
        <v>619.50196624515172</v>
      </c>
      <c r="S105" s="62">
        <f ca="1">AVERAGE(OFFSET($R$3,0,0,'Données projet'!$E$9+1,1))-AVERAGE(OFFSET($H$3,0,0,'Données projet'!$E$9+1,1))</f>
        <v>349.50936264852089</v>
      </c>
      <c r="T105" s="62">
        <f t="shared" si="88"/>
        <v>260.52733851266106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273.57720000000012</v>
      </c>
      <c r="AK105" s="14">
        <f t="shared" si="89"/>
        <v>65.607858889915107</v>
      </c>
      <c r="AL105" s="22">
        <f t="shared" si="58"/>
        <v>590.74731089993566</v>
      </c>
      <c r="AM105" s="62">
        <f t="shared" si="59"/>
        <v>870.98799888696112</v>
      </c>
      <c r="AN105" s="62">
        <f ca="1">AVERAGE(OFFSET($AM$3,0,0,'Données projet'!$E$10+1,1))-AVERAGE(OFFSET($H$3,0,0,'Données projet'!$E$10+1,1))</f>
        <v>447.04988989014134</v>
      </c>
      <c r="AO105" s="62">
        <f t="shared" si="90"/>
        <v>278.04061554501783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294.62160000000006</v>
      </c>
      <c r="BF105" s="14">
        <f t="shared" si="91"/>
        <v>70.047759860478052</v>
      </c>
      <c r="BG105" s="22">
        <f t="shared" si="61"/>
        <v>635.13246842366596</v>
      </c>
      <c r="BH105" s="62">
        <f t="shared" si="62"/>
        <v>915.37315641069154</v>
      </c>
      <c r="BI105" s="62">
        <f ca="1">AVERAGE(OFFSET($BH$3,0,0,'Données projet'!$E$11+1,1))-AVERAGE(OFFSET($H$3,0,0,'Données projet'!$E$11+1,1))</f>
        <v>475.58735584427552</v>
      </c>
      <c r="BJ105" s="62">
        <f t="shared" si="92"/>
        <v>294.51413339056131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4.9658410716801891E-14</v>
      </c>
      <c r="CA105" s="14">
        <f t="shared" si="93"/>
        <v>8.0934058173791862E-13</v>
      </c>
      <c r="CB105" s="22">
        <f t="shared" si="64"/>
        <v>1.4960899118586383E-12</v>
      </c>
      <c r="CC105" s="62">
        <f t="shared" si="65"/>
        <v>280.240687987027</v>
      </c>
      <c r="CD105" s="62">
        <f ca="1">AVERAGE(OFFSET($CC$3,0,0,'Données projet'!$E$12+1,1))-AVERAGE(OFFSET($H$3,0,0,'Données projet'!$E$12+1,1))</f>
        <v>344.32696811748974</v>
      </c>
      <c r="CE105" s="62">
        <f t="shared" si="94"/>
        <v>411.51927518440766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1.4193722789025018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1.4193722789025018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316.79999999999995</v>
      </c>
      <c r="CU105" s="18">
        <f>CT105*VLOOKUP('Données projet'!$B$13,Paramètres!$A$1:$I$89,3,0)*VLOOKUP('Données projet'!$B$13,Paramètres!$A$1:$I$89,5,0)</f>
        <v>286.64063999999996</v>
      </c>
      <c r="CV105" s="14">
        <f t="shared" si="95"/>
        <v>68.368446832003599</v>
      </c>
      <c r="CW105" s="22">
        <f t="shared" si="67"/>
        <v>618.30749289907283</v>
      </c>
      <c r="CX105" s="62">
        <f t="shared" si="68"/>
        <v>898.54818088609841</v>
      </c>
      <c r="CY105" s="62">
        <f ca="1">AVERAGE(OFFSET($CX$3,0,0,'Données projet'!$E$13+1,1))-AVERAGE(OFFSET($H$3,0,0,'Données projet'!$E$13+1,1))</f>
        <v>473.14533251757302</v>
      </c>
      <c r="CZ105" s="62">
        <f t="shared" si="96"/>
        <v>299.82031908667142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0.32589405586574915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0.32589405586574915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89.751456703373435</v>
      </c>
      <c r="DU105" s="62">
        <f t="shared" si="98"/>
        <v>433.35713950666889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15.942331772528975</v>
      </c>
      <c r="EB105" s="23">
        <f>EXP(-LN(2)/25)*EB104+(1-EXP(-LN(2)/25))/(LN(2)/25)*Calculateur!DW105*Calculateur!DY105*VLOOKUP('Données projet'!$B$14,Paramètres!$A$1:$I$89,3,0)*0.475*44/12</f>
        <v>2.4295766264241556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18.371908398953131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204.71144247550794</v>
      </c>
      <c r="EP105" s="62">
        <f t="shared" si="100"/>
        <v>409.91012463636184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23.741359729552034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3.8705903569797265E-9</v>
      </c>
      <c r="EY105" s="24">
        <f t="shared" si="75"/>
        <v>23.741359733422623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66.429278541916048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2.8000000000000003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10.266666666666667</v>
      </c>
      <c r="H106" s="70">
        <f t="shared" si="56"/>
        <v>188.90666666666664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8.5555555555555554</v>
      </c>
      <c r="N106" s="14">
        <f>IF('Données projet'!$A$36&gt;35,N105+M106-V105,IF(A106&lt;'Données projet'!$A$36,$K$205^A106,IF(A106='Données projet'!$A$36,'Données projet'!$B$36,N105+M106-V105)))</f>
        <v>339.88888888888926</v>
      </c>
      <c r="O106" s="14">
        <f>N106*VLOOKUP('Données projet'!$B$9,Paramètres!$A$1:$I$89,3,0)*VLOOKUP('Données projet'!$B$9,Paramètres!$A$1:$I$89,5,0)</f>
        <v>159.06800000000018</v>
      </c>
      <c r="P106" s="14">
        <f t="shared" si="87"/>
        <v>40.632228784106786</v>
      </c>
      <c r="Q106" s="22">
        <f t="shared" si="107"/>
        <v>347.81123179898628</v>
      </c>
      <c r="R106" s="62">
        <f t="shared" si="55"/>
        <v>628.27904791200035</v>
      </c>
      <c r="S106" s="62">
        <f ca="1">AVERAGE(OFFSET($R$3,0,0,'Données projet'!$E$9+1,1))-AVERAGE(OFFSET($H$3,0,0,'Données projet'!$E$9+1,1))</f>
        <v>349.50936264852089</v>
      </c>
      <c r="T106" s="62">
        <f t="shared" si="88"/>
        <v>260.52733851266106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278.03880000000009</v>
      </c>
      <c r="AK106" s="14">
        <f t="shared" si="89"/>
        <v>66.5523815477178</v>
      </c>
      <c r="AL106" s="22">
        <f t="shared" si="58"/>
        <v>600.16297452894207</v>
      </c>
      <c r="AM106" s="62">
        <f t="shared" si="59"/>
        <v>880.63079064195608</v>
      </c>
      <c r="AN106" s="62">
        <f ca="1">AVERAGE(OFFSET($AM$3,0,0,'Données projet'!$E$10+1,1))-AVERAGE(OFFSET($H$3,0,0,'Données projet'!$E$10+1,1))</f>
        <v>447.04988989014134</v>
      </c>
      <c r="AO106" s="62">
        <f t="shared" si="90"/>
        <v>278.04061554501783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299.42640000000006</v>
      </c>
      <c r="BF106" s="14">
        <f t="shared" si="91"/>
        <v>71.056201492867757</v>
      </c>
      <c r="BG106" s="22">
        <f t="shared" si="61"/>
        <v>645.25719760007814</v>
      </c>
      <c r="BH106" s="62">
        <f t="shared" si="62"/>
        <v>925.72501371309227</v>
      </c>
      <c r="BI106" s="62">
        <f ca="1">AVERAGE(OFFSET($BH$3,0,0,'Données projet'!$E$11+1,1))-AVERAGE(OFFSET($H$3,0,0,'Données projet'!$E$11+1,1))</f>
        <v>475.58735584427552</v>
      </c>
      <c r="BJ106" s="62">
        <f t="shared" si="92"/>
        <v>294.51413339056131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4.9658410716801891E-14</v>
      </c>
      <c r="CA106" s="14">
        <f t="shared" si="93"/>
        <v>8.0934058173791862E-13</v>
      </c>
      <c r="CB106" s="22">
        <f t="shared" si="64"/>
        <v>1.4960899118586383E-12</v>
      </c>
      <c r="CC106" s="62">
        <f t="shared" si="65"/>
        <v>280.46781611301554</v>
      </c>
      <c r="CD106" s="62">
        <f ca="1">AVERAGE(OFFSET($CC$3,0,0,'Données projet'!$E$12+1,1))-AVERAGE(OFFSET($H$3,0,0,'Données projet'!$E$12+1,1))</f>
        <v>344.32696811748974</v>
      </c>
      <c r="CE106" s="62">
        <f t="shared" si="94"/>
        <v>411.51927518440766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1.3805594692943688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1.3805594692943688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322.19999999999993</v>
      </c>
      <c r="CU106" s="18">
        <f>CT106*VLOOKUP('Données projet'!$B$13,Paramètres!$A$1:$I$89,3,0)*VLOOKUP('Données projet'!$B$13,Paramètres!$A$1:$I$89,5,0)</f>
        <v>291.5265599999999</v>
      </c>
      <c r="CV106" s="14">
        <f t="shared" si="95"/>
        <v>69.397153761857183</v>
      </c>
      <c r="CW106" s="22">
        <f t="shared" si="67"/>
        <v>628.60880146856778</v>
      </c>
      <c r="CX106" s="62">
        <f t="shared" si="68"/>
        <v>909.07661758158179</v>
      </c>
      <c r="CY106" s="62">
        <f ca="1">AVERAGE(OFFSET($CX$3,0,0,'Données projet'!$E$13+1,1))-AVERAGE(OFFSET($H$3,0,0,'Données projet'!$E$13+1,1))</f>
        <v>473.14533251757302</v>
      </c>
      <c r="CZ106" s="62">
        <f t="shared" si="96"/>
        <v>299.82031908667142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0.31698246577007666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0.31698246577007666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89.751456703373435</v>
      </c>
      <c r="DU106" s="62">
        <f t="shared" si="98"/>
        <v>433.35713950666889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15.629712370331912</v>
      </c>
      <c r="EB106" s="23">
        <f>EXP(-LN(2)/25)*EB105+(1-EXP(-LN(2)/25))/(LN(2)/25)*Calculateur!DW106*Calculateur!DY106*VLOOKUP('Données projet'!$B$14,Paramètres!$A$1:$I$89,3,0)*0.475*44/12</f>
        <v>2.363139725808705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17.992852096140616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204.71144247550794</v>
      </c>
      <c r="EP106" s="62">
        <f t="shared" si="100"/>
        <v>409.91012463636184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23.275806146055093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2.7369206886156244E-9</v>
      </c>
      <c r="EY106" s="24">
        <f t="shared" si="75"/>
        <v>23.275806148792014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66.491222576276556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2.8000000000000003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10.266666666666667</v>
      </c>
      <c r="H107" s="70">
        <f t="shared" si="56"/>
        <v>188.90666666666664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8.5555555555555554</v>
      </c>
      <c r="N107" s="14">
        <f>IF('Données projet'!$A$36&gt;35,N106+M107-V106,IF(A107&lt;'Données projet'!$A$36,$K$205^A107,IF(A107='Données projet'!$A$36,'Données projet'!$B$36,N106+M107-V106)))</f>
        <v>348.4444444444448</v>
      </c>
      <c r="O107" s="14">
        <f>N107*VLOOKUP('Données projet'!$B$9,Paramètres!$A$1:$I$89,3,0)*VLOOKUP('Données projet'!$B$9,Paramètres!$A$1:$I$89,5,0)</f>
        <v>163.07200000000017</v>
      </c>
      <c r="P107" s="14">
        <f t="shared" si="87"/>
        <v>41.53464478614341</v>
      </c>
      <c r="Q107" s="22">
        <f t="shared" si="107"/>
        <v>356.35657300253342</v>
      </c>
      <c r="R107" s="62">
        <f t="shared" si="55"/>
        <v>637.04757707633257</v>
      </c>
      <c r="S107" s="62">
        <f ca="1">AVERAGE(OFFSET($R$3,0,0,'Données projet'!$E$9+1,1))-AVERAGE(OFFSET($H$3,0,0,'Données projet'!$E$9+1,1))</f>
        <v>349.50936264852089</v>
      </c>
      <c r="T107" s="62">
        <f t="shared" si="88"/>
        <v>260.52733851266106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282.50040000000007</v>
      </c>
      <c r="AK107" s="14">
        <f t="shared" si="89"/>
        <v>67.495141560894439</v>
      </c>
      <c r="AL107" s="22">
        <f t="shared" si="58"/>
        <v>609.57556821855781</v>
      </c>
      <c r="AM107" s="62">
        <f t="shared" si="59"/>
        <v>890.26657229235684</v>
      </c>
      <c r="AN107" s="62">
        <f ca="1">AVERAGE(OFFSET($AM$3,0,0,'Données projet'!$E$10+1,1))-AVERAGE(OFFSET($H$3,0,0,'Données projet'!$E$10+1,1))</f>
        <v>447.04988989014134</v>
      </c>
      <c r="AO107" s="62">
        <f t="shared" si="90"/>
        <v>278.04061554501783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304.2312</v>
      </c>
      <c r="BF107" s="14">
        <f t="shared" si="91"/>
        <v>72.062761196635407</v>
      </c>
      <c r="BG107" s="22">
        <f t="shared" si="61"/>
        <v>655.37864908413997</v>
      </c>
      <c r="BH107" s="62">
        <f t="shared" si="62"/>
        <v>936.069653157939</v>
      </c>
      <c r="BI107" s="62">
        <f ca="1">AVERAGE(OFFSET($BH$3,0,0,'Données projet'!$E$11+1,1))-AVERAGE(OFFSET($H$3,0,0,'Données projet'!$E$11+1,1))</f>
        <v>475.58735584427552</v>
      </c>
      <c r="BJ107" s="62">
        <f t="shared" si="92"/>
        <v>294.51413339056131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4.9658410716801891E-14</v>
      </c>
      <c r="CA107" s="14">
        <f t="shared" si="93"/>
        <v>8.0934058173791862E-13</v>
      </c>
      <c r="CB107" s="22">
        <f t="shared" si="64"/>
        <v>1.4960899118586383E-12</v>
      </c>
      <c r="CC107" s="62">
        <f t="shared" si="65"/>
        <v>280.69100407380057</v>
      </c>
      <c r="CD107" s="62">
        <f ca="1">AVERAGE(OFFSET($CC$3,0,0,'Données projet'!$E$12+1,1))-AVERAGE(OFFSET($H$3,0,0,'Données projet'!$E$12+1,1))</f>
        <v>344.32696811748974</v>
      </c>
      <c r="CE107" s="62">
        <f t="shared" si="94"/>
        <v>411.51927518440766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1.342807998006047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1.342807998006047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327.59999999999991</v>
      </c>
      <c r="CU107" s="18">
        <f>CT107*VLOOKUP('Données projet'!$B$13,Paramètres!$A$1:$I$89,3,0)*VLOOKUP('Données projet'!$B$13,Paramètres!$A$1:$I$89,5,0)</f>
        <v>296.4124799999999</v>
      </c>
      <c r="CV107" s="14">
        <f t="shared" si="95"/>
        <v>70.423855708154704</v>
      </c>
      <c r="CW107" s="22">
        <f t="shared" si="67"/>
        <v>638.90661802503598</v>
      </c>
      <c r="CX107" s="62">
        <f t="shared" si="68"/>
        <v>919.59762209883502</v>
      </c>
      <c r="CY107" s="62">
        <f ca="1">AVERAGE(OFFSET($CX$3,0,0,'Données projet'!$E$13+1,1))-AVERAGE(OFFSET($H$3,0,0,'Données projet'!$E$13+1,1))</f>
        <v>473.14533251757302</v>
      </c>
      <c r="CZ107" s="62">
        <f t="shared" si="96"/>
        <v>299.82031908667142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0.3083145635742105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0.3083145635742105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89.751456703373435</v>
      </c>
      <c r="DU107" s="62">
        <f t="shared" si="98"/>
        <v>433.35713950666889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15.323223243932926</v>
      </c>
      <c r="EB107" s="23">
        <f>EXP(-LN(2)/25)*EB106+(1-EXP(-LN(2)/25))/(LN(2)/25)*Calculateur!DW107*Calculateur!DY107*VLOOKUP('Données projet'!$B$14,Paramètres!$A$1:$I$89,3,0)*0.475*44/12</f>
        <v>2.298519545734349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17.621742789667273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204.71144247550794</v>
      </c>
      <c r="EP107" s="62">
        <f t="shared" si="100"/>
        <v>409.91012463636184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22.819381784370879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1.9352951784898633E-9</v>
      </c>
      <c r="EY107" s="24">
        <f t="shared" si="75"/>
        <v>22.819381786306174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66.55209202012702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2.8000000000000003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10.266666666666667</v>
      </c>
      <c r="H108" s="70">
        <f t="shared" si="56"/>
        <v>188.90666666666664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357</v>
      </c>
      <c r="L108" s="13">
        <f>VLOOKUP(A108,'Données projet'!$A$35:$I$55,9,0)</f>
        <v>8.5555555555555554</v>
      </c>
      <c r="M108" s="13">
        <f t="array" ref="M108">INDEX(L:L,MIN(IF(ISNUMBER(L108:L304),ROW(L108:L304),"")))</f>
        <v>8.5555555555555554</v>
      </c>
      <c r="N108" s="14">
        <f>IF('Données projet'!$A$36&gt;35,N107+M108-V107,IF(A108&lt;'Données projet'!$A$36,$K$205^A108,IF(A108='Données projet'!$A$36,'Données projet'!$B$36,N107+M108-V107)))</f>
        <v>357.00000000000034</v>
      </c>
      <c r="O108" s="14">
        <f>N108*VLOOKUP('Données projet'!$B$9,Paramètres!$A$1:$I$89,3,0)*VLOOKUP('Données projet'!$B$9,Paramètres!$A$1:$I$89,5,0)</f>
        <v>167.07600000000016</v>
      </c>
      <c r="P108" s="14">
        <f t="shared" si="87"/>
        <v>42.434485059621714</v>
      </c>
      <c r="Q108" s="22">
        <f t="shared" si="107"/>
        <v>364.89742814550806</v>
      </c>
      <c r="R108" s="62">
        <f t="shared" si="55"/>
        <v>645.80774836794603</v>
      </c>
      <c r="S108" s="62">
        <f ca="1">AVERAGE(OFFSET($R$3,0,0,'Données projet'!$E$9+1,1))-AVERAGE(OFFSET($H$3,0,0,'Données projet'!$E$9+1,1))</f>
        <v>349.50936264852089</v>
      </c>
      <c r="T108" s="62">
        <f t="shared" si="88"/>
        <v>260.52733851266106</v>
      </c>
      <c r="U108" s="16">
        <f>IF(ISNA(VLOOKUP(A108,'Données projet'!$A$35:$I$55,3,0)),0,VLOOKUP(A108,'Données projet'!$A$35:$I$55,3,0))</f>
        <v>20</v>
      </c>
      <c r="V108" s="16">
        <f>IF(ISNA(VLOOKUP(A108,'Données projet'!$A$35:$I$55,4,0)),0,VLOOKUP(A108,'Données projet'!$A$35:$I$55,4,0))</f>
        <v>357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286.96200000000005</v>
      </c>
      <c r="AK108" s="14">
        <f t="shared" si="89"/>
        <v>68.436169981717853</v>
      </c>
      <c r="AL108" s="22">
        <f t="shared" si="58"/>
        <v>618.98514605149205</v>
      </c>
      <c r="AM108" s="62">
        <f t="shared" si="59"/>
        <v>899.89546627393008</v>
      </c>
      <c r="AN108" s="62">
        <f ca="1">AVERAGE(OFFSET($AM$3,0,0,'Données projet'!$E$10+1,1))-AVERAGE(OFFSET($H$3,0,0,'Données projet'!$E$10+1,1))</f>
        <v>447.04988989014134</v>
      </c>
      <c r="AO108" s="62">
        <f t="shared" si="90"/>
        <v>278.04061554501783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309.036</v>
      </c>
      <c r="BF108" s="14">
        <f t="shared" si="91"/>
        <v>73.067472125463723</v>
      </c>
      <c r="BG108" s="22">
        <f t="shared" si="61"/>
        <v>665.496880618516</v>
      </c>
      <c r="BH108" s="62">
        <f t="shared" si="62"/>
        <v>946.40720084095403</v>
      </c>
      <c r="BI108" s="62">
        <f ca="1">AVERAGE(OFFSET($BH$3,0,0,'Données projet'!$E$11+1,1))-AVERAGE(OFFSET($H$3,0,0,'Données projet'!$E$11+1,1))</f>
        <v>475.58735584427552</v>
      </c>
      <c r="BJ108" s="62">
        <f t="shared" si="92"/>
        <v>294.51413339056131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4.9658410716801891E-14</v>
      </c>
      <c r="CA108" s="14">
        <f t="shared" si="93"/>
        <v>8.0934058173791862E-13</v>
      </c>
      <c r="CB108" s="22">
        <f t="shared" si="64"/>
        <v>1.4960899118586383E-12</v>
      </c>
      <c r="CC108" s="62">
        <f t="shared" si="65"/>
        <v>280.91032022243951</v>
      </c>
      <c r="CD108" s="62">
        <f ca="1">AVERAGE(OFFSET($CC$3,0,0,'Données projet'!$E$12+1,1))-AVERAGE(OFFSET($H$3,0,0,'Données projet'!$E$12+1,1))</f>
        <v>344.32696811748974</v>
      </c>
      <c r="CE108" s="62">
        <f t="shared" si="94"/>
        <v>411.51927518440766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1.3060888426853681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1.3060888426853681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333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332.99999999999989</v>
      </c>
      <c r="CU108" s="18">
        <f>CT108*VLOOKUP('Données projet'!$B$13,Paramètres!$A$1:$I$89,3,0)*VLOOKUP('Données projet'!$B$13,Paramètres!$A$1:$I$89,5,0)</f>
        <v>301.2983999999999</v>
      </c>
      <c r="CV108" s="14">
        <f t="shared" si="95"/>
        <v>71.448589534990518</v>
      </c>
      <c r="CW108" s="22">
        <f t="shared" si="67"/>
        <v>649.20100677344158</v>
      </c>
      <c r="CX108" s="62">
        <f t="shared" si="68"/>
        <v>930.11132699587961</v>
      </c>
      <c r="CY108" s="62">
        <f ca="1">AVERAGE(OFFSET($CX$3,0,0,'Données projet'!$E$13+1,1))-AVERAGE(OFFSET($H$3,0,0,'Données projet'!$E$13+1,1))</f>
        <v>473.14533251757302</v>
      </c>
      <c r="CZ108" s="62">
        <f t="shared" si="96"/>
        <v>299.82031908667142</v>
      </c>
      <c r="DA108" s="16">
        <f>IF(ISNA(VLOOKUP(A108,'Données projet'!$A$139:$I$159,3,0)),0,VLOOKUP(A108,'Données projet'!$A$139:$I$159,3,0))</f>
        <v>18</v>
      </c>
      <c r="DB108" s="16">
        <f>IF(ISNA(VLOOKUP(A108,'Données projet'!$A$139:$I$159,4,0)),0,VLOOKUP(A108,'Données projet'!$A$139:$I$159,4,0))</f>
        <v>26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0.29988368561971546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0.29988368561971546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89.751456703373435</v>
      </c>
      <c r="DU108" s="62">
        <f t="shared" si="98"/>
        <v>433.35713950666889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15.022744182362715</v>
      </c>
      <c r="EB108" s="23">
        <f>EXP(-LN(2)/25)*EB107+(1-EXP(-LN(2)/25))/(LN(2)/25)*Calculateur!DW108*Calculateur!DY108*VLOOKUP('Données projet'!$B$14,Paramètres!$A$1:$I$89,3,0)*0.475*44/12</f>
        <v>2.2356664078823538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17.25841059024507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204.71144247550794</v>
      </c>
      <c r="EP108" s="62">
        <f t="shared" si="100"/>
        <v>409.91012463636184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22.371907626027923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1.3684603443078122E-9</v>
      </c>
      <c r="EY108" s="24">
        <f t="shared" si="75"/>
        <v>22.371907627396382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66.611905515210367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2.8000000000000003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10.266666666666667</v>
      </c>
      <c r="H109" s="70">
        <f t="shared" si="56"/>
        <v>188.90666666666664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projet'!$B$9,Paramètres!$A$1:$I$89,3,0)*VLOOKUP('Données projet'!$B$9,Paramètres!$A$1:$I$89,5,0)</f>
        <v>1.5961632016114892E-13</v>
      </c>
      <c r="P109" s="14">
        <f t="shared" si="87"/>
        <v>2.2708641912150958E-12</v>
      </c>
      <c r="Q109" s="22">
        <f t="shared" si="107"/>
        <v>4.2330868906469593E-12</v>
      </c>
      <c r="R109" s="62">
        <f t="shared" si="55"/>
        <v>281.12583172621976</v>
      </c>
      <c r="S109" s="62">
        <f ca="1">AVERAGE(OFFSET($R$3,0,0,'Données projet'!$E$9+1,1))-AVERAGE(OFFSET($H$3,0,0,'Données projet'!$E$9+1,1))</f>
        <v>349.50936264852089</v>
      </c>
      <c r="T109" s="62">
        <f t="shared" si="88"/>
        <v>260.52733851266106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270.94080000000002</v>
      </c>
      <c r="AK109" s="14">
        <f t="shared" si="89"/>
        <v>65.048890354155489</v>
      </c>
      <c r="AL109" s="22">
        <f t="shared" si="58"/>
        <v>585.1820440334875</v>
      </c>
      <c r="AM109" s="62">
        <f t="shared" si="59"/>
        <v>866.30787575970305</v>
      </c>
      <c r="AN109" s="62">
        <f ca="1">AVERAGE(OFFSET($AM$3,0,0,'Données projet'!$E$10+1,1))-AVERAGE(OFFSET($H$3,0,0,'Données projet'!$E$10+1,1))</f>
        <v>447.04988989014134</v>
      </c>
      <c r="AO109" s="62">
        <f t="shared" si="90"/>
        <v>278.04061554501783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291.7824</v>
      </c>
      <c r="BF109" s="14">
        <f t="shared" si="91"/>
        <v>69.4509640737393</v>
      </c>
      <c r="BG109" s="22">
        <f t="shared" si="61"/>
        <v>629.14810909509595</v>
      </c>
      <c r="BH109" s="62">
        <f t="shared" si="62"/>
        <v>910.2739408213115</v>
      </c>
      <c r="BI109" s="62">
        <f ca="1">AVERAGE(OFFSET($BH$3,0,0,'Données projet'!$E$11+1,1))-AVERAGE(OFFSET($H$3,0,0,'Données projet'!$E$11+1,1))</f>
        <v>475.58735584427552</v>
      </c>
      <c r="BJ109" s="62">
        <f t="shared" si="92"/>
        <v>294.51413339056131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4.9658410716801891E-14</v>
      </c>
      <c r="CA109" s="14">
        <f t="shared" si="93"/>
        <v>8.0934058173791862E-13</v>
      </c>
      <c r="CB109" s="22">
        <f t="shared" si="64"/>
        <v>1.4960899118586383E-12</v>
      </c>
      <c r="CC109" s="62">
        <f t="shared" si="65"/>
        <v>281.12583172621703</v>
      </c>
      <c r="CD109" s="62">
        <f ca="1">AVERAGE(OFFSET($CC$3,0,0,'Données projet'!$E$12+1,1))-AVERAGE(OFFSET($H$3,0,0,'Données projet'!$E$12+1,1))</f>
        <v>344.32696811748974</v>
      </c>
      <c r="CE109" s="62">
        <f t="shared" si="94"/>
        <v>411.51927518440766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1.2703737745979096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1.2703737745979096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311.99999999999989</v>
      </c>
      <c r="CU109" s="18">
        <f>CT109*VLOOKUP('Données projet'!$B$13,Paramètres!$A$1:$I$89,3,0)*VLOOKUP('Données projet'!$B$13,Paramètres!$A$1:$I$89,5,0)</f>
        <v>282.29759999999987</v>
      </c>
      <c r="CV109" s="14">
        <f t="shared" si="95"/>
        <v>67.452326629470178</v>
      </c>
      <c r="CW109" s="22">
        <f t="shared" si="67"/>
        <v>609.14778887966042</v>
      </c>
      <c r="CX109" s="62">
        <f t="shared" si="68"/>
        <v>890.27362060587598</v>
      </c>
      <c r="CY109" s="62">
        <f ca="1">AVERAGE(OFFSET($CX$3,0,0,'Données projet'!$E$13+1,1))-AVERAGE(OFFSET($H$3,0,0,'Données projet'!$E$13+1,1))</f>
        <v>473.14533251757302</v>
      </c>
      <c r="CZ109" s="62">
        <f t="shared" si="96"/>
        <v>299.82031908667142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0.29168335046624672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0.29168335046624672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89.751456703373435</v>
      </c>
      <c r="DU109" s="62">
        <f t="shared" si="98"/>
        <v>433.35713950666889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14.728157331915765</v>
      </c>
      <c r="EB109" s="23">
        <f>EXP(-LN(2)/25)*EB108+(1-EXP(-LN(2)/25))/(LN(2)/25)*Calculateur!DW109*Calculateur!DY109*VLOOKUP('Données projet'!$B$14,Paramètres!$A$1:$I$89,3,0)*0.475*44/12</f>
        <v>2.1745319923902242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16.902689324305989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204.71144247550794</v>
      </c>
      <c r="EP109" s="62">
        <f t="shared" si="100"/>
        <v>409.91012463636184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21.933208162997783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9.6764758924493163E-10</v>
      </c>
      <c r="EY109" s="24">
        <f t="shared" si="75"/>
        <v>21.933208163965432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66.670681379876967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2.8000000000000003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10.266666666666667</v>
      </c>
      <c r="H110" s="70">
        <f t="shared" si="56"/>
        <v>188.90666666666664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projet'!$B$9,Paramètres!$A$1:$I$89,3,0)*VLOOKUP('Données projet'!$B$9,Paramètres!$A$1:$I$89,5,0)</f>
        <v>1.5961632016114892E-13</v>
      </c>
      <c r="P110" s="14">
        <f t="shared" si="87"/>
        <v>2.2708641912150958E-12</v>
      </c>
      <c r="Q110" s="22">
        <f t="shared" si="107"/>
        <v>4.2330868906469593E-12</v>
      </c>
      <c r="R110" s="62">
        <f t="shared" si="55"/>
        <v>281.33760458721832</v>
      </c>
      <c r="S110" s="62">
        <f ca="1">AVERAGE(OFFSET($R$3,0,0,'Données projet'!$E$9+1,1))-AVERAGE(OFFSET($H$3,0,0,'Données projet'!$E$9+1,1))</f>
        <v>349.50936264852089</v>
      </c>
      <c r="T110" s="62">
        <f t="shared" si="88"/>
        <v>260.52733851266106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275.19960000000003</v>
      </c>
      <c r="AK110" s="14">
        <f t="shared" si="89"/>
        <v>65.951527620662617</v>
      </c>
      <c r="AL110" s="22">
        <f t="shared" si="58"/>
        <v>594.17154727265404</v>
      </c>
      <c r="AM110" s="62">
        <f t="shared" si="59"/>
        <v>875.5091518598681</v>
      </c>
      <c r="AN110" s="62">
        <f ca="1">AVERAGE(OFFSET($AM$3,0,0,'Données projet'!$E$10+1,1))-AVERAGE(OFFSET($H$3,0,0,'Données projet'!$E$10+1,1))</f>
        <v>447.04988989014134</v>
      </c>
      <c r="AO110" s="62">
        <f t="shared" si="90"/>
        <v>278.04061554501783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296.36879999999996</v>
      </c>
      <c r="BF110" s="14">
        <f t="shared" si="91"/>
        <v>70.414685791765493</v>
      </c>
      <c r="BG110" s="22">
        <f t="shared" si="61"/>
        <v>638.81457108732468</v>
      </c>
      <c r="BH110" s="62">
        <f t="shared" si="62"/>
        <v>920.15217567453874</v>
      </c>
      <c r="BI110" s="62">
        <f ca="1">AVERAGE(OFFSET($BH$3,0,0,'Données projet'!$E$11+1,1))-AVERAGE(OFFSET($H$3,0,0,'Données projet'!$E$11+1,1))</f>
        <v>475.58735584427552</v>
      </c>
      <c r="BJ110" s="62">
        <f t="shared" si="92"/>
        <v>294.51413339056131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4.9658410716801891E-14</v>
      </c>
      <c r="CA110" s="14">
        <f t="shared" si="93"/>
        <v>8.0934058173791862E-13</v>
      </c>
      <c r="CB110" s="22">
        <f t="shared" si="64"/>
        <v>1.4960899118586383E-12</v>
      </c>
      <c r="CC110" s="62">
        <f t="shared" si="65"/>
        <v>281.33760458721559</v>
      </c>
      <c r="CD110" s="62">
        <f ca="1">AVERAGE(OFFSET($CC$3,0,0,'Données projet'!$E$12+1,1))-AVERAGE(OFFSET($H$3,0,0,'Données projet'!$E$12+1,1))</f>
        <v>344.32696811748974</v>
      </c>
      <c r="CE110" s="62">
        <f t="shared" si="94"/>
        <v>411.51927518440766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1.2356353369254764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1.2356353369254764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316.99999999999989</v>
      </c>
      <c r="CU110" s="18">
        <f>CT110*VLOOKUP('Données projet'!$B$13,Paramètres!$A$1:$I$89,3,0)*VLOOKUP('Données projet'!$B$13,Paramètres!$A$1:$I$89,5,0)</f>
        <v>286.82159999999988</v>
      </c>
      <c r="CV110" s="14">
        <f t="shared" si="95"/>
        <v>68.406583284351413</v>
      </c>
      <c r="CW110" s="22">
        <f t="shared" si="67"/>
        <v>618.68908588691181</v>
      </c>
      <c r="CX110" s="62">
        <f t="shared" si="68"/>
        <v>900.02669047412587</v>
      </c>
      <c r="CY110" s="62">
        <f ca="1">AVERAGE(OFFSET($CX$3,0,0,'Données projet'!$E$13+1,1))-AVERAGE(OFFSET($H$3,0,0,'Données projet'!$E$13+1,1))</f>
        <v>473.14533251757302</v>
      </c>
      <c r="CZ110" s="62">
        <f t="shared" si="96"/>
        <v>299.82031908667142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0.28370725390878643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0.28370725390878643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89.751456703373435</v>
      </c>
      <c r="DU110" s="62">
        <f t="shared" si="98"/>
        <v>433.35713950666889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14.439347149925844</v>
      </c>
      <c r="EB110" s="23">
        <f>EXP(-LN(2)/25)*EB109+(1-EXP(-LN(2)/25))/(LN(2)/25)*Calculateur!DW110*Calculateur!DY110*VLOOKUP('Données projet'!$B$14,Paramètres!$A$1:$I$89,3,0)*0.475*44/12</f>
        <v>2.1150693007046462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16.554416450630491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204.71144247550794</v>
      </c>
      <c r="EP110" s="62">
        <f t="shared" si="100"/>
        <v>409.91012463636184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21.503111328857415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6.842301721539061E-10</v>
      </c>
      <c r="EY110" s="24">
        <f t="shared" si="75"/>
        <v>21.503111329541646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66.728437614694755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2.8000000000000003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10.266666666666667</v>
      </c>
      <c r="H111" s="70">
        <f t="shared" si="56"/>
        <v>188.90666666666664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projet'!$B$9,Paramètres!$A$1:$I$89,3,0)*VLOOKUP('Données projet'!$B$9,Paramètres!$A$1:$I$89,5,0)</f>
        <v>1.5961632016114892E-13</v>
      </c>
      <c r="P111" s="14">
        <f t="shared" si="87"/>
        <v>2.2708641912150958E-12</v>
      </c>
      <c r="Q111" s="22">
        <f t="shared" si="107"/>
        <v>4.2330868906469593E-12</v>
      </c>
      <c r="R111" s="62">
        <f t="shared" si="55"/>
        <v>281.54570366253165</v>
      </c>
      <c r="S111" s="62">
        <f ca="1">AVERAGE(OFFSET($R$3,0,0,'Données projet'!$E$9+1,1))-AVERAGE(OFFSET($H$3,0,0,'Données projet'!$E$9+1,1))</f>
        <v>349.50936264852089</v>
      </c>
      <c r="T111" s="62">
        <f t="shared" si="88"/>
        <v>260.52733851266106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279.45839999999998</v>
      </c>
      <c r="AK111" s="14">
        <f t="shared" si="89"/>
        <v>66.852540337772723</v>
      </c>
      <c r="AL111" s="22">
        <f t="shared" si="58"/>
        <v>603.15822108828741</v>
      </c>
      <c r="AM111" s="62">
        <f t="shared" si="59"/>
        <v>884.70392475081485</v>
      </c>
      <c r="AN111" s="62">
        <f ca="1">AVERAGE(OFFSET($AM$3,0,0,'Données projet'!$E$10+1,1))-AVERAGE(OFFSET($H$3,0,0,'Données projet'!$E$10+1,1))</f>
        <v>447.04988989014134</v>
      </c>
      <c r="AO111" s="62">
        <f t="shared" si="90"/>
        <v>278.04061554501783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300.95519999999993</v>
      </c>
      <c r="BF111" s="14">
        <f t="shared" si="91"/>
        <v>71.376673021759785</v>
      </c>
      <c r="BG111" s="22">
        <f t="shared" si="61"/>
        <v>648.47801217956487</v>
      </c>
      <c r="BH111" s="62">
        <f t="shared" si="62"/>
        <v>930.02371584209232</v>
      </c>
      <c r="BI111" s="62">
        <f ca="1">AVERAGE(OFFSET($BH$3,0,0,'Données projet'!$E$11+1,1))-AVERAGE(OFFSET($H$3,0,0,'Données projet'!$E$11+1,1))</f>
        <v>475.58735584427552</v>
      </c>
      <c r="BJ111" s="62">
        <f t="shared" si="92"/>
        <v>294.51413339056131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4.9658410716801891E-14</v>
      </c>
      <c r="CA111" s="14">
        <f t="shared" si="93"/>
        <v>8.0934058173791862E-13</v>
      </c>
      <c r="CB111" s="22">
        <f t="shared" si="64"/>
        <v>1.4960899118586383E-12</v>
      </c>
      <c r="CC111" s="62">
        <f t="shared" si="65"/>
        <v>281.54570366252892</v>
      </c>
      <c r="CD111" s="62">
        <f ca="1">AVERAGE(OFFSET($CC$3,0,0,'Données projet'!$E$12+1,1))-AVERAGE(OFFSET($H$3,0,0,'Données projet'!$E$12+1,1))</f>
        <v>344.32696811748974</v>
      </c>
      <c r="CE111" s="62">
        <f t="shared" si="94"/>
        <v>411.51927518440766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1.2018468236580111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1.2018468236580111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321.99999999999989</v>
      </c>
      <c r="CU111" s="18">
        <f>CT111*VLOOKUP('Données projet'!$B$13,Paramètres!$A$1:$I$89,3,0)*VLOOKUP('Données projet'!$B$13,Paramètres!$A$1:$I$89,5,0)</f>
        <v>291.34559999999993</v>
      </c>
      <c r="CV111" s="14">
        <f t="shared" si="95"/>
        <v>69.359089490698707</v>
      </c>
      <c r="CW111" s="22">
        <f t="shared" si="67"/>
        <v>628.22733419630015</v>
      </c>
      <c r="CX111" s="62">
        <f t="shared" si="68"/>
        <v>909.77303785882759</v>
      </c>
      <c r="CY111" s="62">
        <f ca="1">AVERAGE(OFFSET($CX$3,0,0,'Données projet'!$E$13+1,1))-AVERAGE(OFFSET($H$3,0,0,'Données projet'!$E$13+1,1))</f>
        <v>473.14533251757302</v>
      </c>
      <c r="CZ111" s="62">
        <f t="shared" si="96"/>
        <v>299.82031908667142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0.27594926413113458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0.27594926413113458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89.751456703373435</v>
      </c>
      <c r="DU111" s="62">
        <f t="shared" si="98"/>
        <v>433.35713950666889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14.156200359447928</v>
      </c>
      <c r="EB111" s="23">
        <f>EXP(-LN(2)/25)*EB110+(1-EXP(-LN(2)/25))/(LN(2)/25)*Calculateur!DW111*Calculateur!DY111*VLOOKUP('Données projet'!$B$14,Paramètres!$A$1:$I$89,3,0)*0.475*44/12</f>
        <v>2.0572326194502173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16.213432978898144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204.71144247550794</v>
      </c>
      <c r="EP111" s="62">
        <f t="shared" si="100"/>
        <v>409.91012463636184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21.081448431301371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4.8382379462246581E-10</v>
      </c>
      <c r="EY111" s="24">
        <f t="shared" si="75"/>
        <v>21.081448431785194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66.78519190796203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2.8000000000000003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10.266666666666667</v>
      </c>
      <c r="H112" s="70">
        <f t="shared" si="56"/>
        <v>188.90666666666664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projet'!$B$9,Paramètres!$A$1:$I$89,3,0)*VLOOKUP('Données projet'!$B$9,Paramètres!$A$1:$I$89,5,0)</f>
        <v>1.5961632016114892E-13</v>
      </c>
      <c r="P112" s="14">
        <f t="shared" si="87"/>
        <v>2.2708641912150958E-12</v>
      </c>
      <c r="Q112" s="22">
        <f t="shared" si="107"/>
        <v>4.2330868906469593E-12</v>
      </c>
      <c r="R112" s="62">
        <f t="shared" si="55"/>
        <v>281.75019268412819</v>
      </c>
      <c r="S112" s="62">
        <f ca="1">AVERAGE(OFFSET($R$3,0,0,'Données projet'!$E$9+1,1))-AVERAGE(OFFSET($H$3,0,0,'Données projet'!$E$9+1,1))</f>
        <v>349.50936264852089</v>
      </c>
      <c r="T112" s="62">
        <f t="shared" si="88"/>
        <v>260.52733851266106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283.71719999999999</v>
      </c>
      <c r="AK112" s="14">
        <f t="shared" si="89"/>
        <v>67.751956122170697</v>
      </c>
      <c r="AL112" s="22">
        <f t="shared" si="58"/>
        <v>612.14211357944725</v>
      </c>
      <c r="AM112" s="62">
        <f t="shared" si="59"/>
        <v>893.8923062635713</v>
      </c>
      <c r="AN112" s="62">
        <f ca="1">AVERAGE(OFFSET($AM$3,0,0,'Données projet'!$E$10+1,1))-AVERAGE(OFFSET($H$3,0,0,'Données projet'!$E$10+1,1))</f>
        <v>447.04988989014134</v>
      </c>
      <c r="AO112" s="62">
        <f t="shared" si="90"/>
        <v>278.04061554501783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305.54159999999996</v>
      </c>
      <c r="BF112" s="14">
        <f t="shared" si="91"/>
        <v>72.336955249319473</v>
      </c>
      <c r="BG112" s="22">
        <f t="shared" si="61"/>
        <v>658.13848372589803</v>
      </c>
      <c r="BH112" s="62">
        <f t="shared" si="62"/>
        <v>939.88867641002207</v>
      </c>
      <c r="BI112" s="62">
        <f ca="1">AVERAGE(OFFSET($BH$3,0,0,'Données projet'!$E$11+1,1))-AVERAGE(OFFSET($H$3,0,0,'Données projet'!$E$11+1,1))</f>
        <v>475.58735584427552</v>
      </c>
      <c r="BJ112" s="62">
        <f t="shared" si="92"/>
        <v>294.51413339056131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4.9658410716801891E-14</v>
      </c>
      <c r="CA112" s="14">
        <f t="shared" si="93"/>
        <v>8.0934058173791862E-13</v>
      </c>
      <c r="CB112" s="22">
        <f t="shared" si="64"/>
        <v>1.4960899118586383E-12</v>
      </c>
      <c r="CC112" s="62">
        <f t="shared" si="65"/>
        <v>281.75019268412547</v>
      </c>
      <c r="CD112" s="62">
        <f ca="1">AVERAGE(OFFSET($CC$3,0,0,'Données projet'!$E$12+1,1))-AVERAGE(OFFSET($H$3,0,0,'Données projet'!$E$12+1,1))</f>
        <v>344.32696811748974</v>
      </c>
      <c r="CE112" s="62">
        <f t="shared" si="94"/>
        <v>411.51927518440766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1.1689822590627053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1.1689822590627053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326.99999999999989</v>
      </c>
      <c r="CU112" s="18">
        <f>CT112*VLOOKUP('Données projet'!$B$13,Paramètres!$A$1:$I$89,3,0)*VLOOKUP('Données projet'!$B$13,Paramètres!$A$1:$I$89,5,0)</f>
        <v>295.86959999999988</v>
      </c>
      <c r="CV112" s="14">
        <f t="shared" si="95"/>
        <v>70.309875568291218</v>
      </c>
      <c r="CW112" s="22">
        <f t="shared" si="67"/>
        <v>637.76258661477357</v>
      </c>
      <c r="CX112" s="62">
        <f t="shared" si="68"/>
        <v>919.51277929889761</v>
      </c>
      <c r="CY112" s="62">
        <f ca="1">AVERAGE(OFFSET($CX$3,0,0,'Données projet'!$E$13+1,1))-AVERAGE(OFFSET($H$3,0,0,'Données projet'!$E$13+1,1))</f>
        <v>473.14533251757302</v>
      </c>
      <c r="CZ112" s="62">
        <f t="shared" si="96"/>
        <v>299.82031908667142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0.2684034169919276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0.2684034169919276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89.751456703373435</v>
      </c>
      <c r="DU112" s="62">
        <f t="shared" si="98"/>
        <v>433.35713950666889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13.878605904828794</v>
      </c>
      <c r="EB112" s="23">
        <f>EXP(-LN(2)/25)*EB111+(1-EXP(-LN(2)/25))/(LN(2)/25)*Calculateur!DW112*Calculateur!DY112*VLOOKUP('Données projet'!$B$14,Paramètres!$A$1:$I$89,3,0)*0.475*44/12</f>
        <v>2.0009774852861897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15.879583390114984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204.71144247550794</v>
      </c>
      <c r="EP112" s="62">
        <f t="shared" si="100"/>
        <v>409.91012463636184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20.668054085977431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3.4211508607695305E-10</v>
      </c>
      <c r="EY112" s="24">
        <f t="shared" si="75"/>
        <v>20.668054086319547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66.840961641124721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2.8000000000000003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10.266666666666667</v>
      </c>
      <c r="H113" s="70">
        <f t="shared" si="56"/>
        <v>188.90666666666664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1.5961632016114892E-13</v>
      </c>
      <c r="P113" s="14">
        <f t="shared" si="87"/>
        <v>2.2708641912150958E-12</v>
      </c>
      <c r="Q113" s="22">
        <f t="shared" si="107"/>
        <v>4.2330868906469593E-12</v>
      </c>
      <c r="R113" s="62">
        <f t="shared" si="55"/>
        <v>281.95113427836901</v>
      </c>
      <c r="S113" s="62">
        <f ca="1">AVERAGE(OFFSET($R$3,0,0,'Données projet'!$E$9+1,1))-AVERAGE(OFFSET($H$3,0,0,'Données projet'!$E$9+1,1))</f>
        <v>349.50936264852089</v>
      </c>
      <c r="T113" s="62">
        <f t="shared" si="88"/>
        <v>260.52733851266106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287.97599999999994</v>
      </c>
      <c r="AK113" s="14">
        <f t="shared" si="89"/>
        <v>68.649801713863141</v>
      </c>
      <c r="AL113" s="22">
        <f t="shared" si="58"/>
        <v>621.12327131831148</v>
      </c>
      <c r="AM113" s="62">
        <f t="shared" si="59"/>
        <v>903.07440559667634</v>
      </c>
      <c r="AN113" s="62">
        <f ca="1">AVERAGE(OFFSET($AM$3,0,0,'Données projet'!$E$10+1,1))-AVERAGE(OFFSET($H$3,0,0,'Données projet'!$E$10+1,1))</f>
        <v>447.04988989014134</v>
      </c>
      <c r="AO113" s="62">
        <f t="shared" si="90"/>
        <v>278.04061554501783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310.12799999999993</v>
      </c>
      <c r="BF113" s="14">
        <f t="shared" si="91"/>
        <v>73.295561024036076</v>
      </c>
      <c r="BG113" s="22">
        <f t="shared" si="61"/>
        <v>667.79603545019597</v>
      </c>
      <c r="BH113" s="62">
        <f t="shared" si="62"/>
        <v>949.74716972856072</v>
      </c>
      <c r="BI113" s="62">
        <f ca="1">AVERAGE(OFFSET($BH$3,0,0,'Données projet'!$E$11+1,1))-AVERAGE(OFFSET($H$3,0,0,'Données projet'!$E$11+1,1))</f>
        <v>475.58735584427552</v>
      </c>
      <c r="BJ113" s="62">
        <f t="shared" si="92"/>
        <v>294.51413339056131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4.9658410716801891E-14</v>
      </c>
      <c r="CA113" s="14">
        <f t="shared" si="93"/>
        <v>8.0934058173791862E-13</v>
      </c>
      <c r="CB113" s="22">
        <f t="shared" si="64"/>
        <v>1.4960899118586383E-12</v>
      </c>
      <c r="CC113" s="62">
        <f t="shared" si="65"/>
        <v>281.95113427836628</v>
      </c>
      <c r="CD113" s="62">
        <f ca="1">AVERAGE(OFFSET($CC$3,0,0,'Données projet'!$E$12+1,1))-AVERAGE(OFFSET($H$3,0,0,'Données projet'!$E$12+1,1))</f>
        <v>344.32696811748974</v>
      </c>
      <c r="CE113" s="62">
        <f t="shared" si="94"/>
        <v>411.51927518440766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1.1370163777145303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1.1370163777145303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332</v>
      </c>
      <c r="CR113" s="13">
        <f>VLOOKUP(A113,'Données projet'!$A$139:$I$159,9,0)</f>
        <v>5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331.99999999999989</v>
      </c>
      <c r="CU113" s="18">
        <f>CT113*VLOOKUP('Données projet'!$B$13,Paramètres!$A$1:$I$89,3,0)*VLOOKUP('Données projet'!$B$13,Paramètres!$A$1:$I$89,5,0)</f>
        <v>300.39359999999988</v>
      </c>
      <c r="CV113" s="14">
        <f t="shared" si="95"/>
        <v>71.258970856492667</v>
      </c>
      <c r="CW113" s="22">
        <f t="shared" si="67"/>
        <v>647.29489424172459</v>
      </c>
      <c r="CX113" s="62">
        <f t="shared" si="68"/>
        <v>929.24602852008934</v>
      </c>
      <c r="CY113" s="62">
        <f ca="1">AVERAGE(OFFSET($CX$3,0,0,'Données projet'!$E$13+1,1))-AVERAGE(OFFSET($H$3,0,0,'Données projet'!$E$13+1,1))</f>
        <v>473.14533251757302</v>
      </c>
      <c r="CZ113" s="62">
        <f t="shared" si="96"/>
        <v>299.82031908667142</v>
      </c>
      <c r="DA113" s="16">
        <f>IF(ISNA(VLOOKUP(A113,'Données projet'!$A$139:$I$159,3,0)),0,VLOOKUP(A113,'Données projet'!$A$139:$I$159,3,0))</f>
        <v>19</v>
      </c>
      <c r="DB113" s="16">
        <f>IF(ISNA(VLOOKUP(A113,'Données projet'!$A$139:$I$159,4,0)),0,VLOOKUP(A113,'Données projet'!$A$139:$I$159,4,0))</f>
        <v>25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0.26106391143956109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0.26106391143956109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89.751456703373435</v>
      </c>
      <c r="DU113" s="62">
        <f t="shared" si="98"/>
        <v>433.35713950666889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13.606454908148843</v>
      </c>
      <c r="EB113" s="23">
        <f>EXP(-LN(2)/25)*EB112+(1-EXP(-LN(2)/25))/(LN(2)/25)*Calculateur!DW113*Calculateur!DY113*VLOOKUP('Données projet'!$B$14,Paramètres!$A$1:$I$89,3,0)*0.475*44/12</f>
        <v>1.9462606507242062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15.552715558873048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204.71144247550794</v>
      </c>
      <c r="EP113" s="62">
        <f t="shared" si="100"/>
        <v>409.91012463636184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20.26276615161964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2.4191189731123291E-10</v>
      </c>
      <c r="EY113" s="24">
        <f t="shared" si="75"/>
        <v>20.262766151861552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66.895763894099488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2.8000000000000003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10.266666666666667</v>
      </c>
      <c r="H114" s="70">
        <f t="shared" si="56"/>
        <v>188.90666666666664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1.5961632016114892E-13</v>
      </c>
      <c r="P114" s="14">
        <f t="shared" si="87"/>
        <v>2.2708641912150958E-12</v>
      </c>
      <c r="Q114" s="22">
        <f t="shared" si="107"/>
        <v>4.2330868906469593E-12</v>
      </c>
      <c r="R114" s="62">
        <f t="shared" si="55"/>
        <v>282.14858998518781</v>
      </c>
      <c r="S114" s="62">
        <f ca="1">AVERAGE(OFFSET($R$3,0,0,'Données projet'!$E$9+1,1))-AVERAGE(OFFSET($H$3,0,0,'Données projet'!$E$9+1,1))</f>
        <v>349.50936264852089</v>
      </c>
      <c r="T114" s="62">
        <f t="shared" si="88"/>
        <v>260.52733851266106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272.56319999999994</v>
      </c>
      <c r="AK114" s="14">
        <f t="shared" si="89"/>
        <v>65.392945522034609</v>
      </c>
      <c r="AL114" s="22">
        <f t="shared" si="58"/>
        <v>588.60695345087686</v>
      </c>
      <c r="AM114" s="62">
        <f t="shared" si="59"/>
        <v>870.75554343606041</v>
      </c>
      <c r="AN114" s="62">
        <f ca="1">AVERAGE(OFFSET($AM$3,0,0,'Données projet'!$E$10+1,1))-AVERAGE(OFFSET($H$3,0,0,'Données projet'!$E$10+1,1))</f>
        <v>447.04988989014134</v>
      </c>
      <c r="AO114" s="62">
        <f t="shared" si="90"/>
        <v>278.04061554501783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293.52959999999996</v>
      </c>
      <c r="BF114" s="14">
        <f t="shared" si="91"/>
        <v>69.818302593638066</v>
      </c>
      <c r="BG114" s="22">
        <f t="shared" si="61"/>
        <v>632.8309303505863</v>
      </c>
      <c r="BH114" s="62">
        <f t="shared" si="62"/>
        <v>914.97952033576985</v>
      </c>
      <c r="BI114" s="62">
        <f ca="1">AVERAGE(OFFSET($BH$3,0,0,'Données projet'!$E$11+1,1))-AVERAGE(OFFSET($H$3,0,0,'Données projet'!$E$11+1,1))</f>
        <v>475.58735584427552</v>
      </c>
      <c r="BJ114" s="62">
        <f t="shared" si="92"/>
        <v>294.51413339056131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4.9658410716801891E-14</v>
      </c>
      <c r="CA114" s="14">
        <f t="shared" si="93"/>
        <v>8.0934058173791862E-13</v>
      </c>
      <c r="CB114" s="22">
        <f t="shared" si="64"/>
        <v>1.4960899118586383E-12</v>
      </c>
      <c r="CC114" s="62">
        <f t="shared" si="65"/>
        <v>282.14858998518508</v>
      </c>
      <c r="CD114" s="62">
        <f ca="1">AVERAGE(OFFSET($CC$3,0,0,'Données projet'!$E$12+1,1))-AVERAGE(OFFSET($H$3,0,0,'Données projet'!$E$12+1,1))</f>
        <v>344.32696811748974</v>
      </c>
      <c r="CE114" s="62">
        <f t="shared" si="94"/>
        <v>411.51927518440766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1.105924605072834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1.105924605072834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4.5999999999999996</v>
      </c>
      <c r="CT114" s="13">
        <f>IF('Données projet'!$A$140&gt;35,CT113+CS114-DB113,IF(A114&lt;'Données projet'!$A$140,$CQ$205^A114,IF(A114='Données projet'!$A$140,'Données projet'!$B$140,CT113+CS114-DB113)))</f>
        <v>311.59999999999991</v>
      </c>
      <c r="CU114" s="18">
        <f>CT114*VLOOKUP('Données projet'!$B$13,Paramètres!$A$1:$I$89,3,0)*VLOOKUP('Données projet'!$B$13,Paramètres!$A$1:$I$89,5,0)</f>
        <v>281.93567999999988</v>
      </c>
      <c r="CV114" s="14">
        <f t="shared" si="95"/>
        <v>67.375909546040361</v>
      </c>
      <c r="CW114" s="22">
        <f t="shared" si="67"/>
        <v>608.38435179268674</v>
      </c>
      <c r="CX114" s="62">
        <f t="shared" si="68"/>
        <v>890.53294177787029</v>
      </c>
      <c r="CY114" s="62">
        <f ca="1">AVERAGE(OFFSET($CX$3,0,0,'Données projet'!$E$13+1,1))-AVERAGE(OFFSET($H$3,0,0,'Données projet'!$E$13+1,1))</f>
        <v>473.14533251757302</v>
      </c>
      <c r="CZ114" s="62">
        <f t="shared" si="96"/>
        <v>299.82031908667142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0.25392510505249188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0.25392510505249188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89.751456703373435</v>
      </c>
      <c r="DU114" s="62">
        <f t="shared" si="98"/>
        <v>433.35713950666889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13.339640626518069</v>
      </c>
      <c r="EB114" s="23">
        <f>EXP(-LN(2)/25)*EB113+(1-EXP(-LN(2)/25))/(LN(2)/25)*Calculateur!DW114*Calculateur!DY114*VLOOKUP('Données projet'!$B$14,Paramètres!$A$1:$I$89,3,0)*0.475*44/12</f>
        <v>1.8930400508807534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15.232680677398822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204.71144247550794</v>
      </c>
      <c r="EP114" s="62">
        <f t="shared" si="100"/>
        <v>409.91012463636184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19.865425666453376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1.7105754303847652E-10</v>
      </c>
      <c r="EY114" s="24">
        <f t="shared" si="75"/>
        <v>19.865425666624432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66.949615450504623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2.8000000000000003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10.266666666666667</v>
      </c>
      <c r="H115" s="70">
        <f t="shared" si="56"/>
        <v>188.90666666666664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1.5961632016114892E-13</v>
      </c>
      <c r="P115" s="14">
        <f t="shared" si="87"/>
        <v>2.2708641912150958E-12</v>
      </c>
      <c r="Q115" s="22">
        <f t="shared" si="107"/>
        <v>4.2330868906469593E-12</v>
      </c>
      <c r="R115" s="62">
        <f t="shared" si="55"/>
        <v>282.34262027693813</v>
      </c>
      <c r="S115" s="62">
        <f ca="1">AVERAGE(OFFSET($R$3,0,0,'Données projet'!$E$9+1,1))-AVERAGE(OFFSET($H$3,0,0,'Données projet'!$E$9+1,1))</f>
        <v>349.50936264852089</v>
      </c>
      <c r="T115" s="62">
        <f t="shared" si="88"/>
        <v>260.52733851266106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276.41640000000001</v>
      </c>
      <c r="AK115" s="14">
        <f t="shared" si="89"/>
        <v>66.209124371313408</v>
      </c>
      <c r="AL115" s="22">
        <f t="shared" si="58"/>
        <v>596.7394549467042</v>
      </c>
      <c r="AM115" s="62">
        <f t="shared" si="59"/>
        <v>879.08207522363818</v>
      </c>
      <c r="AN115" s="62">
        <f ca="1">AVERAGE(OFFSET($AM$3,0,0,'Données projet'!$E$10+1,1))-AVERAGE(OFFSET($H$3,0,0,'Données projet'!$E$10+1,1))</f>
        <v>447.04988989014134</v>
      </c>
      <c r="AO115" s="62">
        <f t="shared" si="90"/>
        <v>278.04061554501783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297.67919999999998</v>
      </c>
      <c r="BF115" s="14">
        <f t="shared" si="91"/>
        <v>70.689714967168129</v>
      </c>
      <c r="BG115" s="22">
        <f t="shared" si="61"/>
        <v>641.57586023448448</v>
      </c>
      <c r="BH115" s="62">
        <f t="shared" si="62"/>
        <v>923.91848051141847</v>
      </c>
      <c r="BI115" s="62">
        <f ca="1">AVERAGE(OFFSET($BH$3,0,0,'Données projet'!$E$11+1,1))-AVERAGE(OFFSET($H$3,0,0,'Données projet'!$E$11+1,1))</f>
        <v>475.58735584427552</v>
      </c>
      <c r="BJ115" s="62">
        <f t="shared" si="92"/>
        <v>294.51413339056131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4.9658410716801891E-14</v>
      </c>
      <c r="CA115" s="14">
        <f t="shared" si="93"/>
        <v>8.0934058173791862E-13</v>
      </c>
      <c r="CB115" s="22">
        <f t="shared" si="64"/>
        <v>1.4960899118586383E-12</v>
      </c>
      <c r="CC115" s="62">
        <f t="shared" si="65"/>
        <v>282.34262027693541</v>
      </c>
      <c r="CD115" s="62">
        <f ca="1">AVERAGE(OFFSET($CC$3,0,0,'Données projet'!$E$12+1,1))-AVERAGE(OFFSET($H$3,0,0,'Données projet'!$E$12+1,1))</f>
        <v>344.32696811748974</v>
      </c>
      <c r="CE115" s="62">
        <f t="shared" si="94"/>
        <v>411.51927518440766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1.0756830385890699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1.0756830385890699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4.5999999999999996</v>
      </c>
      <c r="CT115" s="13">
        <f>IF('Données projet'!$A$140&gt;35,CT114+CS115-DB114,IF(A115&lt;'Données projet'!$A$140,$CQ$205^A115,IF(A115='Données projet'!$A$140,'Données projet'!$B$140,CT114+CS115-DB114)))</f>
        <v>316.19999999999993</v>
      </c>
      <c r="CU115" s="18">
        <f>CT115*VLOOKUP('Données projet'!$B$13,Paramètres!$A$1:$I$89,3,0)*VLOOKUP('Données projet'!$B$13,Paramètres!$A$1:$I$89,5,0)</f>
        <v>286.09775999999994</v>
      </c>
      <c r="CV115" s="14">
        <f t="shared" si="95"/>
        <v>68.254020651723678</v>
      </c>
      <c r="CW115" s="22">
        <f t="shared" si="67"/>
        <v>617.16268463508527</v>
      </c>
      <c r="CX115" s="62">
        <f t="shared" si="68"/>
        <v>899.50530491201926</v>
      </c>
      <c r="CY115" s="62">
        <f ca="1">AVERAGE(OFFSET($CX$3,0,0,'Données projet'!$E$13+1,1))-AVERAGE(OFFSET($H$3,0,0,'Données projet'!$E$13+1,1))</f>
        <v>473.14533251757302</v>
      </c>
      <c r="CZ115" s="62">
        <f t="shared" si="96"/>
        <v>299.82031908667142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0.24698150970149058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0.24698150970149058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89.751456703373435</v>
      </c>
      <c r="DU115" s="62">
        <f t="shared" si="98"/>
        <v>433.35713950666889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13.078058410209431</v>
      </c>
      <c r="EB115" s="23">
        <f>EXP(-LN(2)/25)*EB114+(1-EXP(-LN(2)/25))/(LN(2)/25)*Calculateur!DW115*Calculateur!DY115*VLOOKUP('Données projet'!$B$14,Paramètres!$A$1:$I$89,3,0)*0.475*44/12</f>
        <v>1.8412747711387696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14.9193331813482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204.71144247550794</v>
      </c>
      <c r="EP115" s="62">
        <f t="shared" si="100"/>
        <v>409.91012463636184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19.475876785847454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1.2095594865561645E-10</v>
      </c>
      <c r="EY115" s="24">
        <f t="shared" si="75"/>
        <v>19.47587678596841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67.002532802800161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2.8000000000000003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10.266666666666667</v>
      </c>
      <c r="H116" s="70">
        <f t="shared" si="56"/>
        <v>188.90666666666664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1.5961632016114892E-13</v>
      </c>
      <c r="P116" s="14">
        <f t="shared" si="87"/>
        <v>2.2708641912150958E-12</v>
      </c>
      <c r="Q116" s="22">
        <f t="shared" si="107"/>
        <v>4.2330868906469593E-12</v>
      </c>
      <c r="R116" s="62">
        <f t="shared" si="55"/>
        <v>282.53328457691333</v>
      </c>
      <c r="S116" s="62">
        <f ca="1">AVERAGE(OFFSET($R$3,0,0,'Données projet'!$E$9+1,1))-AVERAGE(OFFSET($H$3,0,0,'Données projet'!$E$9+1,1))</f>
        <v>349.50936264852089</v>
      </c>
      <c r="T116" s="62">
        <f t="shared" si="88"/>
        <v>260.52733851266106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280.26960000000003</v>
      </c>
      <c r="AK116" s="14">
        <f t="shared" si="89"/>
        <v>67.023979919595945</v>
      </c>
      <c r="AL116" s="22">
        <f t="shared" si="58"/>
        <v>604.8696516932963</v>
      </c>
      <c r="AM116" s="62">
        <f t="shared" si="59"/>
        <v>887.40293627020537</v>
      </c>
      <c r="AN116" s="62">
        <f ca="1">AVERAGE(OFFSET($AM$3,0,0,'Données projet'!$E$10+1,1))-AVERAGE(OFFSET($H$3,0,0,'Données projet'!$E$10+1,1))</f>
        <v>447.04988989014134</v>
      </c>
      <c r="AO116" s="62">
        <f t="shared" si="90"/>
        <v>278.04061554501783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301.82879999999994</v>
      </c>
      <c r="BF116" s="14">
        <f t="shared" si="91"/>
        <v>71.559714487543388</v>
      </c>
      <c r="BG116" s="22">
        <f t="shared" si="61"/>
        <v>650.31832939913795</v>
      </c>
      <c r="BH116" s="62">
        <f t="shared" si="62"/>
        <v>932.85161397604702</v>
      </c>
      <c r="BI116" s="62">
        <f ca="1">AVERAGE(OFFSET($BH$3,0,0,'Données projet'!$E$11+1,1))-AVERAGE(OFFSET($H$3,0,0,'Données projet'!$E$11+1,1))</f>
        <v>475.58735584427552</v>
      </c>
      <c r="BJ116" s="62">
        <f t="shared" si="92"/>
        <v>294.51413339056131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4.9658410716801891E-14</v>
      </c>
      <c r="CA116" s="14">
        <f t="shared" si="93"/>
        <v>8.0934058173791862E-13</v>
      </c>
      <c r="CB116" s="22">
        <f t="shared" si="64"/>
        <v>1.4960899118586383E-12</v>
      </c>
      <c r="CC116" s="62">
        <f t="shared" si="65"/>
        <v>282.5332845769106</v>
      </c>
      <c r="CD116" s="62">
        <f ca="1">AVERAGE(OFFSET($CC$3,0,0,'Données projet'!$E$12+1,1))-AVERAGE(OFFSET($H$3,0,0,'Données projet'!$E$12+1,1))</f>
        <v>344.32696811748974</v>
      </c>
      <c r="CE116" s="62">
        <f t="shared" si="94"/>
        <v>411.51927518440766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1.0462684293311393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1.0462684293311393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4.5999999999999996</v>
      </c>
      <c r="CT116" s="13">
        <f>IF('Données projet'!$A$140&gt;35,CT115+CS116-DB115,IF(A116&lt;'Données projet'!$A$140,$CQ$205^A116,IF(A116='Données projet'!$A$140,'Données projet'!$B$140,CT115+CS116-DB115)))</f>
        <v>320.79999999999995</v>
      </c>
      <c r="CU116" s="18">
        <f>CT116*VLOOKUP('Données projet'!$B$13,Paramètres!$A$1:$I$89,3,0)*VLOOKUP('Données projet'!$B$13,Paramètres!$A$1:$I$89,5,0)</f>
        <v>290.25983999999994</v>
      </c>
      <c r="CV116" s="14">
        <f t="shared" si="95"/>
        <v>69.130646003237317</v>
      </c>
      <c r="CW116" s="22">
        <f t="shared" si="67"/>
        <v>625.93842978897146</v>
      </c>
      <c r="CX116" s="62">
        <f t="shared" si="68"/>
        <v>908.47171436588064</v>
      </c>
      <c r="CY116" s="62">
        <f ca="1">AVERAGE(OFFSET($CX$3,0,0,'Données projet'!$E$13+1,1))-AVERAGE(OFFSET($H$3,0,0,'Données projet'!$E$13+1,1))</f>
        <v>473.14533251757302</v>
      </c>
      <c r="CZ116" s="62">
        <f t="shared" si="96"/>
        <v>299.82031908667142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0.2402277873305102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0.2402277873305102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89.751456703373435</v>
      </c>
      <c r="DU116" s="62">
        <f t="shared" si="98"/>
        <v>433.35713950666889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12.821605661613209</v>
      </c>
      <c r="EB116" s="23">
        <f>EXP(-LN(2)/25)*EB115+(1-EXP(-LN(2)/25))/(LN(2)/25)*Calculateur!DW116*Calculateur!DY116*VLOOKUP('Données projet'!$B$14,Paramètres!$A$1:$I$89,3,0)*0.475*44/12</f>
        <v>1.7909250156935479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14.612530677306756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204.71144247550794</v>
      </c>
      <c r="EP116" s="62">
        <f t="shared" si="100"/>
        <v>409.91012463636184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19.09396672118886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8.5528771519238262E-11</v>
      </c>
      <c r="EY116" s="24">
        <f t="shared" si="75"/>
        <v>19.093966721274388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67.054532157338855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2.8000000000000003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10.266666666666667</v>
      </c>
      <c r="H117" s="70">
        <f t="shared" si="56"/>
        <v>188.90666666666664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1.5961632016114892E-13</v>
      </c>
      <c r="P117" s="14">
        <f t="shared" si="87"/>
        <v>2.2708641912150958E-12</v>
      </c>
      <c r="Q117" s="22">
        <f t="shared" si="107"/>
        <v>4.2330868906469593E-12</v>
      </c>
      <c r="R117" s="62">
        <f t="shared" si="55"/>
        <v>282.72064127754555</v>
      </c>
      <c r="S117" s="62">
        <f ca="1">AVERAGE(OFFSET($R$3,0,0,'Données projet'!$E$9+1,1))-AVERAGE(OFFSET($H$3,0,0,'Données projet'!$E$9+1,1))</f>
        <v>349.50936264852089</v>
      </c>
      <c r="T117" s="62">
        <f t="shared" si="88"/>
        <v>260.52733851266106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284.12279999999998</v>
      </c>
      <c r="AK117" s="14">
        <f t="shared" si="89"/>
        <v>67.837532462585557</v>
      </c>
      <c r="AL117" s="22">
        <f t="shared" si="58"/>
        <v>612.99757903900309</v>
      </c>
      <c r="AM117" s="62">
        <f t="shared" si="59"/>
        <v>895.71822031654438</v>
      </c>
      <c r="AN117" s="62">
        <f ca="1">AVERAGE(OFFSET($AM$3,0,0,'Données projet'!$E$10+1,1))-AVERAGE(OFFSET($H$3,0,0,'Données projet'!$E$10+1,1))</f>
        <v>447.04988989014134</v>
      </c>
      <c r="AO117" s="62">
        <f t="shared" si="90"/>
        <v>278.04061554501783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305.97839999999997</v>
      </c>
      <c r="BF117" s="14">
        <f t="shared" si="91"/>
        <v>72.428322823944583</v>
      </c>
      <c r="BG117" s="22">
        <f t="shared" si="61"/>
        <v>659.05837558503674</v>
      </c>
      <c r="BH117" s="62">
        <f t="shared" si="62"/>
        <v>941.77901686257815</v>
      </c>
      <c r="BI117" s="62">
        <f ca="1">AVERAGE(OFFSET($BH$3,0,0,'Données projet'!$E$11+1,1))-AVERAGE(OFFSET($H$3,0,0,'Données projet'!$E$11+1,1))</f>
        <v>475.58735584427552</v>
      </c>
      <c r="BJ117" s="62">
        <f t="shared" si="92"/>
        <v>294.51413339056131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4.9658410716801891E-14</v>
      </c>
      <c r="CA117" s="14">
        <f t="shared" si="93"/>
        <v>8.0934058173791862E-13</v>
      </c>
      <c r="CB117" s="22">
        <f t="shared" si="64"/>
        <v>1.4960899118586383E-12</v>
      </c>
      <c r="CC117" s="62">
        <f t="shared" si="65"/>
        <v>282.72064127754282</v>
      </c>
      <c r="CD117" s="62">
        <f ca="1">AVERAGE(OFFSET($CC$3,0,0,'Données projet'!$E$12+1,1))-AVERAGE(OFFSET($H$3,0,0,'Données projet'!$E$12+1,1))</f>
        <v>344.32696811748974</v>
      </c>
      <c r="CE117" s="62">
        <f t="shared" si="94"/>
        <v>411.51927518440766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1.0176581641102138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1.0176581641102138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4.5999999999999996</v>
      </c>
      <c r="CT117" s="13">
        <f>IF('Données projet'!$A$140&gt;35,CT116+CS117-DB116,IF(A117&lt;'Données projet'!$A$140,$CQ$205^A117,IF(A117='Données projet'!$A$140,'Données projet'!$B$140,CT116+CS117-DB116)))</f>
        <v>325.39999999999998</v>
      </c>
      <c r="CU117" s="18">
        <f>CT117*VLOOKUP('Données projet'!$B$13,Paramètres!$A$1:$I$89,3,0)*VLOOKUP('Données projet'!$B$13,Paramètres!$A$1:$I$89,5,0)</f>
        <v>294.42191999999994</v>
      </c>
      <c r="CV117" s="14">
        <f t="shared" si="95"/>
        <v>70.005809366676559</v>
      </c>
      <c r="CW117" s="22">
        <f t="shared" si="67"/>
        <v>634.71162864696146</v>
      </c>
      <c r="CX117" s="62">
        <f t="shared" si="68"/>
        <v>917.43226992450286</v>
      </c>
      <c r="CY117" s="62">
        <f ca="1">AVERAGE(OFFSET($CX$3,0,0,'Données projet'!$E$13+1,1))-AVERAGE(OFFSET($H$3,0,0,'Données projet'!$E$13+1,1))</f>
        <v>473.14533251757302</v>
      </c>
      <c r="CZ117" s="62">
        <f t="shared" si="96"/>
        <v>299.82031908667142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0.23365874585292712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0.23365874585292712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89.751456703373435</v>
      </c>
      <c r="DU117" s="62">
        <f t="shared" si="98"/>
        <v>433.35713950666889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12.570181794996227</v>
      </c>
      <c r="EB117" s="23">
        <f>EXP(-LN(2)/25)*EB116+(1-EXP(-LN(2)/25))/(LN(2)/25)*Calculateur!DW117*Calculateur!DY117*VLOOKUP('Données projet'!$B$14,Paramètres!$A$1:$I$89,3,0)*0.475*44/12</f>
        <v>1.7419520769587544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14.31213387195498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204.71144247550794</v>
      </c>
      <c r="EP117" s="62">
        <f t="shared" si="100"/>
        <v>409.91012463636184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18.719545679956081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6.0477974327808227E-11</v>
      </c>
      <c r="EY117" s="24">
        <f t="shared" si="75"/>
        <v>18.719545680016559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67.105629439329462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2.8000000000000003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10.266666666666667</v>
      </c>
      <c r="H118" s="70">
        <f t="shared" si="56"/>
        <v>188.90666666666664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1.5961632016114892E-13</v>
      </c>
      <c r="P118" s="14">
        <f t="shared" si="87"/>
        <v>2.2708641912150958E-12</v>
      </c>
      <c r="Q118" s="22">
        <f t="shared" si="107"/>
        <v>4.2330868906469593E-12</v>
      </c>
      <c r="R118" s="62">
        <f t="shared" si="55"/>
        <v>282.90474775828858</v>
      </c>
      <c r="S118" s="62">
        <f ca="1">AVERAGE(OFFSET($R$3,0,0,'Données projet'!$E$9+1,1))-AVERAGE(OFFSET($H$3,0,0,'Données projet'!$E$9+1,1))</f>
        <v>349.50936264852089</v>
      </c>
      <c r="T118" s="62">
        <f t="shared" si="88"/>
        <v>260.52733851266106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287.976</v>
      </c>
      <c r="AK118" s="14">
        <f t="shared" si="89"/>
        <v>68.649801713863141</v>
      </c>
      <c r="AL118" s="22">
        <f t="shared" si="58"/>
        <v>621.12327131831159</v>
      </c>
      <c r="AM118" s="62">
        <f t="shared" si="59"/>
        <v>904.02801907659591</v>
      </c>
      <c r="AN118" s="62">
        <f ca="1">AVERAGE(OFFSET($AM$3,0,0,'Données projet'!$E$10+1,1))-AVERAGE(OFFSET($H$3,0,0,'Données projet'!$E$10+1,1))</f>
        <v>447.04988989014134</v>
      </c>
      <c r="AO118" s="62">
        <f t="shared" si="90"/>
        <v>278.04061554501783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310.12799999999999</v>
      </c>
      <c r="BF118" s="14">
        <f t="shared" si="91"/>
        <v>73.295561024036076</v>
      </c>
      <c r="BG118" s="22">
        <f t="shared" si="61"/>
        <v>667.7960354501962</v>
      </c>
      <c r="BH118" s="62">
        <f t="shared" si="62"/>
        <v>950.70078320848052</v>
      </c>
      <c r="BI118" s="62">
        <f ca="1">AVERAGE(OFFSET($BH$3,0,0,'Données projet'!$E$11+1,1))-AVERAGE(OFFSET($H$3,0,0,'Données projet'!$E$11+1,1))</f>
        <v>475.58735584427552</v>
      </c>
      <c r="BJ118" s="62">
        <f t="shared" si="92"/>
        <v>294.51413339056131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4.9658410716801891E-14</v>
      </c>
      <c r="CA118" s="14">
        <f t="shared" si="93"/>
        <v>8.0934058173791862E-13</v>
      </c>
      <c r="CB118" s="22">
        <f t="shared" si="64"/>
        <v>1.4960899118586383E-12</v>
      </c>
      <c r="CC118" s="62">
        <f t="shared" si="65"/>
        <v>282.90474775828585</v>
      </c>
      <c r="CD118" s="62">
        <f ca="1">AVERAGE(OFFSET($CC$3,0,0,'Données projet'!$E$12+1,1))-AVERAGE(OFFSET($H$3,0,0,'Données projet'!$E$12+1,1))</f>
        <v>344.32696811748974</v>
      </c>
      <c r="CE118" s="62">
        <f t="shared" si="94"/>
        <v>411.51927518440766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0.98983024809630304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0.98983024809630304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330</v>
      </c>
      <c r="CR118" s="13">
        <f>VLOOKUP(A118,'Données projet'!$A$139:$I$159,9,0)</f>
        <v>4.5999999999999996</v>
      </c>
      <c r="CS118" s="13">
        <f t="array" ref="CS118">INDEX(CR:CR,MIN(IF(ISNUMBER(CR118:CR314),ROW(CR118:CR314),"")))</f>
        <v>4.5999999999999996</v>
      </c>
      <c r="CT118" s="13">
        <f>IF('Données projet'!$A$140&gt;35,CT117+CS118-DB117,IF(A118&lt;'Données projet'!$A$140,$CQ$205^A118,IF(A118='Données projet'!$A$140,'Données projet'!$B$140,CT117+CS118-DB117)))</f>
        <v>330</v>
      </c>
      <c r="CU118" s="18">
        <f>CT118*VLOOKUP('Données projet'!$B$13,Paramètres!$A$1:$I$89,3,0)*VLOOKUP('Données projet'!$B$13,Paramètres!$A$1:$I$89,5,0)</f>
        <v>298.58399999999995</v>
      </c>
      <c r="CV118" s="14">
        <f t="shared" si="95"/>
        <v>70.879533797607607</v>
      </c>
      <c r="CW118" s="22">
        <f t="shared" si="67"/>
        <v>643.48232136416652</v>
      </c>
      <c r="CX118" s="62">
        <f t="shared" si="68"/>
        <v>926.38706912245084</v>
      </c>
      <c r="CY118" s="62">
        <f ca="1">AVERAGE(OFFSET($CX$3,0,0,'Données projet'!$E$13+1,1))-AVERAGE(OFFSET($H$3,0,0,'Données projet'!$E$13+1,1))</f>
        <v>473.14533251757302</v>
      </c>
      <c r="CZ118" s="62">
        <f t="shared" si="96"/>
        <v>299.82031908667142</v>
      </c>
      <c r="DA118" s="16">
        <f>IF(ISNA(VLOOKUP(A118,'Données projet'!$A$139:$I$159,3,0)),0,VLOOKUP(A118,'Données projet'!$A$139:$I$159,3,0))</f>
        <v>20</v>
      </c>
      <c r="DB118" s="16">
        <f>IF(ISNA(VLOOKUP(A118,'Données projet'!$A$139:$I$159,4,0)),0,VLOOKUP(A118,'Données projet'!$A$139:$I$159,4,0))</f>
        <v>330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0.22726933515999942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0.22726933515999942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89.751456703373435</v>
      </c>
      <c r="DU118" s="62">
        <f t="shared" si="98"/>
        <v>433.35713950666889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12.323688197050187</v>
      </c>
      <c r="EB118" s="23">
        <f>EXP(-LN(2)/25)*EB117+(1-EXP(-LN(2)/25))/(LN(2)/25)*Calculateur!DW118*Calculateur!DY118*VLOOKUP('Données projet'!$B$14,Paramètres!$A$1:$I$89,3,0)*0.475*44/12</f>
        <v>1.6943183058090387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14.018006502859226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204.71144247550794</v>
      </c>
      <c r="EP118" s="62">
        <f t="shared" si="100"/>
        <v>409.91012463636184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18.352466806967595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4.2764385759619131E-11</v>
      </c>
      <c r="EY118" s="24">
        <f t="shared" si="75"/>
        <v>18.352466807010359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67.155840297713922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2.8000000000000003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10.266666666666667</v>
      </c>
      <c r="H119" s="70">
        <f t="shared" si="56"/>
        <v>188.90666666666664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1.5961632016114892E-13</v>
      </c>
      <c r="P119" s="14">
        <f t="shared" si="87"/>
        <v>2.2708641912150958E-12</v>
      </c>
      <c r="Q119" s="22">
        <f t="shared" si="107"/>
        <v>4.2330868906469593E-12</v>
      </c>
      <c r="R119" s="62">
        <f t="shared" si="55"/>
        <v>283.08566040319118</v>
      </c>
      <c r="S119" s="62">
        <f ca="1">AVERAGE(OFFSET($R$3,0,0,'Données projet'!$E$9+1,1))-AVERAGE(OFFSET($H$3,0,0,'Données projet'!$E$9+1,1))</f>
        <v>349.50936264852089</v>
      </c>
      <c r="T119" s="62">
        <f t="shared" si="88"/>
        <v>260.52733851266106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273.37440000000004</v>
      </c>
      <c r="AK119" s="14">
        <f t="shared" si="89"/>
        <v>65.564883644654444</v>
      </c>
      <c r="AL119" s="22">
        <f t="shared" si="58"/>
        <v>590.31925234777316</v>
      </c>
      <c r="AM119" s="62">
        <f t="shared" si="59"/>
        <v>873.40491275096019</v>
      </c>
      <c r="AN119" s="62">
        <f ca="1">AVERAGE(OFFSET($AM$3,0,0,'Données projet'!$E$10+1,1))-AVERAGE(OFFSET($H$3,0,0,'Données projet'!$E$10+1,1))</f>
        <v>447.04988989014134</v>
      </c>
      <c r="AO119" s="62">
        <f t="shared" si="90"/>
        <v>278.04061554501783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294.40320000000003</v>
      </c>
      <c r="BF119" s="14">
        <f t="shared" si="91"/>
        <v>70.001876338124134</v>
      </c>
      <c r="BG119" s="22">
        <f t="shared" si="61"/>
        <v>634.67217462223289</v>
      </c>
      <c r="BH119" s="62">
        <f t="shared" si="62"/>
        <v>917.75783502541981</v>
      </c>
      <c r="BI119" s="62">
        <f ca="1">AVERAGE(OFFSET($BH$3,0,0,'Données projet'!$E$11+1,1))-AVERAGE(OFFSET($H$3,0,0,'Données projet'!$E$11+1,1))</f>
        <v>475.58735584427552</v>
      </c>
      <c r="BJ119" s="62">
        <f t="shared" si="92"/>
        <v>294.51413339056131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4.9658410716801891E-14</v>
      </c>
      <c r="CA119" s="14">
        <f t="shared" si="93"/>
        <v>8.0934058173791862E-13</v>
      </c>
      <c r="CB119" s="22">
        <f t="shared" si="64"/>
        <v>1.4960899118586383E-12</v>
      </c>
      <c r="CC119" s="62">
        <f t="shared" si="65"/>
        <v>283.08566040318846</v>
      </c>
      <c r="CD119" s="62">
        <f ca="1">AVERAGE(OFFSET($CC$3,0,0,'Données projet'!$E$12+1,1))-AVERAGE(OFFSET($H$3,0,0,'Données projet'!$E$12+1,1))</f>
        <v>344.32696811748974</v>
      </c>
      <c r="CE119" s="62">
        <f t="shared" si="94"/>
        <v>411.51927518440766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0.96276328790919918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0.96276328790919918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473.14533251757302</v>
      </c>
      <c r="CZ119" s="62">
        <f t="shared" si="96"/>
        <v>299.82031908667142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0.22105464323847432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0.22105464323847432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89.751456703373435</v>
      </c>
      <c r="DU119" s="62">
        <f t="shared" si="98"/>
        <v>433.35713950666889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12.08202818821362</v>
      </c>
      <c r="EB119" s="23">
        <f>EXP(-LN(2)/25)*EB118+(1-EXP(-LN(2)/25))/(LN(2)/25)*Calculateur!DW119*Calculateur!DY119*VLOOKUP('Données projet'!$B$14,Paramètres!$A$1:$I$89,3,0)*0.475*44/12</f>
        <v>1.6479870826363634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13.730015270849984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204.71144247550794</v>
      </c>
      <c r="EP119" s="62">
        <f t="shared" si="100"/>
        <v>409.91012463636184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17.992586126782406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3.0238987163904113E-11</v>
      </c>
      <c r="EY119" s="24">
        <f t="shared" si="75"/>
        <v>17.992586126812647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67.205180109960082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2.8000000000000003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10.266666666666667</v>
      </c>
      <c r="H120" s="70">
        <f t="shared" si="56"/>
        <v>188.90666666666664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1.5961632016114892E-13</v>
      </c>
      <c r="P120" s="14">
        <f t="shared" si="87"/>
        <v>2.2708641912150958E-12</v>
      </c>
      <c r="Q120" s="22">
        <f t="shared" si="107"/>
        <v>4.2330868906469593E-12</v>
      </c>
      <c r="R120" s="62">
        <f t="shared" si="55"/>
        <v>283.26343461816469</v>
      </c>
      <c r="S120" s="62">
        <f ca="1">AVERAGE(OFFSET($R$3,0,0,'Données projet'!$E$9+1,1))-AVERAGE(OFFSET($H$3,0,0,'Données projet'!$E$9+1,1))</f>
        <v>349.50936264852089</v>
      </c>
      <c r="T120" s="62">
        <f t="shared" si="88"/>
        <v>260.52733851266106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277.02480000000008</v>
      </c>
      <c r="AK120" s="14">
        <f t="shared" si="89"/>
        <v>66.337873221533528</v>
      </c>
      <c r="AL120" s="22">
        <f t="shared" si="58"/>
        <v>598.02332252750432</v>
      </c>
      <c r="AM120" s="62">
        <f t="shared" si="59"/>
        <v>881.28675714566475</v>
      </c>
      <c r="AN120" s="62">
        <f ca="1">AVERAGE(OFFSET($AM$3,0,0,'Données projet'!$E$10+1,1))-AVERAGE(OFFSET($H$3,0,0,'Données projet'!$E$10+1,1))</f>
        <v>447.04988989014134</v>
      </c>
      <c r="AO120" s="62">
        <f t="shared" si="90"/>
        <v>278.04061554501783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298.33440000000002</v>
      </c>
      <c r="BF120" s="14">
        <f t="shared" si="91"/>
        <v>70.82717667823637</v>
      </c>
      <c r="BG120" s="22">
        <f t="shared" si="61"/>
        <v>642.95641271459499</v>
      </c>
      <c r="BH120" s="62">
        <f t="shared" si="62"/>
        <v>926.21984733275553</v>
      </c>
      <c r="BI120" s="62">
        <f ca="1">AVERAGE(OFFSET($BH$3,0,0,'Données projet'!$E$11+1,1))-AVERAGE(OFFSET($H$3,0,0,'Données projet'!$E$11+1,1))</f>
        <v>475.58735584427552</v>
      </c>
      <c r="BJ120" s="62">
        <f t="shared" si="92"/>
        <v>294.51413339056131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4.9658410716801891E-14</v>
      </c>
      <c r="CA120" s="14">
        <f t="shared" si="93"/>
        <v>8.0934058173791862E-13</v>
      </c>
      <c r="CB120" s="22">
        <f t="shared" si="64"/>
        <v>1.4960899118586383E-12</v>
      </c>
      <c r="CC120" s="62">
        <f t="shared" si="65"/>
        <v>283.26343461816197</v>
      </c>
      <c r="CD120" s="62">
        <f ca="1">AVERAGE(OFFSET($CC$3,0,0,'Données projet'!$E$12+1,1))-AVERAGE(OFFSET($H$3,0,0,'Données projet'!$E$12+1,1))</f>
        <v>344.32696811748974</v>
      </c>
      <c r="CE120" s="62">
        <f t="shared" si="94"/>
        <v>411.51927518440766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0.93643647517180129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0.93643647517180129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473.14533251757302</v>
      </c>
      <c r="CZ120" s="62">
        <f t="shared" si="96"/>
        <v>299.82031908667142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0.21500989239435978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0.21500989239435978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89.751456703373435</v>
      </c>
      <c r="DU120" s="62">
        <f t="shared" si="98"/>
        <v>433.35713950666889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11.845106984752286</v>
      </c>
      <c r="EB120" s="23">
        <f>EXP(-LN(2)/25)*EB119+(1-EXP(-LN(2)/25))/(LN(2)/25)*Calculateur!DW120*Calculateur!DY120*VLOOKUP('Données projet'!$B$14,Paramètres!$A$1:$I$89,3,0)*0.475*44/12</f>
        <v>1.602922789197798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13.448029773950084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204.71144247550794</v>
      </c>
      <c r="EP120" s="62">
        <f t="shared" si="100"/>
        <v>409.91012463636184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17.639762487230108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2.1382192879809566E-11</v>
      </c>
      <c r="EY120" s="24">
        <f t="shared" si="75"/>
        <v>17.639762487251492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67.253663986771045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2.8000000000000003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10.266666666666667</v>
      </c>
      <c r="H121" s="70">
        <f t="shared" si="56"/>
        <v>188.90666666666664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1.5961632016114892E-13</v>
      </c>
      <c r="P121" s="14">
        <f t="shared" si="87"/>
        <v>2.2708641912150958E-12</v>
      </c>
      <c r="Q121" s="22">
        <f t="shared" si="107"/>
        <v>4.2330868906469593E-12</v>
      </c>
      <c r="R121" s="62">
        <f t="shared" si="55"/>
        <v>283.43812484795217</v>
      </c>
      <c r="S121" s="62">
        <f ca="1">AVERAGE(OFFSET($R$3,0,0,'Données projet'!$E$9+1,1))-AVERAGE(OFFSET($H$3,0,0,'Données projet'!$E$9+1,1))</f>
        <v>349.50936264852089</v>
      </c>
      <c r="T121" s="62">
        <f t="shared" si="88"/>
        <v>260.52733851266106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280.67520000000007</v>
      </c>
      <c r="AK121" s="14">
        <f t="shared" si="89"/>
        <v>67.109678043026491</v>
      </c>
      <c r="AL121" s="22">
        <f t="shared" si="58"/>
        <v>605.72532925827124</v>
      </c>
      <c r="AM121" s="62">
        <f t="shared" si="59"/>
        <v>889.16345410621921</v>
      </c>
      <c r="AN121" s="62">
        <f ca="1">AVERAGE(OFFSET($AM$3,0,0,'Données projet'!$E$10+1,1))-AVERAGE(OFFSET($H$3,0,0,'Données projet'!$E$10+1,1))</f>
        <v>447.04988989014134</v>
      </c>
      <c r="AO121" s="62">
        <f t="shared" si="90"/>
        <v>278.04061554501783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302.26560000000006</v>
      </c>
      <c r="BF121" s="14">
        <f t="shared" si="91"/>
        <v>71.651212086643966</v>
      </c>
      <c r="BG121" s="22">
        <f t="shared" si="61"/>
        <v>651.2384477175716</v>
      </c>
      <c r="BH121" s="62">
        <f t="shared" si="62"/>
        <v>934.67657256551956</v>
      </c>
      <c r="BI121" s="62">
        <f ca="1">AVERAGE(OFFSET($BH$3,0,0,'Données projet'!$E$11+1,1))-AVERAGE(OFFSET($H$3,0,0,'Données projet'!$E$11+1,1))</f>
        <v>475.58735584427552</v>
      </c>
      <c r="BJ121" s="62">
        <f t="shared" si="92"/>
        <v>294.51413339056131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4.9658410716801891E-14</v>
      </c>
      <c r="CA121" s="14">
        <f t="shared" si="93"/>
        <v>8.0934058173791862E-13</v>
      </c>
      <c r="CB121" s="22">
        <f t="shared" si="64"/>
        <v>1.4960899118586383E-12</v>
      </c>
      <c r="CC121" s="62">
        <f t="shared" si="65"/>
        <v>283.43812484794944</v>
      </c>
      <c r="CD121" s="62">
        <f ca="1">AVERAGE(OFFSET($CC$3,0,0,'Données projet'!$E$12+1,1))-AVERAGE(OFFSET($H$3,0,0,'Données projet'!$E$12+1,1))</f>
        <v>344.32696811748974</v>
      </c>
      <c r="CE121" s="62">
        <f t="shared" si="94"/>
        <v>411.51927518440766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0.91082957051317437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0.91082957051317437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473.14533251757302</v>
      </c>
      <c r="CZ121" s="62">
        <f t="shared" si="96"/>
        <v>299.82031908667142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0.20913043557995717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0.20913043557995717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89.751456703373435</v>
      </c>
      <c r="DU121" s="62">
        <f t="shared" si="98"/>
        <v>433.35713950666889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11.612831661583165</v>
      </c>
      <c r="EB121" s="23">
        <f>EXP(-LN(2)/25)*EB120+(1-EXP(-LN(2)/25))/(LN(2)/25)*Calculateur!DW121*Calculateur!DY121*VLOOKUP('Données projet'!$B$14,Paramètres!$A$1:$I$89,3,0)*0.475*44/12</f>
        <v>1.5590907812331383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13.171922442816303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204.71144247550794</v>
      </c>
      <c r="EP121" s="62">
        <f t="shared" si="100"/>
        <v>409.91012463636184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17.293857504048262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1.5119493581952057E-11</v>
      </c>
      <c r="EY121" s="24">
        <f t="shared" si="75"/>
        <v>17.293857504063382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67.301306776713076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2.8000000000000003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10.266666666666667</v>
      </c>
      <c r="H122" s="70">
        <f t="shared" si="56"/>
        <v>188.90666666666664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1.5961632016114892E-13</v>
      </c>
      <c r="P122" s="14">
        <f t="shared" si="87"/>
        <v>2.2708641912150958E-12</v>
      </c>
      <c r="Q122" s="22">
        <f t="shared" si="107"/>
        <v>4.2330868906469593E-12</v>
      </c>
      <c r="R122" s="62">
        <f t="shared" si="55"/>
        <v>283.60978459280153</v>
      </c>
      <c r="S122" s="62">
        <f ca="1">AVERAGE(OFFSET($R$3,0,0,'Données projet'!$E$9+1,1))-AVERAGE(OFFSET($H$3,0,0,'Données projet'!$E$9+1,1))</f>
        <v>349.50936264852089</v>
      </c>
      <c r="T122" s="62">
        <f t="shared" si="88"/>
        <v>260.52733851266106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284.32560000000012</v>
      </c>
      <c r="AK122" s="14">
        <f t="shared" si="89"/>
        <v>67.880315299331201</v>
      </c>
      <c r="AL122" s="22">
        <f t="shared" si="58"/>
        <v>613.42530247966863</v>
      </c>
      <c r="AM122" s="62">
        <f t="shared" si="59"/>
        <v>897.03508707246601</v>
      </c>
      <c r="AN122" s="62">
        <f ca="1">AVERAGE(OFFSET($AM$3,0,0,'Données projet'!$E$10+1,1))-AVERAGE(OFFSET($H$3,0,0,'Données projet'!$E$10+1,1))</f>
        <v>447.04988989014134</v>
      </c>
      <c r="AO122" s="62">
        <f t="shared" si="90"/>
        <v>278.04061554501783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306.19680000000011</v>
      </c>
      <c r="BF122" s="14">
        <f t="shared" si="91"/>
        <v>72.474000916862352</v>
      </c>
      <c r="BG122" s="22">
        <f t="shared" si="61"/>
        <v>659.51831159686878</v>
      </c>
      <c r="BH122" s="62">
        <f t="shared" si="62"/>
        <v>943.12809618966617</v>
      </c>
      <c r="BI122" s="62">
        <f ca="1">AVERAGE(OFFSET($BH$3,0,0,'Données projet'!$E$11+1,1))-AVERAGE(OFFSET($H$3,0,0,'Données projet'!$E$11+1,1))</f>
        <v>475.58735584427552</v>
      </c>
      <c r="BJ122" s="62">
        <f t="shared" si="92"/>
        <v>294.51413339056131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4.9658410716801891E-14</v>
      </c>
      <c r="CA122" s="14">
        <f t="shared" si="93"/>
        <v>8.0934058173791862E-13</v>
      </c>
      <c r="CB122" s="22">
        <f t="shared" si="64"/>
        <v>1.4960899118586383E-12</v>
      </c>
      <c r="CC122" s="62">
        <f t="shared" si="65"/>
        <v>283.6097845927988</v>
      </c>
      <c r="CD122" s="62">
        <f ca="1">AVERAGE(OFFSET($CC$3,0,0,'Données projet'!$E$12+1,1))-AVERAGE(OFFSET($H$3,0,0,'Données projet'!$E$12+1,1))</f>
        <v>344.32696811748974</v>
      </c>
      <c r="CE122" s="62">
        <f t="shared" si="94"/>
        <v>411.51927518440766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0.88592288800904628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0.88592288800904628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473.14533251757302</v>
      </c>
      <c r="CZ122" s="62">
        <f t="shared" si="96"/>
        <v>299.82031908667142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0.20341175282133162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0.20341175282133162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89.751456703373435</v>
      </c>
      <c r="DU122" s="62">
        <f t="shared" si="98"/>
        <v>433.35713950666889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11.385111115827431</v>
      </c>
      <c r="EB122" s="23">
        <f>EXP(-LN(2)/25)*EB121+(1-EXP(-LN(2)/25))/(LN(2)/25)*Calculateur!DW122*Calculateur!DY122*VLOOKUP('Données projet'!$B$14,Paramètres!$A$1:$I$89,3,0)*0.475*44/12</f>
        <v>1.5164573618312973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12.901568477658728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204.71144247550794</v>
      </c>
      <c r="EP122" s="62">
        <f t="shared" si="100"/>
        <v>409.91012463636184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16.954735506605402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1.0691096439904783E-11</v>
      </c>
      <c r="EY122" s="24">
        <f t="shared" si="75"/>
        <v>16.954735506616093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67.348123070762909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2.8000000000000003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10.266666666666667</v>
      </c>
      <c r="H123" s="70">
        <f t="shared" si="56"/>
        <v>188.90666666666664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1.5961632016114892E-13</v>
      </c>
      <c r="P123" s="14">
        <f t="shared" si="87"/>
        <v>2.2708641912150958E-12</v>
      </c>
      <c r="Q123" s="22">
        <f t="shared" si="107"/>
        <v>4.2330868906469593E-12</v>
      </c>
      <c r="R123" s="62">
        <f t="shared" si="55"/>
        <v>283.7784664248515</v>
      </c>
      <c r="S123" s="62">
        <f ca="1">AVERAGE(OFFSET($R$3,0,0,'Données projet'!$E$9+1,1))-AVERAGE(OFFSET($H$3,0,0,'Données projet'!$E$9+1,1))</f>
        <v>349.50936264852089</v>
      </c>
      <c r="T123" s="62">
        <f t="shared" si="88"/>
        <v>260.52733851266106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287.97600000000011</v>
      </c>
      <c r="AK123" s="14">
        <f t="shared" si="89"/>
        <v>68.649801713863141</v>
      </c>
      <c r="AL123" s="22">
        <f t="shared" si="58"/>
        <v>621.12327131831182</v>
      </c>
      <c r="AM123" s="62">
        <f t="shared" si="59"/>
        <v>904.90173774315917</v>
      </c>
      <c r="AN123" s="62">
        <f ca="1">AVERAGE(OFFSET($AM$3,0,0,'Données projet'!$E$10+1,1))-AVERAGE(OFFSET($H$3,0,0,'Données projet'!$E$10+1,1))</f>
        <v>447.04988989014134</v>
      </c>
      <c r="AO123" s="62">
        <f t="shared" si="90"/>
        <v>278.04061554501783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310.1280000000001</v>
      </c>
      <c r="BF123" s="14">
        <f t="shared" si="91"/>
        <v>73.295561024036147</v>
      </c>
      <c r="BG123" s="22">
        <f t="shared" si="61"/>
        <v>667.79603545019643</v>
      </c>
      <c r="BH123" s="62">
        <f t="shared" si="62"/>
        <v>951.57450187504378</v>
      </c>
      <c r="BI123" s="62">
        <f ca="1">AVERAGE(OFFSET($BH$3,0,0,'Données projet'!$E$11+1,1))-AVERAGE(OFFSET($H$3,0,0,'Données projet'!$E$11+1,1))</f>
        <v>475.58735584427552</v>
      </c>
      <c r="BJ123" s="62">
        <f t="shared" si="92"/>
        <v>294.51413339056131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4.9658410716801891E-14</v>
      </c>
      <c r="CA123" s="14">
        <f t="shared" si="93"/>
        <v>8.0934058173791862E-13</v>
      </c>
      <c r="CB123" s="22">
        <f t="shared" si="64"/>
        <v>1.4960899118586383E-12</v>
      </c>
      <c r="CC123" s="62">
        <f t="shared" si="65"/>
        <v>283.77846642484877</v>
      </c>
      <c r="CD123" s="62">
        <f ca="1">AVERAGE(OFFSET($CC$3,0,0,'Données projet'!$E$12+1,1))-AVERAGE(OFFSET($H$3,0,0,'Données projet'!$E$12+1,1))</f>
        <v>344.32696811748974</v>
      </c>
      <c r="CE123" s="62">
        <f t="shared" si="94"/>
        <v>411.51927518440766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0.86169728004777901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0.86169728004777901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473.14533251757302</v>
      </c>
      <c r="CZ123" s="62">
        <f t="shared" si="96"/>
        <v>299.82031908667142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0.19784944774347313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0.19784944774347313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89.751456703373435</v>
      </c>
      <c r="DU123" s="62">
        <f t="shared" si="98"/>
        <v>433.35713950666889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11.16185603107815</v>
      </c>
      <c r="EB123" s="23">
        <f>EXP(-LN(2)/25)*EB122+(1-EXP(-LN(2)/25))/(LN(2)/25)*Calculateur!DW123*Calculateur!DY123*VLOOKUP('Données projet'!$B$14,Paramètres!$A$1:$I$89,3,0)*0.475*44/12</f>
        <v>1.4749897555249938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12.636845786603145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204.71144247550794</v>
      </c>
      <c r="EP123" s="62">
        <f t="shared" si="100"/>
        <v>409.91012463636184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16.622263484688403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7.5597467909760283E-12</v>
      </c>
      <c r="EY123" s="24">
        <f t="shared" si="75"/>
        <v>16.622263484695964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67.394127206776545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2.8000000000000003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10.266666666666667</v>
      </c>
      <c r="H124" s="70">
        <f t="shared" si="56"/>
        <v>188.90666666666664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1.5961632016114892E-13</v>
      </c>
      <c r="P124" s="14">
        <f t="shared" si="87"/>
        <v>2.2708641912150958E-12</v>
      </c>
      <c r="Q124" s="22">
        <f t="shared" si="107"/>
        <v>4.2330868906469593E-12</v>
      </c>
      <c r="R124" s="62">
        <f t="shared" si="55"/>
        <v>283.94422200423156</v>
      </c>
      <c r="S124" s="62">
        <f ca="1">AVERAGE(OFFSET($R$3,0,0,'Données projet'!$E$9+1,1))-AVERAGE(OFFSET($H$3,0,0,'Données projet'!$E$9+1,1))</f>
        <v>349.50936264852089</v>
      </c>
      <c r="T124" s="62">
        <f t="shared" si="88"/>
        <v>260.52733851266106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2">
        <f t="shared" si="59"/>
        <v>283.94422200423054</v>
      </c>
      <c r="AN124" s="62">
        <f ca="1">AVERAGE(OFFSET($AM$3,0,0,'Données projet'!$E$10+1,1))-AVERAGE(OFFSET($H$3,0,0,'Données projet'!$E$10+1,1))</f>
        <v>447.04988989014134</v>
      </c>
      <c r="AO124" s="62">
        <f t="shared" si="90"/>
        <v>278.04061554501783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1.2414602679200469E-13</v>
      </c>
      <c r="BF124" s="14">
        <f t="shared" si="91"/>
        <v>1.8186582995804361E-12</v>
      </c>
      <c r="BG124" s="22">
        <f t="shared" si="61"/>
        <v>3.3837175350986671E-12</v>
      </c>
      <c r="BH124" s="62">
        <f t="shared" si="62"/>
        <v>283.94422200423077</v>
      </c>
      <c r="BI124" s="62">
        <f ca="1">AVERAGE(OFFSET($BH$3,0,0,'Données projet'!$E$11+1,1))-AVERAGE(OFFSET($H$3,0,0,'Données projet'!$E$11+1,1))</f>
        <v>475.58735584427552</v>
      </c>
      <c r="BJ124" s="62">
        <f t="shared" si="92"/>
        <v>294.51413339056131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4.9658410716801891E-14</v>
      </c>
      <c r="CA124" s="14">
        <f t="shared" si="93"/>
        <v>8.0934058173791862E-13</v>
      </c>
      <c r="CB124" s="22">
        <f t="shared" si="64"/>
        <v>1.4960899118586383E-12</v>
      </c>
      <c r="CC124" s="62">
        <f t="shared" si="65"/>
        <v>283.94422200422883</v>
      </c>
      <c r="CD124" s="62">
        <f ca="1">AVERAGE(OFFSET($CC$3,0,0,'Données projet'!$E$12+1,1))-AVERAGE(OFFSET($H$3,0,0,'Données projet'!$E$12+1,1))</f>
        <v>344.32696811748974</v>
      </c>
      <c r="CE124" s="62">
        <f t="shared" si="94"/>
        <v>411.51927518440766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0.83813412261018194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0.83813412261018194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473.14533251757302</v>
      </c>
      <c r="CZ124" s="62">
        <f t="shared" si="96"/>
        <v>299.82031908667142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0.19243924419047759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0.19243924419047759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89.751456703373435</v>
      </c>
      <c r="DU124" s="62">
        <f t="shared" si="98"/>
        <v>433.35713950666889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10.942978842368646</v>
      </c>
      <c r="EB124" s="23">
        <f>EXP(-LN(2)/25)*EB123+(1-EXP(-LN(2)/25))/(LN(2)/25)*Calculateur!DW124*Calculateur!DY124*VLOOKUP('Données projet'!$B$14,Paramètres!$A$1:$I$89,3,0)*0.475*44/12</f>
        <v>1.4346560830938226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12.377634925462468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204.71144247550794</v>
      </c>
      <c r="EP124" s="62">
        <f t="shared" si="100"/>
        <v>409.91012463636184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16.296311036333289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5.3455482199523914E-12</v>
      </c>
      <c r="EY124" s="24">
        <f t="shared" si="75"/>
        <v>16.296311036338636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67.439333273880194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2.8000000000000003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10.266666666666667</v>
      </c>
      <c r="H125" s="70">
        <f t="shared" si="56"/>
        <v>188.90666666666664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1.5961632016114892E-13</v>
      </c>
      <c r="P125" s="14">
        <f t="shared" si="87"/>
        <v>2.2708641912150958E-12</v>
      </c>
      <c r="Q125" s="22">
        <f t="shared" si="107"/>
        <v>4.2330868906469593E-12</v>
      </c>
      <c r="R125" s="62">
        <f t="shared" si="55"/>
        <v>284.10710209488326</v>
      </c>
      <c r="S125" s="62">
        <f ca="1">AVERAGE(OFFSET($R$3,0,0,'Données projet'!$E$9+1,1))-AVERAGE(OFFSET($H$3,0,0,'Données projet'!$E$9+1,1))</f>
        <v>349.50936264852089</v>
      </c>
      <c r="T125" s="62">
        <f t="shared" si="88"/>
        <v>260.52733851266106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2">
        <f t="shared" si="59"/>
        <v>284.10710209488224</v>
      </c>
      <c r="AN125" s="62">
        <f ca="1">AVERAGE(OFFSET($AM$3,0,0,'Données projet'!$E$10+1,1))-AVERAGE(OFFSET($H$3,0,0,'Données projet'!$E$10+1,1))</f>
        <v>447.04988989014134</v>
      </c>
      <c r="AO125" s="62">
        <f t="shared" si="90"/>
        <v>278.04061554501783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1.2414602679200469E-13</v>
      </c>
      <c r="BF125" s="14">
        <f t="shared" si="91"/>
        <v>1.8186582995804361E-12</v>
      </c>
      <c r="BG125" s="22">
        <f t="shared" si="61"/>
        <v>3.3837175350986671E-12</v>
      </c>
      <c r="BH125" s="62">
        <f t="shared" si="62"/>
        <v>284.10710209488246</v>
      </c>
      <c r="BI125" s="62">
        <f ca="1">AVERAGE(OFFSET($BH$3,0,0,'Données projet'!$E$11+1,1))-AVERAGE(OFFSET($H$3,0,0,'Données projet'!$E$11+1,1))</f>
        <v>475.58735584427552</v>
      </c>
      <c r="BJ125" s="62">
        <f t="shared" si="92"/>
        <v>294.51413339056131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4.9658410716801891E-14</v>
      </c>
      <c r="CA125" s="14">
        <f t="shared" si="93"/>
        <v>8.0934058173791862E-13</v>
      </c>
      <c r="CB125" s="22">
        <f t="shared" si="64"/>
        <v>1.4960899118586383E-12</v>
      </c>
      <c r="CC125" s="62">
        <f t="shared" si="65"/>
        <v>284.10710209488053</v>
      </c>
      <c r="CD125" s="62">
        <f ca="1">AVERAGE(OFFSET($CC$3,0,0,'Données projet'!$E$12+1,1))-AVERAGE(OFFSET($H$3,0,0,'Données projet'!$E$12+1,1))</f>
        <v>344.32696811748974</v>
      </c>
      <c r="CE125" s="62">
        <f t="shared" si="94"/>
        <v>411.51927518440766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0.81521530095184858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0.81521530095184858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473.14533251757302</v>
      </c>
      <c r="CZ125" s="62">
        <f t="shared" si="96"/>
        <v>299.82031908667142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0.18717698293814894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0.18717698293814894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89.751456703373435</v>
      </c>
      <c r="DU125" s="62">
        <f t="shared" si="98"/>
        <v>433.35713950666889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10.728393701827834</v>
      </c>
      <c r="EB125" s="23">
        <f>EXP(-LN(2)/25)*EB124+(1-EXP(-LN(2)/25))/(LN(2)/25)*Calculateur!DW125*Calculateur!DY125*VLOOKUP('Données projet'!$B$14,Paramètres!$A$1:$I$89,3,0)*0.475*44/12</f>
        <v>1.3954253370563376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12.123819038884172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204.71144247550794</v>
      </c>
      <c r="EP125" s="62">
        <f t="shared" si="100"/>
        <v>409.91012463636184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15.976750316679055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3.7798733954880142E-12</v>
      </c>
      <c r="EY125" s="24">
        <f t="shared" si="75"/>
        <v>15.976750316682836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67.483755116785204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2.8000000000000003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10.266666666666667</v>
      </c>
      <c r="H126" s="70">
        <f t="shared" si="56"/>
        <v>188.90666666666664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1.5961632016114892E-13</v>
      </c>
      <c r="P126" s="14">
        <f t="shared" si="87"/>
        <v>2.2708641912150958E-12</v>
      </c>
      <c r="Q126" s="22">
        <f t="shared" si="107"/>
        <v>4.2330868906469593E-12</v>
      </c>
      <c r="R126" s="62">
        <f t="shared" si="55"/>
        <v>284.2671565801075</v>
      </c>
      <c r="S126" s="62">
        <f ca="1">AVERAGE(OFFSET($R$3,0,0,'Données projet'!$E$9+1,1))-AVERAGE(OFFSET($H$3,0,0,'Données projet'!$E$9+1,1))</f>
        <v>349.50936264852089</v>
      </c>
      <c r="T126" s="62">
        <f t="shared" si="88"/>
        <v>260.52733851266106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2">
        <f t="shared" si="59"/>
        <v>284.26715658010647</v>
      </c>
      <c r="AN126" s="62">
        <f ca="1">AVERAGE(OFFSET($AM$3,0,0,'Données projet'!$E$10+1,1))-AVERAGE(OFFSET($H$3,0,0,'Données projet'!$E$10+1,1))</f>
        <v>447.04988989014134</v>
      </c>
      <c r="AO126" s="62">
        <f t="shared" si="90"/>
        <v>278.04061554501783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1.2414602679200469E-13</v>
      </c>
      <c r="BF126" s="14">
        <f t="shared" si="91"/>
        <v>1.8186582995804361E-12</v>
      </c>
      <c r="BG126" s="22">
        <f t="shared" si="61"/>
        <v>3.3837175350986671E-12</v>
      </c>
      <c r="BH126" s="62">
        <f t="shared" si="62"/>
        <v>284.2671565801067</v>
      </c>
      <c r="BI126" s="62">
        <f ca="1">AVERAGE(OFFSET($BH$3,0,0,'Données projet'!$E$11+1,1))-AVERAGE(OFFSET($H$3,0,0,'Données projet'!$E$11+1,1))</f>
        <v>475.58735584427552</v>
      </c>
      <c r="BJ126" s="62">
        <f t="shared" si="92"/>
        <v>294.51413339056131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4.9658410716801891E-14</v>
      </c>
      <c r="CA126" s="14">
        <f t="shared" si="93"/>
        <v>8.0934058173791862E-13</v>
      </c>
      <c r="CB126" s="22">
        <f t="shared" si="64"/>
        <v>1.4960899118586383E-12</v>
      </c>
      <c r="CC126" s="62">
        <f t="shared" si="65"/>
        <v>284.26715658010477</v>
      </c>
      <c r="CD126" s="62">
        <f ca="1">AVERAGE(OFFSET($CC$3,0,0,'Données projet'!$E$12+1,1))-AVERAGE(OFFSET($H$3,0,0,'Données projet'!$E$12+1,1))</f>
        <v>344.32696811748974</v>
      </c>
      <c r="CE126" s="62">
        <f t="shared" si="94"/>
        <v>411.51927518440766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0.79292319567701075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0.79292319567701075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473.14533251757302</v>
      </c>
      <c r="CZ126" s="62">
        <f t="shared" si="96"/>
        <v>299.82031908667142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0.18205861849649552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0.18205861849649552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89.751456703373435</v>
      </c>
      <c r="DU126" s="62">
        <f t="shared" si="98"/>
        <v>433.35713950666889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10.518016445009014</v>
      </c>
      <c r="EB126" s="23">
        <f>EXP(-LN(2)/25)*EB125+(1-EXP(-LN(2)/25))/(LN(2)/25)*Calculateur!DW126*Calculateur!DY126*VLOOKUP('Données projet'!$B$14,Paramètres!$A$1:$I$89,3,0)*0.475*44/12</f>
        <v>1.3572673578323029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11.875283802841317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204.71144247550794</v>
      </c>
      <c r="EP126" s="62">
        <f t="shared" si="100"/>
        <v>409.91012463636184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15.663455987824447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2.6727741099761957E-12</v>
      </c>
      <c r="EY126" s="24">
        <f t="shared" si="75"/>
        <v>15.66345598782712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67.527406340028179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2.8000000000000003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10.266666666666667</v>
      </c>
      <c r="H127" s="70">
        <f t="shared" si="56"/>
        <v>188.90666666666664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1.5961632016114892E-13</v>
      </c>
      <c r="P127" s="14">
        <f t="shared" si="87"/>
        <v>2.2708641912150958E-12</v>
      </c>
      <c r="Q127" s="22">
        <f t="shared" si="107"/>
        <v>4.2330868906469593E-12</v>
      </c>
      <c r="R127" s="62">
        <f t="shared" si="55"/>
        <v>284.42443447784137</v>
      </c>
      <c r="S127" s="62">
        <f ca="1">AVERAGE(OFFSET($R$3,0,0,'Données projet'!$E$9+1,1))-AVERAGE(OFFSET($H$3,0,0,'Données projet'!$E$9+1,1))</f>
        <v>349.50936264852089</v>
      </c>
      <c r="T127" s="62">
        <f t="shared" si="88"/>
        <v>260.52733851266106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2">
        <f t="shared" si="59"/>
        <v>284.42443447784035</v>
      </c>
      <c r="AN127" s="62">
        <f ca="1">AVERAGE(OFFSET($AM$3,0,0,'Données projet'!$E$10+1,1))-AVERAGE(OFFSET($H$3,0,0,'Données projet'!$E$10+1,1))</f>
        <v>447.04988989014134</v>
      </c>
      <c r="AO127" s="62">
        <f t="shared" si="90"/>
        <v>278.04061554501783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1.2414602679200469E-13</v>
      </c>
      <c r="BF127" s="14">
        <f t="shared" si="91"/>
        <v>1.8186582995804361E-12</v>
      </c>
      <c r="BG127" s="22">
        <f t="shared" si="61"/>
        <v>3.3837175350986671E-12</v>
      </c>
      <c r="BH127" s="62">
        <f t="shared" si="62"/>
        <v>284.42443447784058</v>
      </c>
      <c r="BI127" s="62">
        <f ca="1">AVERAGE(OFFSET($BH$3,0,0,'Données projet'!$E$11+1,1))-AVERAGE(OFFSET($H$3,0,0,'Données projet'!$E$11+1,1))</f>
        <v>475.58735584427552</v>
      </c>
      <c r="BJ127" s="62">
        <f t="shared" si="92"/>
        <v>294.51413339056131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4.9658410716801891E-14</v>
      </c>
      <c r="CA127" s="14">
        <f t="shared" si="93"/>
        <v>8.0934058173791862E-13</v>
      </c>
      <c r="CB127" s="22">
        <f t="shared" si="64"/>
        <v>1.4960899118586383E-12</v>
      </c>
      <c r="CC127" s="62">
        <f t="shared" si="65"/>
        <v>284.42443447783864</v>
      </c>
      <c r="CD127" s="62">
        <f ca="1">AVERAGE(OFFSET($CC$3,0,0,'Données projet'!$E$12+1,1))-AVERAGE(OFFSET($H$3,0,0,'Données projet'!$E$12+1,1))</f>
        <v>344.32696811748974</v>
      </c>
      <c r="CE127" s="62">
        <f t="shared" si="94"/>
        <v>411.51927518440766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0.77124066919320433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0.77124066919320433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473.14533251757302</v>
      </c>
      <c r="CZ127" s="62">
        <f t="shared" si="96"/>
        <v>299.82031908667142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0.1770802159996622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0.1770802159996622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89.751456703373435</v>
      </c>
      <c r="DU127" s="62">
        <f t="shared" si="98"/>
        <v>433.35713950666889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10.311764557878954</v>
      </c>
      <c r="EB127" s="23">
        <f>EXP(-LN(2)/25)*EB126+(1-EXP(-LN(2)/25))/(LN(2)/25)*Calculateur!DW127*Calculateur!DY127*VLOOKUP('Données projet'!$B$14,Paramètres!$A$1:$I$89,3,0)*0.475*44/12</f>
        <v>1.3201528105567903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11.631917368435744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204.71144247550794</v>
      </c>
      <c r="EP127" s="62">
        <f t="shared" si="100"/>
        <v>409.91012463636184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15.356305169668007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1.8899366977440071E-12</v>
      </c>
      <c r="EY127" s="24">
        <f t="shared" si="75"/>
        <v>15.356305169669897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67.570300312137405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2.8000000000000003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10.266666666666667</v>
      </c>
      <c r="H128" s="70">
        <f t="shared" si="56"/>
        <v>188.90666666666664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1.5961632016114892E-13</v>
      </c>
      <c r="P128" s="14">
        <f t="shared" si="87"/>
        <v>2.2708641912150958E-12</v>
      </c>
      <c r="Q128" s="22">
        <f t="shared" si="107"/>
        <v>4.2330868906469593E-12</v>
      </c>
      <c r="R128" s="62">
        <f t="shared" si="55"/>
        <v>284.5789839556702</v>
      </c>
      <c r="S128" s="62">
        <f ca="1">AVERAGE(OFFSET($R$3,0,0,'Données projet'!$E$9+1,1))-AVERAGE(OFFSET($H$3,0,0,'Données projet'!$E$9+1,1))</f>
        <v>349.50936264852089</v>
      </c>
      <c r="T128" s="62">
        <f t="shared" si="88"/>
        <v>260.52733851266106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2">
        <f t="shared" si="59"/>
        <v>284.57898395566917</v>
      </c>
      <c r="AN128" s="62">
        <f ca="1">AVERAGE(OFFSET($AM$3,0,0,'Données projet'!$E$10+1,1))-AVERAGE(OFFSET($H$3,0,0,'Données projet'!$E$10+1,1))</f>
        <v>447.04988989014134</v>
      </c>
      <c r="AO128" s="62">
        <f t="shared" si="90"/>
        <v>278.04061554501783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1.2414602679200469E-13</v>
      </c>
      <c r="BF128" s="14">
        <f t="shared" si="91"/>
        <v>1.8186582995804361E-12</v>
      </c>
      <c r="BG128" s="22">
        <f t="shared" si="61"/>
        <v>3.3837175350986671E-12</v>
      </c>
      <c r="BH128" s="62">
        <f t="shared" si="62"/>
        <v>284.5789839556694</v>
      </c>
      <c r="BI128" s="62">
        <f ca="1">AVERAGE(OFFSET($BH$3,0,0,'Données projet'!$E$11+1,1))-AVERAGE(OFFSET($H$3,0,0,'Données projet'!$E$11+1,1))</f>
        <v>475.58735584427552</v>
      </c>
      <c r="BJ128" s="62">
        <f t="shared" si="92"/>
        <v>294.51413339056131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4.9658410716801891E-14</v>
      </c>
      <c r="CA128" s="14">
        <f t="shared" si="93"/>
        <v>8.0934058173791862E-13</v>
      </c>
      <c r="CB128" s="22">
        <f t="shared" si="64"/>
        <v>1.4960899118586383E-12</v>
      </c>
      <c r="CC128" s="62">
        <f t="shared" si="65"/>
        <v>284.57898395566747</v>
      </c>
      <c r="CD128" s="62">
        <f ca="1">AVERAGE(OFFSET($CC$3,0,0,'Données projet'!$E$12+1,1))-AVERAGE(OFFSET($H$3,0,0,'Données projet'!$E$12+1,1))</f>
        <v>344.32696811748974</v>
      </c>
      <c r="CE128" s="62">
        <f t="shared" si="94"/>
        <v>411.51927518440766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0.75015105253633207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0.75015105253633207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473.14533251757302</v>
      </c>
      <c r="CZ128" s="62">
        <f t="shared" si="96"/>
        <v>299.82031908667142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0.1722379481809076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0.1722379481809076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89.751456703373435</v>
      </c>
      <c r="DU128" s="62">
        <f t="shared" si="98"/>
        <v>433.35713950666889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10.109557144454286</v>
      </c>
      <c r="EB128" s="23">
        <f>EXP(-LN(2)/25)*EB127+(1-EXP(-LN(2)/25))/(LN(2)/25)*Calculateur!DW128*Calculateur!DY128*VLOOKUP('Données projet'!$B$14,Paramètres!$A$1:$I$89,3,0)*0.475*44/12</f>
        <v>1.2840531625282958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11.39361030698258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204.71144247550794</v>
      </c>
      <c r="EP128" s="62">
        <f t="shared" si="100"/>
        <v>409.91012463636184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15.055177391712114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1.3363870549880978E-12</v>
      </c>
      <c r="EY128" s="24">
        <f t="shared" si="75"/>
        <v>15.05517739171345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67.612450169727083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2.8000000000000003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10.266666666666667</v>
      </c>
      <c r="H129" s="70">
        <f t="shared" si="56"/>
        <v>188.90666666666664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1.5961632016114892E-13</v>
      </c>
      <c r="P129" s="14">
        <f t="shared" si="87"/>
        <v>2.2708641912150958E-12</v>
      </c>
      <c r="Q129" s="22">
        <f t="shared" si="107"/>
        <v>4.2330868906469593E-12</v>
      </c>
      <c r="R129" s="62">
        <f t="shared" si="55"/>
        <v>284.73085234557959</v>
      </c>
      <c r="S129" s="62">
        <f ca="1">AVERAGE(OFFSET($R$3,0,0,'Données projet'!$E$9+1,1))-AVERAGE(OFFSET($H$3,0,0,'Données projet'!$E$9+1,1))</f>
        <v>349.50936264852089</v>
      </c>
      <c r="T129" s="62">
        <f t="shared" si="88"/>
        <v>260.52733851266106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2">
        <f t="shared" si="59"/>
        <v>284.73085234557857</v>
      </c>
      <c r="AN129" s="62">
        <f ca="1">AVERAGE(OFFSET($AM$3,0,0,'Données projet'!$E$10+1,1))-AVERAGE(OFFSET($H$3,0,0,'Données projet'!$E$10+1,1))</f>
        <v>447.04988989014134</v>
      </c>
      <c r="AO129" s="62">
        <f t="shared" si="90"/>
        <v>278.04061554501783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1.2414602679200469E-13</v>
      </c>
      <c r="BF129" s="14">
        <f t="shared" si="91"/>
        <v>1.8186582995804361E-12</v>
      </c>
      <c r="BG129" s="22">
        <f t="shared" si="61"/>
        <v>3.3837175350986671E-12</v>
      </c>
      <c r="BH129" s="62">
        <f t="shared" si="62"/>
        <v>284.7308523455788</v>
      </c>
      <c r="BI129" s="62">
        <f ca="1">AVERAGE(OFFSET($BH$3,0,0,'Données projet'!$E$11+1,1))-AVERAGE(OFFSET($H$3,0,0,'Données projet'!$E$11+1,1))</f>
        <v>475.58735584427552</v>
      </c>
      <c r="BJ129" s="62">
        <f t="shared" si="92"/>
        <v>294.51413339056131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4.9658410716801891E-14</v>
      </c>
      <c r="CA129" s="14">
        <f t="shared" si="93"/>
        <v>8.0934058173791862E-13</v>
      </c>
      <c r="CB129" s="22">
        <f t="shared" si="64"/>
        <v>1.4960899118586383E-12</v>
      </c>
      <c r="CC129" s="62">
        <f t="shared" si="65"/>
        <v>284.73085234557686</v>
      </c>
      <c r="CD129" s="62">
        <f ca="1">AVERAGE(OFFSET($CC$3,0,0,'Données projet'!$E$12+1,1))-AVERAGE(OFFSET($H$3,0,0,'Données projet'!$E$12+1,1))</f>
        <v>344.32696811748974</v>
      </c>
      <c r="CE129" s="62">
        <f t="shared" si="94"/>
        <v>411.51927518440766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0.72963813255599674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0.72963813255599674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473.14533251757302</v>
      </c>
      <c r="CZ129" s="62">
        <f t="shared" si="96"/>
        <v>299.82031908667142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0.16752809243030065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0.16752809243030065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89.751456703373435</v>
      </c>
      <c r="DU129" s="62">
        <f t="shared" si="98"/>
        <v>433.35713950666889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9.9113148950725307</v>
      </c>
      <c r="EB129" s="23">
        <f>EXP(-LN(2)/25)*EB128+(1-EXP(-LN(2)/25))/(LN(2)/25)*Calculateur!DW129*Calculateur!DY129*VLOOKUP('Données projet'!$B$14,Paramètres!$A$1:$I$89,3,0)*0.475*44/12</f>
        <v>1.2489406612735385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11.160255556346069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204.71144247550794</v>
      </c>
      <c r="EP129" s="62">
        <f t="shared" si="100"/>
        <v>409.91012463636184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14.759954545812127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9.4496834887200354E-13</v>
      </c>
      <c r="EY129" s="24">
        <f t="shared" si="75"/>
        <v>14.759954545813072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67.653868821520561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2.8000000000000003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10.266666666666667</v>
      </c>
      <c r="H130" s="70">
        <f t="shared" si="56"/>
        <v>188.90666666666664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1.5961632016114892E-13</v>
      </c>
      <c r="P130" s="14">
        <f t="shared" si="87"/>
        <v>2.2708641912150958E-12</v>
      </c>
      <c r="Q130" s="22">
        <f t="shared" si="107"/>
        <v>4.2330868906469593E-12</v>
      </c>
      <c r="R130" s="62">
        <f t="shared" si="55"/>
        <v>284.88008615845087</v>
      </c>
      <c r="S130" s="62">
        <f ca="1">AVERAGE(OFFSET($R$3,0,0,'Données projet'!$E$9+1,1))-AVERAGE(OFFSET($H$3,0,0,'Données projet'!$E$9+1,1))</f>
        <v>349.50936264852089</v>
      </c>
      <c r="T130" s="62">
        <f t="shared" si="88"/>
        <v>260.52733851266106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2">
        <f t="shared" si="59"/>
        <v>284.88008615844984</v>
      </c>
      <c r="AN130" s="62">
        <f ca="1">AVERAGE(OFFSET($AM$3,0,0,'Données projet'!$E$10+1,1))-AVERAGE(OFFSET($H$3,0,0,'Données projet'!$E$10+1,1))</f>
        <v>447.04988989014134</v>
      </c>
      <c r="AO130" s="62">
        <f t="shared" si="90"/>
        <v>278.04061554501783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1.2414602679200469E-13</v>
      </c>
      <c r="BF130" s="14">
        <f t="shared" si="91"/>
        <v>1.8186582995804361E-12</v>
      </c>
      <c r="BG130" s="22">
        <f t="shared" si="61"/>
        <v>3.3837175350986671E-12</v>
      </c>
      <c r="BH130" s="62">
        <f t="shared" si="62"/>
        <v>284.88008615845007</v>
      </c>
      <c r="BI130" s="62">
        <f ca="1">AVERAGE(OFFSET($BH$3,0,0,'Données projet'!$E$11+1,1))-AVERAGE(OFFSET($H$3,0,0,'Données projet'!$E$11+1,1))</f>
        <v>475.58735584427552</v>
      </c>
      <c r="BJ130" s="62">
        <f t="shared" si="92"/>
        <v>294.51413339056131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4.9658410716801891E-14</v>
      </c>
      <c r="CA130" s="14">
        <f t="shared" si="93"/>
        <v>8.0934058173791862E-13</v>
      </c>
      <c r="CB130" s="22">
        <f t="shared" si="64"/>
        <v>1.4960899118586383E-12</v>
      </c>
      <c r="CC130" s="62">
        <f t="shared" si="65"/>
        <v>284.88008615844814</v>
      </c>
      <c r="CD130" s="62">
        <f ca="1">AVERAGE(OFFSET($CC$3,0,0,'Données projet'!$E$12+1,1))-AVERAGE(OFFSET($H$3,0,0,'Données projet'!$E$12+1,1))</f>
        <v>344.32696811748974</v>
      </c>
      <c r="CE130" s="62">
        <f t="shared" si="94"/>
        <v>411.51927518440766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0.70968613945125125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0.70968613945125125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473.14533251757302</v>
      </c>
      <c r="CZ130" s="62">
        <f t="shared" si="96"/>
        <v>299.82031908667142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0.16294702793287458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0.16294702793287458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89.751456703373435</v>
      </c>
      <c r="DU130" s="62">
        <f t="shared" si="98"/>
        <v>433.35713950666889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9.7169600552853197</v>
      </c>
      <c r="EB130" s="23">
        <f>EXP(-LN(2)/25)*EB129+(1-EXP(-LN(2)/25))/(LN(2)/25)*Calculateur!DW130*Calculateur!DY130*VLOOKUP('Données projet'!$B$14,Paramètres!$A$1:$I$89,3,0)*0.475*44/12</f>
        <v>1.2147883132120787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10.931748368497399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204.71144247550794</v>
      </c>
      <c r="EP130" s="62">
        <f t="shared" si="100"/>
        <v>409.91012463636184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14.470520839852083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6.6819352749404892E-13</v>
      </c>
      <c r="EY130" s="24">
        <f t="shared" si="75"/>
        <v>14.470520839852751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67.694568952303641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2.8000000000000003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10.266666666666667</v>
      </c>
      <c r="H131" s="70">
        <f t="shared" si="56"/>
        <v>188.90666666666664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1.5961632016114892E-13</v>
      </c>
      <c r="P131" s="14">
        <f t="shared" si="87"/>
        <v>2.2708641912150958E-12</v>
      </c>
      <c r="Q131" s="22">
        <f t="shared" ref="Q131:Q153" si="108">(O131+P131)*0.475*44/12</f>
        <v>4.2330868906469593E-12</v>
      </c>
      <c r="R131" s="62">
        <f t="shared" ref="R131:R194" si="109">Q131+(I131+J131)*44/12</f>
        <v>285.02673109830567</v>
      </c>
      <c r="S131" s="62">
        <f ca="1">AVERAGE(OFFSET($R$3,0,0,'Données projet'!$E$9+1,1))-AVERAGE(OFFSET($H$3,0,0,'Données projet'!$E$9+1,1))</f>
        <v>349.50936264852089</v>
      </c>
      <c r="T131" s="62">
        <f t="shared" si="88"/>
        <v>260.52733851266106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2">
        <f t="shared" si="59"/>
        <v>285.02673109830465</v>
      </c>
      <c r="AN131" s="62">
        <f ca="1">AVERAGE(OFFSET($AM$3,0,0,'Données projet'!$E$10+1,1))-AVERAGE(OFFSET($H$3,0,0,'Données projet'!$E$10+1,1))</f>
        <v>447.04988989014134</v>
      </c>
      <c r="AO131" s="62">
        <f t="shared" si="90"/>
        <v>278.04061554501783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1.2414602679200469E-13</v>
      </c>
      <c r="BF131" s="14">
        <f t="shared" si="91"/>
        <v>1.8186582995804361E-12</v>
      </c>
      <c r="BG131" s="22">
        <f t="shared" si="61"/>
        <v>3.3837175350986671E-12</v>
      </c>
      <c r="BH131" s="62">
        <f t="shared" si="62"/>
        <v>285.02673109830488</v>
      </c>
      <c r="BI131" s="62">
        <f ca="1">AVERAGE(OFFSET($BH$3,0,0,'Données projet'!$E$11+1,1))-AVERAGE(OFFSET($H$3,0,0,'Données projet'!$E$11+1,1))</f>
        <v>475.58735584427552</v>
      </c>
      <c r="BJ131" s="62">
        <f t="shared" si="92"/>
        <v>294.51413339056131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4.9658410716801891E-14</v>
      </c>
      <c r="CA131" s="14">
        <f t="shared" si="93"/>
        <v>8.0934058173791862E-13</v>
      </c>
      <c r="CB131" s="22">
        <f t="shared" si="64"/>
        <v>1.4960899118586383E-12</v>
      </c>
      <c r="CC131" s="62">
        <f t="shared" si="65"/>
        <v>285.02673109830295</v>
      </c>
      <c r="CD131" s="62">
        <f ca="1">AVERAGE(OFFSET($CC$3,0,0,'Données projet'!$E$12+1,1))-AVERAGE(OFFSET($H$3,0,0,'Données projet'!$E$12+1,1))</f>
        <v>344.32696811748974</v>
      </c>
      <c r="CE131" s="62">
        <f t="shared" si="94"/>
        <v>411.51927518440766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0.69027973464718473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0.69027973464718473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473.14533251757302</v>
      </c>
      <c r="CZ131" s="62">
        <f t="shared" si="96"/>
        <v>299.82031908667142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0.15849123288503833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0.15849123288503833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89.751456703373435</v>
      </c>
      <c r="DU131" s="62">
        <f t="shared" si="98"/>
        <v>433.35713950666889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9.5264163953615899</v>
      </c>
      <c r="EB131" s="23">
        <f>EXP(-LN(2)/25)*EB130+(1-EXP(-LN(2)/25))/(LN(2)/25)*Calculateur!DW131*Calculateur!DY131*VLOOKUP('Données projet'!$B$14,Paramètres!$A$1:$I$89,3,0)*0.475*44/12</f>
        <v>1.1815698629043534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10.707986258265944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204.71144247550794</v>
      </c>
      <c r="EP131" s="62">
        <f t="shared" si="100"/>
        <v>409.91012463636184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14.186762752328788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4.7248417443600177E-13</v>
      </c>
      <c r="EY131" s="24">
        <f t="shared" si="75"/>
        <v>14.18676275232926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67.734563026809496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2.8000000000000003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10.266666666666667</v>
      </c>
      <c r="H132" s="70">
        <f t="shared" ref="H132:H195" si="110">(B132+E132+F132)*44/12+(C132+D132)*0.475*44/12</f>
        <v>188.90666666666664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1.5961632016114892E-13</v>
      </c>
      <c r="P132" s="14">
        <f t="shared" si="87"/>
        <v>2.2708641912150958E-12</v>
      </c>
      <c r="Q132" s="22">
        <f t="shared" si="108"/>
        <v>4.2330868906469593E-12</v>
      </c>
      <c r="R132" s="62">
        <f t="shared" si="109"/>
        <v>285.17083207630304</v>
      </c>
      <c r="S132" s="62">
        <f ca="1">AVERAGE(OFFSET($R$3,0,0,'Données projet'!$E$9+1,1))-AVERAGE(OFFSET($H$3,0,0,'Données projet'!$E$9+1,1))</f>
        <v>349.50936264852089</v>
      </c>
      <c r="T132" s="62">
        <f t="shared" si="88"/>
        <v>260.52733851266106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2">
        <f t="shared" ref="AM132:AM195" si="113">AL132+(AD132+AE132)*44/12</f>
        <v>285.17083207630202</v>
      </c>
      <c r="AN132" s="62">
        <f ca="1">AVERAGE(OFFSET($AM$3,0,0,'Données projet'!$E$10+1,1))-AVERAGE(OFFSET($H$3,0,0,'Données projet'!$E$10+1,1))</f>
        <v>447.04988989014134</v>
      </c>
      <c r="AO132" s="62">
        <f t="shared" si="90"/>
        <v>278.04061554501783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1.2414602679200469E-13</v>
      </c>
      <c r="BF132" s="14">
        <f t="shared" si="91"/>
        <v>1.8186582995804361E-12</v>
      </c>
      <c r="BG132" s="22">
        <f t="shared" ref="BG132:BG153" si="115">(BE132+BF132)*0.475*44/12</f>
        <v>3.3837175350986671E-12</v>
      </c>
      <c r="BH132" s="62">
        <f t="shared" ref="BH132:BH195" si="116">BG132+(AY132+AZ132)*44/12</f>
        <v>285.17083207630225</v>
      </c>
      <c r="BI132" s="62">
        <f ca="1">AVERAGE(OFFSET($BH$3,0,0,'Données projet'!$E$11+1,1))-AVERAGE(OFFSET($H$3,0,0,'Données projet'!$E$11+1,1))</f>
        <v>475.58735584427552</v>
      </c>
      <c r="BJ132" s="62">
        <f t="shared" si="92"/>
        <v>294.51413339056131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4.9658410716801891E-14</v>
      </c>
      <c r="CA132" s="14">
        <f t="shared" si="93"/>
        <v>8.0934058173791862E-13</v>
      </c>
      <c r="CB132" s="22">
        <f t="shared" ref="CB132:CB153" si="118">(BZ132+CA132)*0.475*44/12</f>
        <v>1.4960899118586383E-12</v>
      </c>
      <c r="CC132" s="62">
        <f t="shared" ref="CC132:CC195" si="119">CB132+(BT132+BU132)*44/12</f>
        <v>285.17083207630031</v>
      </c>
      <c r="CD132" s="62">
        <f ca="1">AVERAGE(OFFSET($CC$3,0,0,'Données projet'!$E$12+1,1))-AVERAGE(OFFSET($H$3,0,0,'Données projet'!$E$12+1,1))</f>
        <v>344.32696811748974</v>
      </c>
      <c r="CE132" s="62">
        <f t="shared" si="94"/>
        <v>411.51927518440766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0.67140399900302383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0.67140399900302383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473.14533251757302</v>
      </c>
      <c r="CZ132" s="62">
        <f t="shared" si="96"/>
        <v>299.82031908667142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0.15415728178710525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0.15415728178710525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89.751456703373435</v>
      </c>
      <c r="DU132" s="62">
        <f t="shared" si="98"/>
        <v>433.35713950666889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9.3396091803888073</v>
      </c>
      <c r="EB132" s="23">
        <f>EXP(-LN(2)/25)*EB131+(1-EXP(-LN(2)/25))/(LN(2)/25)*Calculateur!DW132*Calculateur!DY132*VLOOKUP('Données projet'!$B$14,Paramètres!$A$1:$I$89,3,0)*0.475*44/12</f>
        <v>1.1492597728671752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10.488868953255983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204.71144247550794</v>
      </c>
      <c r="EP132" s="62">
        <f t="shared" si="100"/>
        <v>409.91012463636184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13.908568987826479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3.3409676374702446E-13</v>
      </c>
      <c r="EY132" s="24">
        <f t="shared" ref="EY132:EY153" si="129">SUM(EV132:EX132)</f>
        <v>13.908568987826813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67.773863293536039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2.8000000000000003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10.266666666666667</v>
      </c>
      <c r="H133" s="70">
        <f t="shared" si="110"/>
        <v>188.90666666666664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1.5961632016114892E-13</v>
      </c>
      <c r="P133" s="14">
        <f t="shared" ref="P133:P196" si="141">EXP(-1.0587+0.8836*LN(O133)+0.284)</f>
        <v>2.2708641912150958E-12</v>
      </c>
      <c r="Q133" s="22">
        <f t="shared" si="108"/>
        <v>4.2330868906469593E-12</v>
      </c>
      <c r="R133" s="62">
        <f t="shared" si="109"/>
        <v>285.31243322449365</v>
      </c>
      <c r="S133" s="62">
        <f ca="1">AVERAGE(OFFSET($R$3,0,0,'Données projet'!$E$9+1,1))-AVERAGE(OFFSET($H$3,0,0,'Données projet'!$E$9+1,1))</f>
        <v>349.50936264852089</v>
      </c>
      <c r="T133" s="62">
        <f t="shared" ref="T133:T196" si="142">$T$3</f>
        <v>260.52733851266106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2">
        <f t="shared" si="113"/>
        <v>285.31243322449262</v>
      </c>
      <c r="AN133" s="62">
        <f ca="1">AVERAGE(OFFSET($AM$3,0,0,'Données projet'!$E$10+1,1))-AVERAGE(OFFSET($H$3,0,0,'Données projet'!$E$10+1,1))</f>
        <v>447.04988989014134</v>
      </c>
      <c r="AO133" s="62">
        <f t="shared" ref="AO133:AO196" si="144">$AO$3</f>
        <v>278.04061554501783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1.2414602679200469E-13</v>
      </c>
      <c r="BF133" s="14">
        <f t="shared" ref="BF133:BF153" si="145">EXP(-1.0587+0.8836*LN(BE133)+0.284)</f>
        <v>1.8186582995804361E-12</v>
      </c>
      <c r="BG133" s="22">
        <f t="shared" si="115"/>
        <v>3.3837175350986671E-12</v>
      </c>
      <c r="BH133" s="62">
        <f t="shared" si="116"/>
        <v>285.31243322449285</v>
      </c>
      <c r="BI133" s="62">
        <f ca="1">AVERAGE(OFFSET($BH$3,0,0,'Données projet'!$E$11+1,1))-AVERAGE(OFFSET($H$3,0,0,'Données projet'!$E$11+1,1))</f>
        <v>475.58735584427552</v>
      </c>
      <c r="BJ133" s="62">
        <f t="shared" ref="BJ133:BJ196" si="146">$BJ$3</f>
        <v>294.51413339056131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4.9658410716801891E-14</v>
      </c>
      <c r="CA133" s="14">
        <f t="shared" ref="CA133:CA153" si="147">EXP(-1.0587+0.8836*LN(BZ133)+0.284)</f>
        <v>8.0934058173791862E-13</v>
      </c>
      <c r="CB133" s="22">
        <f t="shared" si="118"/>
        <v>1.4960899118586383E-12</v>
      </c>
      <c r="CC133" s="62">
        <f t="shared" si="119"/>
        <v>285.31243322449092</v>
      </c>
      <c r="CD133" s="62">
        <f ca="1">AVERAGE(OFFSET($CC$3,0,0,'Données projet'!$E$12+1,1))-AVERAGE(OFFSET($H$3,0,0,'Données projet'!$E$12+1,1))</f>
        <v>344.32696811748974</v>
      </c>
      <c r="CE133" s="62">
        <f t="shared" ref="CE133:CE196" si="148">$CE$3</f>
        <v>411.51927518440766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0.65304442134268437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0.65304442134268437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473.14533251757302</v>
      </c>
      <c r="CZ133" s="62">
        <f t="shared" ref="CZ133:CZ196" si="150">$CZ$3</f>
        <v>299.82031908667142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0.14994184280985773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0.14994184280985773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89.751456703373435</v>
      </c>
      <c r="DU133" s="62">
        <f t="shared" ref="DU133:DU196" si="152">$DU$3</f>
        <v>433.35713950666889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9.1564651409604902</v>
      </c>
      <c r="EB133" s="23">
        <f>EXP(-LN(2)/25)*EB132+(1-EXP(-LN(2)/25))/(LN(2)/25)*Calculateur!DW133*Calculateur!DY133*VLOOKUP('Données projet'!$B$14,Paramètres!$A$1:$I$89,3,0)*0.475*44/12</f>
        <v>1.1178332039411776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10.274298344901668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204.71144247550794</v>
      </c>
      <c r="EP133" s="62">
        <f t="shared" ref="EP133:EP196" si="154">$EP$3</f>
        <v>409.91012463636184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13.635830433364619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2.3624208721800089E-13</v>
      </c>
      <c r="EY133" s="24">
        <f t="shared" si="129"/>
        <v>13.635830433364855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67.812481788497109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2.8000000000000003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10.266666666666667</v>
      </c>
      <c r="H134" s="70">
        <f t="shared" si="110"/>
        <v>188.90666666666664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1.5961632016114892E-13</v>
      </c>
      <c r="P134" s="14">
        <f t="shared" si="141"/>
        <v>2.2708641912150958E-12</v>
      </c>
      <c r="Q134" s="22">
        <f t="shared" si="108"/>
        <v>4.2330868906469593E-12</v>
      </c>
      <c r="R134" s="62">
        <f t="shared" si="109"/>
        <v>285.45157790933581</v>
      </c>
      <c r="S134" s="62">
        <f ca="1">AVERAGE(OFFSET($R$3,0,0,'Données projet'!$E$9+1,1))-AVERAGE(OFFSET($H$3,0,0,'Données projet'!$E$9+1,1))</f>
        <v>349.50936264852089</v>
      </c>
      <c r="T134" s="62">
        <f t="shared" si="142"/>
        <v>260.52733851266106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2">
        <f t="shared" si="113"/>
        <v>285.45157790933479</v>
      </c>
      <c r="AN134" s="62">
        <f ca="1">AVERAGE(OFFSET($AM$3,0,0,'Données projet'!$E$10+1,1))-AVERAGE(OFFSET($H$3,0,0,'Données projet'!$E$10+1,1))</f>
        <v>447.04988989014134</v>
      </c>
      <c r="AO134" s="62">
        <f t="shared" si="144"/>
        <v>278.04061554501783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1.2414602679200469E-13</v>
      </c>
      <c r="BF134" s="14">
        <f t="shared" si="145"/>
        <v>1.8186582995804361E-12</v>
      </c>
      <c r="BG134" s="22">
        <f t="shared" si="115"/>
        <v>3.3837175350986671E-12</v>
      </c>
      <c r="BH134" s="62">
        <f t="shared" si="116"/>
        <v>285.45157790933501</v>
      </c>
      <c r="BI134" s="62">
        <f ca="1">AVERAGE(OFFSET($BH$3,0,0,'Données projet'!$E$11+1,1))-AVERAGE(OFFSET($H$3,0,0,'Données projet'!$E$11+1,1))</f>
        <v>475.58735584427552</v>
      </c>
      <c r="BJ134" s="62">
        <f t="shared" si="146"/>
        <v>294.51413339056131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4.9658410716801891E-14</v>
      </c>
      <c r="CA134" s="14">
        <f t="shared" si="147"/>
        <v>8.0934058173791862E-13</v>
      </c>
      <c r="CB134" s="22">
        <f t="shared" si="118"/>
        <v>1.4960899118586383E-12</v>
      </c>
      <c r="CC134" s="62">
        <f t="shared" si="119"/>
        <v>285.45157790933308</v>
      </c>
      <c r="CD134" s="62">
        <f ca="1">AVERAGE(OFFSET($CC$3,0,0,'Données projet'!$E$12+1,1))-AVERAGE(OFFSET($H$3,0,0,'Données projet'!$E$12+1,1))</f>
        <v>344.32696811748974</v>
      </c>
      <c r="CE134" s="62">
        <f t="shared" si="148"/>
        <v>411.51927518440766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0.63518688729895512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0.63518688729895512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473.14533251757302</v>
      </c>
      <c r="CZ134" s="62">
        <f t="shared" si="150"/>
        <v>299.82031908667142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0.14584167523312336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0.14584167523312336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89.751456703373435</v>
      </c>
      <c r="DU134" s="62">
        <f t="shared" si="152"/>
        <v>433.35713950666889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8.9769124444385291</v>
      </c>
      <c r="EB134" s="23">
        <f>EXP(-LN(2)/25)*EB133+(1-EXP(-LN(2)/25))/(LN(2)/25)*Calculateur!DW134*Calculateur!DY134*VLOOKUP('Données projet'!$B$14,Paramètres!$A$1:$I$89,3,0)*0.475*44/12</f>
        <v>1.0872659961951128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10.064178440633642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204.71144247550794</v>
      </c>
      <c r="EP134" s="62">
        <f t="shared" si="154"/>
        <v>409.91012463636184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13.368440115601665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1.6704838187351223E-13</v>
      </c>
      <c r="EY134" s="24">
        <f t="shared" si="129"/>
        <v>13.368440115601832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67.850430338908623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2.8000000000000003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10.266666666666667</v>
      </c>
      <c r="H135" s="70">
        <f t="shared" si="110"/>
        <v>188.90666666666664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1.5961632016114892E-13</v>
      </c>
      <c r="P135" s="14">
        <f t="shared" si="141"/>
        <v>2.2708641912150958E-12</v>
      </c>
      <c r="Q135" s="22">
        <f t="shared" si="108"/>
        <v>4.2330868906469593E-12</v>
      </c>
      <c r="R135" s="62">
        <f t="shared" si="109"/>
        <v>285.58830874497693</v>
      </c>
      <c r="S135" s="62">
        <f ca="1">AVERAGE(OFFSET($R$3,0,0,'Données projet'!$E$9+1,1))-AVERAGE(OFFSET($H$3,0,0,'Données projet'!$E$9+1,1))</f>
        <v>349.50936264852089</v>
      </c>
      <c r="T135" s="62">
        <f t="shared" si="142"/>
        <v>260.52733851266106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2">
        <f t="shared" si="113"/>
        <v>285.5883087449759</v>
      </c>
      <c r="AN135" s="62">
        <f ca="1">AVERAGE(OFFSET($AM$3,0,0,'Données projet'!$E$10+1,1))-AVERAGE(OFFSET($H$3,0,0,'Données projet'!$E$10+1,1))</f>
        <v>447.04988989014134</v>
      </c>
      <c r="AO135" s="62">
        <f t="shared" si="144"/>
        <v>278.04061554501783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1.2414602679200469E-13</v>
      </c>
      <c r="BF135" s="14">
        <f t="shared" si="145"/>
        <v>1.8186582995804361E-12</v>
      </c>
      <c r="BG135" s="22">
        <f t="shared" si="115"/>
        <v>3.3837175350986671E-12</v>
      </c>
      <c r="BH135" s="62">
        <f t="shared" si="116"/>
        <v>285.58830874497613</v>
      </c>
      <c r="BI135" s="62">
        <f ca="1">AVERAGE(OFFSET($BH$3,0,0,'Données projet'!$E$11+1,1))-AVERAGE(OFFSET($H$3,0,0,'Données projet'!$E$11+1,1))</f>
        <v>475.58735584427552</v>
      </c>
      <c r="BJ135" s="62">
        <f t="shared" si="146"/>
        <v>294.51413339056131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4.9658410716801891E-14</v>
      </c>
      <c r="CA135" s="14">
        <f t="shared" si="147"/>
        <v>8.0934058173791862E-13</v>
      </c>
      <c r="CB135" s="22">
        <f t="shared" si="118"/>
        <v>1.4960899118586383E-12</v>
      </c>
      <c r="CC135" s="62">
        <f t="shared" si="119"/>
        <v>285.5883087449742</v>
      </c>
      <c r="CD135" s="62">
        <f ca="1">AVERAGE(OFFSET($CC$3,0,0,'Données projet'!$E$12+1,1))-AVERAGE(OFFSET($H$3,0,0,'Données projet'!$E$12+1,1))</f>
        <v>344.32696811748974</v>
      </c>
      <c r="CE135" s="62">
        <f t="shared" si="148"/>
        <v>411.51927518440766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0.61781766846273856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0.61781766846273856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473.14533251757302</v>
      </c>
      <c r="CZ135" s="62">
        <f t="shared" si="150"/>
        <v>299.82031908667142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0.14185362695439321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0.14185362695439321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89.751456703373435</v>
      </c>
      <c r="DU135" s="62">
        <f t="shared" si="152"/>
        <v>433.35713950666889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8.8008806667790314</v>
      </c>
      <c r="EB135" s="23">
        <f>EXP(-LN(2)/25)*EB134+(1-EXP(-LN(2)/25))/(LN(2)/25)*Calculateur!DW135*Calculateur!DY135*VLOOKUP('Données projet'!$B$14,Paramètres!$A$1:$I$89,3,0)*0.475*44/12</f>
        <v>1.0575346503523237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9.8584153171313549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204.71144247550794</v>
      </c>
      <c r="EP135" s="62">
        <f t="shared" si="154"/>
        <v>409.91012463636184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13.106293158878051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1.1812104360900044E-13</v>
      </c>
      <c r="EY135" s="24">
        <f t="shared" si="129"/>
        <v>13.106293158878168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67.887720566810742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2.8000000000000003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10.266666666666667</v>
      </c>
      <c r="H136" s="70">
        <f t="shared" si="110"/>
        <v>188.90666666666664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1.5961632016114892E-13</v>
      </c>
      <c r="P136" s="14">
        <f t="shared" si="141"/>
        <v>2.2708641912150958E-12</v>
      </c>
      <c r="Q136" s="22">
        <f t="shared" si="108"/>
        <v>4.2330868906469593E-12</v>
      </c>
      <c r="R136" s="62">
        <f t="shared" si="109"/>
        <v>285.72266760630401</v>
      </c>
      <c r="S136" s="62">
        <f ca="1">AVERAGE(OFFSET($R$3,0,0,'Données projet'!$E$9+1,1))-AVERAGE(OFFSET($H$3,0,0,'Données projet'!$E$9+1,1))</f>
        <v>349.50936264852089</v>
      </c>
      <c r="T136" s="62">
        <f t="shared" si="142"/>
        <v>260.52733851266106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2">
        <f t="shared" si="113"/>
        <v>285.72266760630299</v>
      </c>
      <c r="AN136" s="62">
        <f ca="1">AVERAGE(OFFSET($AM$3,0,0,'Données projet'!$E$10+1,1))-AVERAGE(OFFSET($H$3,0,0,'Données projet'!$E$10+1,1))</f>
        <v>447.04988989014134</v>
      </c>
      <c r="AO136" s="62">
        <f t="shared" si="144"/>
        <v>278.04061554501783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1.2414602679200469E-13</v>
      </c>
      <c r="BF136" s="14">
        <f t="shared" si="145"/>
        <v>1.8186582995804361E-12</v>
      </c>
      <c r="BG136" s="22">
        <f t="shared" si="115"/>
        <v>3.3837175350986671E-12</v>
      </c>
      <c r="BH136" s="62">
        <f t="shared" si="116"/>
        <v>285.72266760630322</v>
      </c>
      <c r="BI136" s="62">
        <f ca="1">AVERAGE(OFFSET($BH$3,0,0,'Données projet'!$E$11+1,1))-AVERAGE(OFFSET($H$3,0,0,'Données projet'!$E$11+1,1))</f>
        <v>475.58735584427552</v>
      </c>
      <c r="BJ136" s="62">
        <f t="shared" si="146"/>
        <v>294.51413339056131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4.9658410716801891E-14</v>
      </c>
      <c r="CA136" s="14">
        <f t="shared" si="147"/>
        <v>8.0934058173791862E-13</v>
      </c>
      <c r="CB136" s="22">
        <f t="shared" si="118"/>
        <v>1.4960899118586383E-12</v>
      </c>
      <c r="CC136" s="62">
        <f t="shared" si="119"/>
        <v>285.72266760630129</v>
      </c>
      <c r="CD136" s="62">
        <f ca="1">AVERAGE(OFFSET($CC$3,0,0,'Données projet'!$E$12+1,1))-AVERAGE(OFFSET($H$3,0,0,'Données projet'!$E$12+1,1))</f>
        <v>344.32696811748974</v>
      </c>
      <c r="CE136" s="62">
        <f t="shared" si="148"/>
        <v>411.51927518440766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0.60092341182900588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0.60092341182900588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473.14533251757302</v>
      </c>
      <c r="CZ136" s="62">
        <f t="shared" si="150"/>
        <v>299.82031908667142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0.13797463206556729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0.13797463206556729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89.751456703373435</v>
      </c>
      <c r="DU136" s="62">
        <f t="shared" si="152"/>
        <v>433.35713950666889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8.6283007649106551</v>
      </c>
      <c r="EB136" s="23">
        <f>EXP(-LN(2)/25)*EB135+(1-EXP(-LN(2)/25))/(LN(2)/25)*Calculateur!DW136*Calculateur!DY136*VLOOKUP('Données projet'!$B$14,Paramètres!$A$1:$I$89,3,0)*0.475*44/12</f>
        <v>1.0286163097251093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9.6569170746357642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204.71144247550794</v>
      </c>
      <c r="EP136" s="62">
        <f t="shared" si="154"/>
        <v>409.91012463636184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12.849286744081933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8.3524190936756116E-14</v>
      </c>
      <c r="EY136" s="24">
        <f t="shared" si="129"/>
        <v>12.849286744082017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67.924363892627227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2.8000000000000003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10.266666666666667</v>
      </c>
      <c r="H137" s="70">
        <f t="shared" si="110"/>
        <v>188.90666666666664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1.5961632016114892E-13</v>
      </c>
      <c r="P137" s="14">
        <f t="shared" si="141"/>
        <v>2.2708641912150958E-12</v>
      </c>
      <c r="Q137" s="22">
        <f t="shared" si="108"/>
        <v>4.2330868906469593E-12</v>
      </c>
      <c r="R137" s="62">
        <f t="shared" si="109"/>
        <v>285.8546956417685</v>
      </c>
      <c r="S137" s="62">
        <f ca="1">AVERAGE(OFFSET($R$3,0,0,'Données projet'!$E$9+1,1))-AVERAGE(OFFSET($H$3,0,0,'Données projet'!$E$9+1,1))</f>
        <v>349.50936264852089</v>
      </c>
      <c r="T137" s="62">
        <f t="shared" si="142"/>
        <v>260.52733851266106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2">
        <f t="shared" si="113"/>
        <v>285.85469564176748</v>
      </c>
      <c r="AN137" s="62">
        <f ca="1">AVERAGE(OFFSET($AM$3,0,0,'Données projet'!$E$10+1,1))-AVERAGE(OFFSET($H$3,0,0,'Données projet'!$E$10+1,1))</f>
        <v>447.04988989014134</v>
      </c>
      <c r="AO137" s="62">
        <f t="shared" si="144"/>
        <v>278.04061554501783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1.2414602679200469E-13</v>
      </c>
      <c r="BF137" s="14">
        <f t="shared" si="145"/>
        <v>1.8186582995804361E-12</v>
      </c>
      <c r="BG137" s="22">
        <f t="shared" si="115"/>
        <v>3.3837175350986671E-12</v>
      </c>
      <c r="BH137" s="62">
        <f t="shared" si="116"/>
        <v>285.85469564176771</v>
      </c>
      <c r="BI137" s="62">
        <f ca="1">AVERAGE(OFFSET($BH$3,0,0,'Données projet'!$E$11+1,1))-AVERAGE(OFFSET($H$3,0,0,'Données projet'!$E$11+1,1))</f>
        <v>475.58735584427552</v>
      </c>
      <c r="BJ137" s="62">
        <f t="shared" si="146"/>
        <v>294.51413339056131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4.9658410716801891E-14</v>
      </c>
      <c r="CA137" s="14">
        <f t="shared" si="147"/>
        <v>8.0934058173791862E-13</v>
      </c>
      <c r="CB137" s="22">
        <f t="shared" si="118"/>
        <v>1.4960899118586383E-12</v>
      </c>
      <c r="CC137" s="62">
        <f t="shared" si="119"/>
        <v>285.85469564176577</v>
      </c>
      <c r="CD137" s="62">
        <f ca="1">AVERAGE(OFFSET($CC$3,0,0,'Données projet'!$E$12+1,1))-AVERAGE(OFFSET($H$3,0,0,'Données projet'!$E$12+1,1))</f>
        <v>344.32696811748974</v>
      </c>
      <c r="CE137" s="62">
        <f t="shared" si="148"/>
        <v>411.51927518440766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0.58449112953135296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0.58449112953135296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473.14533251757302</v>
      </c>
      <c r="CZ137" s="62">
        <f t="shared" si="150"/>
        <v>299.82031908667142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0.1342017084959638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0.1342017084959638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89.751456703373435</v>
      </c>
      <c r="DU137" s="62">
        <f t="shared" si="152"/>
        <v>433.35713950666889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8.4591050496545712</v>
      </c>
      <c r="EB137" s="23">
        <f>EXP(-LN(2)/25)*EB136+(1-EXP(-LN(2)/25))/(LN(2)/25)*Calculateur!DW137*Calculateur!DY137*VLOOKUP('Données projet'!$B$14,Paramètres!$A$1:$I$89,3,0)*0.475*44/12</f>
        <v>1.0004887426430955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9.4595937922976674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204.71144247550794</v>
      </c>
      <c r="EP137" s="62">
        <f t="shared" si="154"/>
        <v>409.91012463636184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12.597320068321531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5.9060521804500221E-14</v>
      </c>
      <c r="EY137" s="24">
        <f t="shared" si="129"/>
        <v>12.59732006832159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67.960371538662997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2.8000000000000003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10.266666666666667</v>
      </c>
      <c r="H138" s="70">
        <f t="shared" si="110"/>
        <v>188.90666666666664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1.5961632016114892E-13</v>
      </c>
      <c r="P138" s="14">
        <f t="shared" si="141"/>
        <v>2.2708641912150958E-12</v>
      </c>
      <c r="Q138" s="22">
        <f t="shared" si="108"/>
        <v>4.2330868906469593E-12</v>
      </c>
      <c r="R138" s="62">
        <f t="shared" si="109"/>
        <v>285.98443328598819</v>
      </c>
      <c r="S138" s="62">
        <f ca="1">AVERAGE(OFFSET($R$3,0,0,'Données projet'!$E$9+1,1))-AVERAGE(OFFSET($H$3,0,0,'Données projet'!$E$9+1,1))</f>
        <v>349.50936264852089</v>
      </c>
      <c r="T138" s="62">
        <f t="shared" si="142"/>
        <v>260.52733851266106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2">
        <f t="shared" si="113"/>
        <v>285.98443328598717</v>
      </c>
      <c r="AN138" s="62">
        <f ca="1">AVERAGE(OFFSET($AM$3,0,0,'Données projet'!$E$10+1,1))-AVERAGE(OFFSET($H$3,0,0,'Données projet'!$E$10+1,1))</f>
        <v>447.04988989014134</v>
      </c>
      <c r="AO138" s="62">
        <f t="shared" si="144"/>
        <v>278.04061554501783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1.2414602679200469E-13</v>
      </c>
      <c r="BF138" s="14">
        <f t="shared" si="145"/>
        <v>1.8186582995804361E-12</v>
      </c>
      <c r="BG138" s="22">
        <f t="shared" si="115"/>
        <v>3.3837175350986671E-12</v>
      </c>
      <c r="BH138" s="62">
        <f t="shared" si="116"/>
        <v>285.98443328598739</v>
      </c>
      <c r="BI138" s="62">
        <f ca="1">AVERAGE(OFFSET($BH$3,0,0,'Données projet'!$E$11+1,1))-AVERAGE(OFFSET($H$3,0,0,'Données projet'!$E$11+1,1))</f>
        <v>475.58735584427552</v>
      </c>
      <c r="BJ138" s="62">
        <f t="shared" si="146"/>
        <v>294.51413339056131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4.9658410716801891E-14</v>
      </c>
      <c r="CA138" s="14">
        <f t="shared" si="147"/>
        <v>8.0934058173791862E-13</v>
      </c>
      <c r="CB138" s="22">
        <f t="shared" si="118"/>
        <v>1.4960899118586383E-12</v>
      </c>
      <c r="CC138" s="62">
        <f t="shared" si="119"/>
        <v>285.98443328598546</v>
      </c>
      <c r="CD138" s="62">
        <f ca="1">AVERAGE(OFFSET($CC$3,0,0,'Données projet'!$E$12+1,1))-AVERAGE(OFFSET($H$3,0,0,'Données projet'!$E$12+1,1))</f>
        <v>344.32696811748974</v>
      </c>
      <c r="CE138" s="62">
        <f t="shared" si="148"/>
        <v>411.51927518440766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0.56850818885726551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0.56850818885726551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473.14533251757302</v>
      </c>
      <c r="CZ138" s="62">
        <f t="shared" si="150"/>
        <v>299.82031908667142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0.13053195571978055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0.13053195571978055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89.751456703373435</v>
      </c>
      <c r="DU138" s="62">
        <f t="shared" si="152"/>
        <v>433.35713950666889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8.293227159175462</v>
      </c>
      <c r="EB138" s="23">
        <f>EXP(-LN(2)/25)*EB137+(1-EXP(-LN(2)/25))/(LN(2)/25)*Calculateur!DW138*Calculateur!DY138*VLOOKUP('Données projet'!$B$14,Paramètres!$A$1:$I$89,3,0)*0.475*44/12</f>
        <v>0.97313032536210375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9.2663574845375649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204.71144247550794</v>
      </c>
      <c r="EP138" s="62">
        <f t="shared" si="154"/>
        <v>409.91012463636184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12.350294305388294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4.1762095468378058E-14</v>
      </c>
      <c r="EY138" s="24">
        <f t="shared" si="129"/>
        <v>12.350294305388337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67.995754532541085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2.8000000000000003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10.266666666666667</v>
      </c>
      <c r="H139" s="70">
        <f t="shared" si="110"/>
        <v>188.90666666666664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1.5961632016114892E-13</v>
      </c>
      <c r="P139" s="14">
        <f t="shared" si="141"/>
        <v>2.2708641912150958E-12</v>
      </c>
      <c r="Q139" s="22">
        <f t="shared" si="108"/>
        <v>4.2330868906469593E-12</v>
      </c>
      <c r="R139" s="62">
        <f t="shared" si="109"/>
        <v>286.11192027213048</v>
      </c>
      <c r="S139" s="62">
        <f ca="1">AVERAGE(OFFSET($R$3,0,0,'Données projet'!$E$9+1,1))-AVERAGE(OFFSET($H$3,0,0,'Données projet'!$E$9+1,1))</f>
        <v>349.50936264852089</v>
      </c>
      <c r="T139" s="62">
        <f t="shared" si="142"/>
        <v>260.52733851266106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2">
        <f t="shared" si="113"/>
        <v>286.11192027212945</v>
      </c>
      <c r="AN139" s="62">
        <f ca="1">AVERAGE(OFFSET($AM$3,0,0,'Données projet'!$E$10+1,1))-AVERAGE(OFFSET($H$3,0,0,'Données projet'!$E$10+1,1))</f>
        <v>447.04988989014134</v>
      </c>
      <c r="AO139" s="62">
        <f t="shared" si="144"/>
        <v>278.04061554501783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1.2414602679200469E-13</v>
      </c>
      <c r="BF139" s="14">
        <f t="shared" si="145"/>
        <v>1.8186582995804361E-12</v>
      </c>
      <c r="BG139" s="22">
        <f t="shared" si="115"/>
        <v>3.3837175350986671E-12</v>
      </c>
      <c r="BH139" s="62">
        <f t="shared" si="116"/>
        <v>286.11192027212968</v>
      </c>
      <c r="BI139" s="62">
        <f ca="1">AVERAGE(OFFSET($BH$3,0,0,'Données projet'!$E$11+1,1))-AVERAGE(OFFSET($H$3,0,0,'Données projet'!$E$11+1,1))</f>
        <v>475.58735584427552</v>
      </c>
      <c r="BJ139" s="62">
        <f t="shared" si="146"/>
        <v>294.51413339056131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4.9658410716801891E-14</v>
      </c>
      <c r="CA139" s="14">
        <f t="shared" si="147"/>
        <v>8.0934058173791862E-13</v>
      </c>
      <c r="CB139" s="22">
        <f t="shared" si="118"/>
        <v>1.4960899118586383E-12</v>
      </c>
      <c r="CC139" s="62">
        <f t="shared" si="119"/>
        <v>286.11192027212775</v>
      </c>
      <c r="CD139" s="62">
        <f ca="1">AVERAGE(OFFSET($CC$3,0,0,'Données projet'!$E$12+1,1))-AVERAGE(OFFSET($H$3,0,0,'Données projet'!$E$12+1,1))</f>
        <v>344.32696811748974</v>
      </c>
      <c r="CE139" s="62">
        <f t="shared" si="148"/>
        <v>411.51927518440766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0.55296230253641732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0.55296230253641732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473.14533251757302</v>
      </c>
      <c r="CZ139" s="62">
        <f t="shared" si="150"/>
        <v>299.82031908667142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0.12696255252624594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0.12696255252624594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89.751456703373435</v>
      </c>
      <c r="DU139" s="62">
        <f t="shared" si="152"/>
        <v>433.35713950666889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8.1306020329531261</v>
      </c>
      <c r="EB139" s="23">
        <f>EXP(-LN(2)/25)*EB138+(1-EXP(-LN(2)/25))/(LN(2)/25)*Calculateur!DW139*Calculateur!DY139*VLOOKUP('Données projet'!$B$14,Paramètres!$A$1:$I$89,3,0)*0.475*44/12</f>
        <v>0.94652002544037739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9.0771220583935026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204.71144247550794</v>
      </c>
      <c r="EP139" s="62">
        <f t="shared" si="154"/>
        <v>409.91012463636184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12.10811256699534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2.9530260902250111E-14</v>
      </c>
      <c r="EY139" s="24">
        <f t="shared" si="129"/>
        <v>12.10811256699537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68.030523710579899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2.8000000000000003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10.266666666666667</v>
      </c>
      <c r="H140" s="70">
        <f t="shared" si="110"/>
        <v>188.90666666666664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1.5961632016114892E-13</v>
      </c>
      <c r="P140" s="14">
        <f t="shared" si="141"/>
        <v>2.2708641912150958E-12</v>
      </c>
      <c r="Q140" s="22">
        <f t="shared" si="108"/>
        <v>4.2330868906469593E-12</v>
      </c>
      <c r="R140" s="62">
        <f t="shared" si="109"/>
        <v>286.23719564408151</v>
      </c>
      <c r="S140" s="62">
        <f ca="1">AVERAGE(OFFSET($R$3,0,0,'Données projet'!$E$9+1,1))-AVERAGE(OFFSET($H$3,0,0,'Données projet'!$E$9+1,1))</f>
        <v>349.50936264852089</v>
      </c>
      <c r="T140" s="62">
        <f t="shared" si="142"/>
        <v>260.52733851266106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2">
        <f t="shared" si="113"/>
        <v>286.23719564408049</v>
      </c>
      <c r="AN140" s="62">
        <f ca="1">AVERAGE(OFFSET($AM$3,0,0,'Données projet'!$E$10+1,1))-AVERAGE(OFFSET($H$3,0,0,'Données projet'!$E$10+1,1))</f>
        <v>447.04988989014134</v>
      </c>
      <c r="AO140" s="62">
        <f t="shared" si="144"/>
        <v>278.04061554501783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1.2414602679200469E-13</v>
      </c>
      <c r="BF140" s="14">
        <f t="shared" si="145"/>
        <v>1.8186582995804361E-12</v>
      </c>
      <c r="BG140" s="22">
        <f t="shared" si="115"/>
        <v>3.3837175350986671E-12</v>
      </c>
      <c r="BH140" s="62">
        <f t="shared" si="116"/>
        <v>286.23719564408071</v>
      </c>
      <c r="BI140" s="62">
        <f ca="1">AVERAGE(OFFSET($BH$3,0,0,'Données projet'!$E$11+1,1))-AVERAGE(OFFSET($H$3,0,0,'Données projet'!$E$11+1,1))</f>
        <v>475.58735584427552</v>
      </c>
      <c r="BJ140" s="62">
        <f t="shared" si="146"/>
        <v>294.51413339056131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4.9658410716801891E-14</v>
      </c>
      <c r="CA140" s="14">
        <f t="shared" si="147"/>
        <v>8.0934058173791862E-13</v>
      </c>
      <c r="CB140" s="22">
        <f t="shared" si="118"/>
        <v>1.4960899118586383E-12</v>
      </c>
      <c r="CC140" s="62">
        <f t="shared" si="119"/>
        <v>286.23719564407878</v>
      </c>
      <c r="CD140" s="62">
        <f ca="1">AVERAGE(OFFSET($CC$3,0,0,'Données projet'!$E$12+1,1))-AVERAGE(OFFSET($H$3,0,0,'Données projet'!$E$12+1,1))</f>
        <v>344.32696811748974</v>
      </c>
      <c r="CE140" s="62">
        <f t="shared" si="148"/>
        <v>411.51927518440766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0.53784151929453528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0.53784151929453528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473.14533251757302</v>
      </c>
      <c r="CZ140" s="62">
        <f t="shared" si="150"/>
        <v>299.82031908667142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0.12349075485074529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0.12349075485074529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89.751456703373435</v>
      </c>
      <c r="DU140" s="62">
        <f t="shared" si="152"/>
        <v>433.35713950666889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7.971165886264477</v>
      </c>
      <c r="EB140" s="23">
        <f>EXP(-LN(2)/25)*EB139+(1-EXP(-LN(2)/25))/(LN(2)/25)*Calculateur!DW140*Calculateur!DY140*VLOOKUP('Données projet'!$B$14,Paramètres!$A$1:$I$89,3,0)*0.475*44/12</f>
        <v>0.92063738556938546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8.8918032718338615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204.71144247550794</v>
      </c>
      <c r="EP140" s="62">
        <f t="shared" si="154"/>
        <v>409.91012463636184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11.870679864775997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2.0881047734189029E-14</v>
      </c>
      <c r="EY140" s="24">
        <f t="shared" si="129"/>
        <v>11.870679864776019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68.064689721111989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2.8000000000000003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10.266666666666667</v>
      </c>
      <c r="H141" s="70">
        <f t="shared" si="110"/>
        <v>188.90666666666664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1.5961632016114892E-13</v>
      </c>
      <c r="P141" s="14">
        <f t="shared" si="141"/>
        <v>2.2708641912150958E-12</v>
      </c>
      <c r="Q141" s="22">
        <f t="shared" si="108"/>
        <v>4.2330868906469593E-12</v>
      </c>
      <c r="R141" s="62">
        <f t="shared" si="109"/>
        <v>286.36029776840286</v>
      </c>
      <c r="S141" s="62">
        <f ca="1">AVERAGE(OFFSET($R$3,0,0,'Données projet'!$E$9+1,1))-AVERAGE(OFFSET($H$3,0,0,'Données projet'!$E$9+1,1))</f>
        <v>349.50936264852089</v>
      </c>
      <c r="T141" s="62">
        <f t="shared" si="142"/>
        <v>260.52733851266106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2">
        <f t="shared" si="113"/>
        <v>286.36029776840184</v>
      </c>
      <c r="AN141" s="62">
        <f ca="1">AVERAGE(OFFSET($AM$3,0,0,'Données projet'!$E$10+1,1))-AVERAGE(OFFSET($H$3,0,0,'Données projet'!$E$10+1,1))</f>
        <v>447.04988989014134</v>
      </c>
      <c r="AO141" s="62">
        <f t="shared" si="144"/>
        <v>278.04061554501783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1.2414602679200469E-13</v>
      </c>
      <c r="BF141" s="14">
        <f t="shared" si="145"/>
        <v>1.8186582995804361E-12</v>
      </c>
      <c r="BG141" s="22">
        <f t="shared" si="115"/>
        <v>3.3837175350986671E-12</v>
      </c>
      <c r="BH141" s="62">
        <f t="shared" si="116"/>
        <v>286.36029776840206</v>
      </c>
      <c r="BI141" s="62">
        <f ca="1">AVERAGE(OFFSET($BH$3,0,0,'Données projet'!$E$11+1,1))-AVERAGE(OFFSET($H$3,0,0,'Données projet'!$E$11+1,1))</f>
        <v>475.58735584427552</v>
      </c>
      <c r="BJ141" s="62">
        <f t="shared" si="146"/>
        <v>294.51413339056131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4.9658410716801891E-14</v>
      </c>
      <c r="CA141" s="14">
        <f t="shared" si="147"/>
        <v>8.0934058173791862E-13</v>
      </c>
      <c r="CB141" s="22">
        <f t="shared" si="118"/>
        <v>1.4960899118586383E-12</v>
      </c>
      <c r="CC141" s="62">
        <f t="shared" si="119"/>
        <v>286.36029776840013</v>
      </c>
      <c r="CD141" s="62">
        <f ca="1">AVERAGE(OFFSET($CC$3,0,0,'Données projet'!$E$12+1,1))-AVERAGE(OFFSET($H$3,0,0,'Données projet'!$E$12+1,1))</f>
        <v>344.32696811748974</v>
      </c>
      <c r="CE141" s="62">
        <f t="shared" si="148"/>
        <v>411.51927518440766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0.52313421466556997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0.52313421466556997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473.14533251757302</v>
      </c>
      <c r="CZ141" s="62">
        <f t="shared" si="150"/>
        <v>299.82031908667142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0.1201138936652551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0.1201138936652551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89.751456703373435</v>
      </c>
      <c r="DU141" s="62">
        <f t="shared" si="152"/>
        <v>433.35713950666889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7.8148561851659455</v>
      </c>
      <c r="EB141" s="23">
        <f>EXP(-LN(2)/25)*EB140+(1-EXP(-LN(2)/25))/(LN(2)/25)*Calculateur!DW141*Calculateur!DY141*VLOOKUP('Données projet'!$B$14,Paramètres!$A$1:$I$89,3,0)*0.475*44/12</f>
        <v>0.89546250784677461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8.7103186930127201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204.71144247550794</v>
      </c>
      <c r="EP141" s="62">
        <f t="shared" si="154"/>
        <v>409.91012463636184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11.637903073027527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1.4765130451125055E-14</v>
      </c>
      <c r="EY141" s="24">
        <f t="shared" si="129"/>
        <v>11.637903073027541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68.098263027745091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2.8000000000000003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10.266666666666667</v>
      </c>
      <c r="H142" s="70">
        <f t="shared" si="110"/>
        <v>188.90666666666664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1.5961632016114892E-13</v>
      </c>
      <c r="P142" s="14">
        <f t="shared" si="141"/>
        <v>2.2708641912150958E-12</v>
      </c>
      <c r="Q142" s="22">
        <f t="shared" si="108"/>
        <v>4.2330868906469593E-12</v>
      </c>
      <c r="R142" s="62">
        <f t="shared" si="109"/>
        <v>286.48126434608247</v>
      </c>
      <c r="S142" s="62">
        <f ca="1">AVERAGE(OFFSET($R$3,0,0,'Données projet'!$E$9+1,1))-AVERAGE(OFFSET($H$3,0,0,'Données projet'!$E$9+1,1))</f>
        <v>349.50936264852089</v>
      </c>
      <c r="T142" s="62">
        <f t="shared" si="142"/>
        <v>260.52733851266106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2">
        <f t="shared" si="113"/>
        <v>286.48126434608145</v>
      </c>
      <c r="AN142" s="62">
        <f ca="1">AVERAGE(OFFSET($AM$3,0,0,'Données projet'!$E$10+1,1))-AVERAGE(OFFSET($H$3,0,0,'Données projet'!$E$10+1,1))</f>
        <v>447.04988989014134</v>
      </c>
      <c r="AO142" s="62">
        <f t="shared" si="144"/>
        <v>278.04061554501783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1.2414602679200469E-13</v>
      </c>
      <c r="BF142" s="14">
        <f t="shared" si="145"/>
        <v>1.8186582995804361E-12</v>
      </c>
      <c r="BG142" s="22">
        <f t="shared" si="115"/>
        <v>3.3837175350986671E-12</v>
      </c>
      <c r="BH142" s="62">
        <f t="shared" si="116"/>
        <v>286.48126434608167</v>
      </c>
      <c r="BI142" s="62">
        <f ca="1">AVERAGE(OFFSET($BH$3,0,0,'Données projet'!$E$11+1,1))-AVERAGE(OFFSET($H$3,0,0,'Données projet'!$E$11+1,1))</f>
        <v>475.58735584427552</v>
      </c>
      <c r="BJ142" s="62">
        <f t="shared" si="146"/>
        <v>294.51413339056131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4.9658410716801891E-14</v>
      </c>
      <c r="CA142" s="14">
        <f t="shared" si="147"/>
        <v>8.0934058173791862E-13</v>
      </c>
      <c r="CB142" s="22">
        <f t="shared" si="118"/>
        <v>1.4960899118586383E-12</v>
      </c>
      <c r="CC142" s="62">
        <f t="shared" si="119"/>
        <v>286.48126434607974</v>
      </c>
      <c r="CD142" s="62">
        <f ca="1">AVERAGE(OFFSET($CC$3,0,0,'Données projet'!$E$12+1,1))-AVERAGE(OFFSET($H$3,0,0,'Données projet'!$E$12+1,1))</f>
        <v>344.32696811748974</v>
      </c>
      <c r="CE142" s="62">
        <f t="shared" si="148"/>
        <v>411.51927518440766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0.50882908205510724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0.50882908205510724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473.14533251757302</v>
      </c>
      <c r="CZ142" s="62">
        <f t="shared" si="150"/>
        <v>299.82031908667142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0.11682937292646356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0.11682937292646356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89.751456703373435</v>
      </c>
      <c r="DU142" s="62">
        <f t="shared" si="152"/>
        <v>433.35713950666889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7.6616116219664523</v>
      </c>
      <c r="EB142" s="23">
        <f>EXP(-LN(2)/25)*EB141+(1-EXP(-LN(2)/25))/(LN(2)/25)*Calculateur!DW142*Calculateur!DY142*VLOOKUP('Données projet'!$B$14,Paramètres!$A$1:$I$89,3,0)*0.475*44/12</f>
        <v>0.87097603847937788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8.5325876604458308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204.71144247550794</v>
      </c>
      <c r="EP142" s="62">
        <f t="shared" si="154"/>
        <v>409.91012463636184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11.40969089218542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1.0440523867094514E-14</v>
      </c>
      <c r="EY142" s="24">
        <f t="shared" si="129"/>
        <v>11.409690892185431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68.131253912566791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2.8000000000000003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10.266666666666667</v>
      </c>
      <c r="H143" s="70">
        <f t="shared" si="110"/>
        <v>188.90666666666664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1.5961632016114892E-13</v>
      </c>
      <c r="P143" s="14">
        <f t="shared" si="141"/>
        <v>2.2708641912150958E-12</v>
      </c>
      <c r="Q143" s="22">
        <f t="shared" si="108"/>
        <v>4.2330868906469593E-12</v>
      </c>
      <c r="R143" s="62">
        <f t="shared" si="109"/>
        <v>286.60013242407996</v>
      </c>
      <c r="S143" s="62">
        <f ca="1">AVERAGE(OFFSET($R$3,0,0,'Données projet'!$E$9+1,1))-AVERAGE(OFFSET($H$3,0,0,'Données projet'!$E$9+1,1))</f>
        <v>349.50936264852089</v>
      </c>
      <c r="T143" s="62">
        <f t="shared" si="142"/>
        <v>260.52733851266106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2">
        <f t="shared" si="113"/>
        <v>286.60013242407894</v>
      </c>
      <c r="AN143" s="62">
        <f ca="1">AVERAGE(OFFSET($AM$3,0,0,'Données projet'!$E$10+1,1))-AVERAGE(OFFSET($H$3,0,0,'Données projet'!$E$10+1,1))</f>
        <v>447.04988989014134</v>
      </c>
      <c r="AO143" s="62">
        <f t="shared" si="144"/>
        <v>278.04061554501783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1.2414602679200469E-13</v>
      </c>
      <c r="BF143" s="14">
        <f t="shared" si="145"/>
        <v>1.8186582995804361E-12</v>
      </c>
      <c r="BG143" s="22">
        <f t="shared" si="115"/>
        <v>3.3837175350986671E-12</v>
      </c>
      <c r="BH143" s="62">
        <f t="shared" si="116"/>
        <v>286.60013242407916</v>
      </c>
      <c r="BI143" s="62">
        <f ca="1">AVERAGE(OFFSET($BH$3,0,0,'Données projet'!$E$11+1,1))-AVERAGE(OFFSET($H$3,0,0,'Données projet'!$E$11+1,1))</f>
        <v>475.58735584427552</v>
      </c>
      <c r="BJ143" s="62">
        <f t="shared" si="146"/>
        <v>294.51413339056131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4.9658410716801891E-14</v>
      </c>
      <c r="CA143" s="14">
        <f t="shared" si="147"/>
        <v>8.0934058173791862E-13</v>
      </c>
      <c r="CB143" s="22">
        <f t="shared" si="118"/>
        <v>1.4960899118586383E-12</v>
      </c>
      <c r="CC143" s="62">
        <f t="shared" si="119"/>
        <v>286.60013242407723</v>
      </c>
      <c r="CD143" s="62">
        <f ca="1">AVERAGE(OFFSET($CC$3,0,0,'Données projet'!$E$12+1,1))-AVERAGE(OFFSET($H$3,0,0,'Données projet'!$E$12+1,1))</f>
        <v>344.32696811748974</v>
      </c>
      <c r="CE143" s="62">
        <f t="shared" si="148"/>
        <v>411.51927518440766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0.49491512404815186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0.49491512404815186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473.14533251757302</v>
      </c>
      <c r="CZ143" s="62">
        <f t="shared" si="150"/>
        <v>299.82031908667142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0.11363466757999971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0.11363466757999971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89.751456703373435</v>
      </c>
      <c r="DU143" s="62">
        <f t="shared" si="152"/>
        <v>433.35713950666889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7.5113720911813475</v>
      </c>
      <c r="EB143" s="23">
        <f>EXP(-LN(2)/25)*EB142+(1-EXP(-LN(2)/25))/(LN(2)/25)*Calculateur!DW143*Calculateur!DY143*VLOOKUP('Données projet'!$B$14,Paramètres!$A$1:$I$89,3,0)*0.475*44/12</f>
        <v>0.84715915290452004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8.3585312440858672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204.71144247550794</v>
      </c>
      <c r="EP143" s="62">
        <f t="shared" si="154"/>
        <v>409.91012463636184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11.185953813013942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7.3825652255625277E-15</v>
      </c>
      <c r="EY143" s="24">
        <f t="shared" si="129"/>
        <v>11.185953813013949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68.163672479293396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2.8000000000000003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10.266666666666667</v>
      </c>
      <c r="H144" s="70">
        <f t="shared" si="110"/>
        <v>188.90666666666664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1.5961632016114892E-13</v>
      </c>
      <c r="P144" s="14">
        <f t="shared" si="141"/>
        <v>2.2708641912150958E-12</v>
      </c>
      <c r="Q144" s="22">
        <f t="shared" si="108"/>
        <v>4.2330868906469593E-12</v>
      </c>
      <c r="R144" s="62">
        <f t="shared" si="109"/>
        <v>286.71693840667353</v>
      </c>
      <c r="S144" s="62">
        <f ca="1">AVERAGE(OFFSET($R$3,0,0,'Données projet'!$E$9+1,1))-AVERAGE(OFFSET($H$3,0,0,'Données projet'!$E$9+1,1))</f>
        <v>349.50936264852089</v>
      </c>
      <c r="T144" s="62">
        <f t="shared" si="142"/>
        <v>260.52733851266106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2">
        <f t="shared" si="113"/>
        <v>286.71693840667251</v>
      </c>
      <c r="AN144" s="62">
        <f ca="1">AVERAGE(OFFSET($AM$3,0,0,'Données projet'!$E$10+1,1))-AVERAGE(OFFSET($H$3,0,0,'Données projet'!$E$10+1,1))</f>
        <v>447.04988989014134</v>
      </c>
      <c r="AO144" s="62">
        <f t="shared" si="144"/>
        <v>278.04061554501783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1.2414602679200469E-13</v>
      </c>
      <c r="BF144" s="14">
        <f t="shared" si="145"/>
        <v>1.8186582995804361E-12</v>
      </c>
      <c r="BG144" s="22">
        <f t="shared" si="115"/>
        <v>3.3837175350986671E-12</v>
      </c>
      <c r="BH144" s="62">
        <f t="shared" si="116"/>
        <v>286.71693840667274</v>
      </c>
      <c r="BI144" s="62">
        <f ca="1">AVERAGE(OFFSET($BH$3,0,0,'Données projet'!$E$11+1,1))-AVERAGE(OFFSET($H$3,0,0,'Données projet'!$E$11+1,1))</f>
        <v>475.58735584427552</v>
      </c>
      <c r="BJ144" s="62">
        <f t="shared" si="146"/>
        <v>294.51413339056131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4.9658410716801891E-14</v>
      </c>
      <c r="CA144" s="14">
        <f t="shared" si="147"/>
        <v>8.0934058173791862E-13</v>
      </c>
      <c r="CB144" s="22">
        <f t="shared" si="118"/>
        <v>1.4960899118586383E-12</v>
      </c>
      <c r="CC144" s="62">
        <f t="shared" si="119"/>
        <v>286.71693840667081</v>
      </c>
      <c r="CD144" s="62">
        <f ca="1">AVERAGE(OFFSET($CC$3,0,0,'Données projet'!$E$12+1,1))-AVERAGE(OFFSET($H$3,0,0,'Données projet'!$E$12+1,1))</f>
        <v>344.32696811748974</v>
      </c>
      <c r="CE144" s="62">
        <f t="shared" si="148"/>
        <v>411.51927518440766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0.48138164395459992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0.48138164395459992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473.14533251757302</v>
      </c>
      <c r="CZ144" s="62">
        <f t="shared" si="150"/>
        <v>299.82031908667142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0.11052732161923716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0.11052732161923716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89.751456703373435</v>
      </c>
      <c r="DU144" s="62">
        <f t="shared" si="152"/>
        <v>433.35713950666889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7.364078665957873</v>
      </c>
      <c r="EB144" s="23">
        <f>EXP(-LN(2)/25)*EB143+(1-EXP(-LN(2)/25))/(LN(2)/25)*Calculateur!DW144*Calculateur!DY144*VLOOKUP('Données projet'!$B$14,Paramètres!$A$1:$I$89,3,0)*0.475*44/12</f>
        <v>0.82399354131818225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8.1880722072760559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204.71144247550794</v>
      </c>
      <c r="EP144" s="62">
        <f t="shared" si="154"/>
        <v>409.91012463636184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10.966604081498874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5.2202619335472572E-15</v>
      </c>
      <c r="EY144" s="24">
        <f t="shared" si="129"/>
        <v>10.966604081498879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68.19552865636436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2.8000000000000003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10.266666666666667</v>
      </c>
      <c r="H145" s="70">
        <f t="shared" si="110"/>
        <v>188.90666666666664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1.5961632016114892E-13</v>
      </c>
      <c r="P145" s="14">
        <f t="shared" si="141"/>
        <v>2.2708641912150958E-12</v>
      </c>
      <c r="Q145" s="22">
        <f t="shared" si="108"/>
        <v>4.2330868906469593E-12</v>
      </c>
      <c r="R145" s="62">
        <f t="shared" si="109"/>
        <v>286.83171806660806</v>
      </c>
      <c r="S145" s="62">
        <f ca="1">AVERAGE(OFFSET($R$3,0,0,'Données projet'!$E$9+1,1))-AVERAGE(OFFSET($H$3,0,0,'Données projet'!$E$9+1,1))</f>
        <v>349.50936264852089</v>
      </c>
      <c r="T145" s="62">
        <f t="shared" si="142"/>
        <v>260.52733851266106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2">
        <f t="shared" si="113"/>
        <v>286.83171806660704</v>
      </c>
      <c r="AN145" s="62">
        <f ca="1">AVERAGE(OFFSET($AM$3,0,0,'Données projet'!$E$10+1,1))-AVERAGE(OFFSET($H$3,0,0,'Données projet'!$E$10+1,1))</f>
        <v>447.04988989014134</v>
      </c>
      <c r="AO145" s="62">
        <f t="shared" si="144"/>
        <v>278.04061554501783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1.2414602679200469E-13</v>
      </c>
      <c r="BF145" s="14">
        <f t="shared" si="145"/>
        <v>1.8186582995804361E-12</v>
      </c>
      <c r="BG145" s="22">
        <f t="shared" si="115"/>
        <v>3.3837175350986671E-12</v>
      </c>
      <c r="BH145" s="62">
        <f t="shared" si="116"/>
        <v>286.83171806660727</v>
      </c>
      <c r="BI145" s="62">
        <f ca="1">AVERAGE(OFFSET($BH$3,0,0,'Données projet'!$E$11+1,1))-AVERAGE(OFFSET($H$3,0,0,'Données projet'!$E$11+1,1))</f>
        <v>475.58735584427552</v>
      </c>
      <c r="BJ145" s="62">
        <f t="shared" si="146"/>
        <v>294.51413339056131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4.9658410716801891E-14</v>
      </c>
      <c r="CA145" s="14">
        <f t="shared" si="147"/>
        <v>8.0934058173791862E-13</v>
      </c>
      <c r="CB145" s="22">
        <f t="shared" si="118"/>
        <v>1.4960899118586383E-12</v>
      </c>
      <c r="CC145" s="62">
        <f t="shared" si="119"/>
        <v>286.83171806660533</v>
      </c>
      <c r="CD145" s="62">
        <f ca="1">AVERAGE(OFFSET($CC$3,0,0,'Données projet'!$E$12+1,1))-AVERAGE(OFFSET($H$3,0,0,'Données projet'!$E$12+1,1))</f>
        <v>344.32696811748974</v>
      </c>
      <c r="CE145" s="62">
        <f t="shared" si="148"/>
        <v>411.51927518440766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0.46821823758590092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0.46821823758590092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473.14533251757302</v>
      </c>
      <c r="CZ145" s="62">
        <f t="shared" si="150"/>
        <v>299.82031908667142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0.10750494619717989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0.10750494619717989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89.751456703373435</v>
      </c>
      <c r="DU145" s="62">
        <f t="shared" si="152"/>
        <v>433.35713950666889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7.2196735749629122</v>
      </c>
      <c r="EB145" s="23">
        <f>EXP(-LN(2)/25)*EB144+(1-EXP(-LN(2)/25))/(LN(2)/25)*Calculateur!DW145*Calculateur!DY145*VLOOKUP('Données projet'!$B$14,Paramètres!$A$1:$I$89,3,0)*0.475*44/12</f>
        <v>0.80146139459889953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8.0211349695618122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204.71144247550794</v>
      </c>
      <c r="EP145" s="62">
        <f t="shared" si="154"/>
        <v>409.91012463636184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10.75155566442869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3.6912826127812638E-15</v>
      </c>
      <c r="EY145" s="24">
        <f t="shared" si="129"/>
        <v>10.751555664428693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68.22683219998288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2.8000000000000003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10.266666666666667</v>
      </c>
      <c r="H146" s="70">
        <f t="shared" si="110"/>
        <v>188.90666666666664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1.5961632016114892E-13</v>
      </c>
      <c r="P146" s="14">
        <f t="shared" si="141"/>
        <v>2.2708641912150958E-12</v>
      </c>
      <c r="Q146" s="22">
        <f t="shared" si="108"/>
        <v>4.2330868906469593E-12</v>
      </c>
      <c r="R146" s="62">
        <f t="shared" si="109"/>
        <v>286.94450655605169</v>
      </c>
      <c r="S146" s="62">
        <f ca="1">AVERAGE(OFFSET($R$3,0,0,'Données projet'!$E$9+1,1))-AVERAGE(OFFSET($H$3,0,0,'Données projet'!$E$9+1,1))</f>
        <v>349.50936264852089</v>
      </c>
      <c r="T146" s="62">
        <f t="shared" si="142"/>
        <v>260.52733851266106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2">
        <f t="shared" si="113"/>
        <v>286.94450655605067</v>
      </c>
      <c r="AN146" s="62">
        <f ca="1">AVERAGE(OFFSET($AM$3,0,0,'Données projet'!$E$10+1,1))-AVERAGE(OFFSET($H$3,0,0,'Données projet'!$E$10+1,1))</f>
        <v>447.04988989014134</v>
      </c>
      <c r="AO146" s="62">
        <f t="shared" si="144"/>
        <v>278.04061554501783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1.2414602679200469E-13</v>
      </c>
      <c r="BF146" s="14">
        <f t="shared" si="145"/>
        <v>1.8186582995804361E-12</v>
      </c>
      <c r="BG146" s="22">
        <f t="shared" si="115"/>
        <v>3.3837175350986671E-12</v>
      </c>
      <c r="BH146" s="62">
        <f t="shared" si="116"/>
        <v>286.9445065560509</v>
      </c>
      <c r="BI146" s="62">
        <f ca="1">AVERAGE(OFFSET($BH$3,0,0,'Données projet'!$E$11+1,1))-AVERAGE(OFFSET($H$3,0,0,'Données projet'!$E$11+1,1))</f>
        <v>475.58735584427552</v>
      </c>
      <c r="BJ146" s="62">
        <f t="shared" si="146"/>
        <v>294.51413339056131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4.9658410716801891E-14</v>
      </c>
      <c r="CA146" s="14">
        <f t="shared" si="147"/>
        <v>8.0934058173791862E-13</v>
      </c>
      <c r="CB146" s="22">
        <f t="shared" si="118"/>
        <v>1.4960899118586383E-12</v>
      </c>
      <c r="CC146" s="62">
        <f t="shared" si="119"/>
        <v>286.94450655604896</v>
      </c>
      <c r="CD146" s="62">
        <f ca="1">AVERAGE(OFFSET($CC$3,0,0,'Données projet'!$E$12+1,1))-AVERAGE(OFFSET($H$3,0,0,'Données projet'!$E$12+1,1))</f>
        <v>344.32696811748974</v>
      </c>
      <c r="CE146" s="62">
        <f t="shared" si="148"/>
        <v>411.51927518440766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0.45541478525658746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0.45541478525658746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473.14533251757302</v>
      </c>
      <c r="CZ146" s="62">
        <f t="shared" si="150"/>
        <v>299.82031908667142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0.10456521778997858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0.10456521778997858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89.751456703373435</v>
      </c>
      <c r="DU146" s="62">
        <f t="shared" si="152"/>
        <v>433.35713950666889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7.078100179723954</v>
      </c>
      <c r="EB146" s="23">
        <f>EXP(-LN(2)/25)*EB145+(1-EXP(-LN(2)/25))/(LN(2)/25)*Calculateur!DW146*Calculateur!DY146*VLOOKUP('Données projet'!$B$14,Paramètres!$A$1:$I$89,3,0)*0.475*44/12</f>
        <v>0.77954539061656969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7.8576455703405239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204.71144247550794</v>
      </c>
      <c r="EP146" s="62">
        <f t="shared" si="154"/>
        <v>409.91012463636184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10.54072421565067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2.6101309667736286E-15</v>
      </c>
      <c r="EY146" s="24">
        <f t="shared" si="129"/>
        <v>10.540724215650672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68.25759269710386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2.8000000000000003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10.266666666666667</v>
      </c>
      <c r="H147" s="70">
        <f t="shared" si="110"/>
        <v>188.90666666666664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1.5961632016114892E-13</v>
      </c>
      <c r="P147" s="14">
        <f t="shared" si="141"/>
        <v>2.2708641912150958E-12</v>
      </c>
      <c r="Q147" s="22">
        <f t="shared" si="108"/>
        <v>4.2330868906469593E-12</v>
      </c>
      <c r="R147" s="62">
        <f t="shared" si="109"/>
        <v>287.0553384173607</v>
      </c>
      <c r="S147" s="62">
        <f ca="1">AVERAGE(OFFSET($R$3,0,0,'Données projet'!$E$9+1,1))-AVERAGE(OFFSET($H$3,0,0,'Données projet'!$E$9+1,1))</f>
        <v>349.50936264852089</v>
      </c>
      <c r="T147" s="62">
        <f t="shared" si="142"/>
        <v>260.52733851266106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2">
        <f t="shared" si="113"/>
        <v>287.05533841735968</v>
      </c>
      <c r="AN147" s="62">
        <f ca="1">AVERAGE(OFFSET($AM$3,0,0,'Données projet'!$E$10+1,1))-AVERAGE(OFFSET($H$3,0,0,'Données projet'!$E$10+1,1))</f>
        <v>447.04988989014134</v>
      </c>
      <c r="AO147" s="62">
        <f t="shared" si="144"/>
        <v>278.04061554501783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1.2414602679200469E-13</v>
      </c>
      <c r="BF147" s="14">
        <f t="shared" si="145"/>
        <v>1.8186582995804361E-12</v>
      </c>
      <c r="BG147" s="22">
        <f t="shared" si="115"/>
        <v>3.3837175350986671E-12</v>
      </c>
      <c r="BH147" s="62">
        <f t="shared" si="116"/>
        <v>287.05533841735991</v>
      </c>
      <c r="BI147" s="62">
        <f ca="1">AVERAGE(OFFSET($BH$3,0,0,'Données projet'!$E$11+1,1))-AVERAGE(OFFSET($H$3,0,0,'Données projet'!$E$11+1,1))</f>
        <v>475.58735584427552</v>
      </c>
      <c r="BJ147" s="62">
        <f t="shared" si="146"/>
        <v>294.51413339056131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4.9658410716801891E-14</v>
      </c>
      <c r="CA147" s="14">
        <f t="shared" si="147"/>
        <v>8.0934058173791862E-13</v>
      </c>
      <c r="CB147" s="22">
        <f t="shared" si="118"/>
        <v>1.4960899118586383E-12</v>
      </c>
      <c r="CC147" s="62">
        <f t="shared" si="119"/>
        <v>287.05533841735797</v>
      </c>
      <c r="CD147" s="62">
        <f ca="1">AVERAGE(OFFSET($CC$3,0,0,'Données projet'!$E$12+1,1))-AVERAGE(OFFSET($H$3,0,0,'Données projet'!$E$12+1,1))</f>
        <v>344.32696811748974</v>
      </c>
      <c r="CE147" s="62">
        <f t="shared" si="148"/>
        <v>411.51927518440766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0.44296144400452336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0.44296144400452336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473.14533251757302</v>
      </c>
      <c r="CZ147" s="62">
        <f t="shared" si="150"/>
        <v>299.82031908667142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0.10170587641066581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0.10170587641066581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89.751456703373435</v>
      </c>
      <c r="DU147" s="62">
        <f t="shared" si="152"/>
        <v>433.35713950666889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6.939302952414387</v>
      </c>
      <c r="EB147" s="23">
        <f>EXP(-LN(2)/25)*EB146+(1-EXP(-LN(2)/25))/(LN(2)/25)*Calculateur!DW147*Calculateur!DY147*VLOOKUP('Données projet'!$B$14,Paramètres!$A$1:$I$89,3,0)*0.475*44/12</f>
        <v>0.75822868091564921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7.6975316333300361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204.71144247550794</v>
      </c>
      <c r="EP147" s="62">
        <f t="shared" si="154"/>
        <v>409.91012463636184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10.3340270429887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1.8456413063906319E-15</v>
      </c>
      <c r="EY147" s="24">
        <f t="shared" si="129"/>
        <v>10.334027042988701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68.287819568369954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2.8000000000000003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10.266666666666667</v>
      </c>
      <c r="H148" s="70">
        <f t="shared" si="110"/>
        <v>188.90666666666664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1.5961632016114892E-13</v>
      </c>
      <c r="P148" s="14">
        <f t="shared" si="141"/>
        <v>2.2708641912150958E-12</v>
      </c>
      <c r="Q148" s="22">
        <f t="shared" si="108"/>
        <v>4.2330868906469593E-12</v>
      </c>
      <c r="R148" s="62">
        <f t="shared" si="109"/>
        <v>287.1642475936589</v>
      </c>
      <c r="S148" s="62">
        <f ca="1">AVERAGE(OFFSET($R$3,0,0,'Données projet'!$E$9+1,1))-AVERAGE(OFFSET($H$3,0,0,'Données projet'!$E$9+1,1))</f>
        <v>349.50936264852089</v>
      </c>
      <c r="T148" s="62">
        <f t="shared" si="142"/>
        <v>260.52733851266106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2">
        <f t="shared" si="113"/>
        <v>287.16424759365788</v>
      </c>
      <c r="AN148" s="62">
        <f ca="1">AVERAGE(OFFSET($AM$3,0,0,'Données projet'!$E$10+1,1))-AVERAGE(OFFSET($H$3,0,0,'Données projet'!$E$10+1,1))</f>
        <v>447.04988989014134</v>
      </c>
      <c r="AO148" s="62">
        <f t="shared" si="144"/>
        <v>278.04061554501783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1.2414602679200469E-13</v>
      </c>
      <c r="BF148" s="14">
        <f t="shared" si="145"/>
        <v>1.8186582995804361E-12</v>
      </c>
      <c r="BG148" s="22">
        <f t="shared" si="115"/>
        <v>3.3837175350986671E-12</v>
      </c>
      <c r="BH148" s="62">
        <f t="shared" si="116"/>
        <v>287.1642475936581</v>
      </c>
      <c r="BI148" s="62">
        <f ca="1">AVERAGE(OFFSET($BH$3,0,0,'Données projet'!$E$11+1,1))-AVERAGE(OFFSET($H$3,0,0,'Données projet'!$E$11+1,1))</f>
        <v>475.58735584427552</v>
      </c>
      <c r="BJ148" s="62">
        <f t="shared" si="146"/>
        <v>294.51413339056131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4.9658410716801891E-14</v>
      </c>
      <c r="CA148" s="14">
        <f t="shared" si="147"/>
        <v>8.0934058173791862E-13</v>
      </c>
      <c r="CB148" s="22">
        <f t="shared" si="118"/>
        <v>1.4960899118586383E-12</v>
      </c>
      <c r="CC148" s="62">
        <f t="shared" si="119"/>
        <v>287.16424759365617</v>
      </c>
      <c r="CD148" s="62">
        <f ca="1">AVERAGE(OFFSET($CC$3,0,0,'Données projet'!$E$12+1,1))-AVERAGE(OFFSET($H$3,0,0,'Données projet'!$E$12+1,1))</f>
        <v>344.32696811748974</v>
      </c>
      <c r="CE148" s="62">
        <f t="shared" si="148"/>
        <v>411.51927518440766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0.43084864002388973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0.43084864002388973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473.14533251757302</v>
      </c>
      <c r="CZ148" s="62">
        <f t="shared" si="150"/>
        <v>299.82031908667142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9.8924723871736564E-2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9.8924723871736564E-2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89.751456703373435</v>
      </c>
      <c r="DU148" s="62">
        <f t="shared" si="152"/>
        <v>433.35713950666889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6.8032274540744115</v>
      </c>
      <c r="EB148" s="23">
        <f>EXP(-LN(2)/25)*EB147+(1-EXP(-LN(2)/25))/(LN(2)/25)*Calculateur!DW148*Calculateur!DY148*VLOOKUP('Données projet'!$B$14,Paramètres!$A$1:$I$89,3,0)*0.475*44/12</f>
        <v>0.73749487776249745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7.5407223318369088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204.71144247550794</v>
      </c>
      <c r="EP148" s="62">
        <f t="shared" si="154"/>
        <v>409.91012463636184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10.131383075809804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1.3050654833868143E-15</v>
      </c>
      <c r="EY148" s="24">
        <f t="shared" si="129"/>
        <v>10.131383075809806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68.317522070996745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2.8000000000000003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10.266666666666667</v>
      </c>
      <c r="H149" s="70">
        <f t="shared" si="110"/>
        <v>188.90666666666664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1.5961632016114892E-13</v>
      </c>
      <c r="P149" s="14">
        <f t="shared" si="141"/>
        <v>2.2708641912150958E-12</v>
      </c>
      <c r="Q149" s="22">
        <f t="shared" si="108"/>
        <v>4.2330868906469593E-12</v>
      </c>
      <c r="R149" s="62">
        <f t="shared" si="109"/>
        <v>287.27126743923287</v>
      </c>
      <c r="S149" s="62">
        <f ca="1">AVERAGE(OFFSET($R$3,0,0,'Données projet'!$E$9+1,1))-AVERAGE(OFFSET($H$3,0,0,'Données projet'!$E$9+1,1))</f>
        <v>349.50936264852089</v>
      </c>
      <c r="T149" s="62">
        <f t="shared" si="142"/>
        <v>260.52733851266106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2">
        <f t="shared" si="113"/>
        <v>287.27126743923185</v>
      </c>
      <c r="AN149" s="62">
        <f ca="1">AVERAGE(OFFSET($AM$3,0,0,'Données projet'!$E$10+1,1))-AVERAGE(OFFSET($H$3,0,0,'Données projet'!$E$10+1,1))</f>
        <v>447.04988989014134</v>
      </c>
      <c r="AO149" s="62">
        <f t="shared" si="144"/>
        <v>278.04061554501783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1.2414602679200469E-13</v>
      </c>
      <c r="BF149" s="14">
        <f t="shared" si="145"/>
        <v>1.8186582995804361E-12</v>
      </c>
      <c r="BG149" s="22">
        <f t="shared" si="115"/>
        <v>3.3837175350986671E-12</v>
      </c>
      <c r="BH149" s="62">
        <f t="shared" si="116"/>
        <v>287.27126743923208</v>
      </c>
      <c r="BI149" s="62">
        <f ca="1">AVERAGE(OFFSET($BH$3,0,0,'Données projet'!$E$11+1,1))-AVERAGE(OFFSET($H$3,0,0,'Données projet'!$E$11+1,1))</f>
        <v>475.58735584427552</v>
      </c>
      <c r="BJ149" s="62">
        <f t="shared" si="146"/>
        <v>294.51413339056131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4.9658410716801891E-14</v>
      </c>
      <c r="CA149" s="14">
        <f t="shared" si="147"/>
        <v>8.0934058173791862E-13</v>
      </c>
      <c r="CB149" s="22">
        <f t="shared" si="118"/>
        <v>1.4960899118586383E-12</v>
      </c>
      <c r="CC149" s="62">
        <f t="shared" si="119"/>
        <v>287.27126743923014</v>
      </c>
      <c r="CD149" s="62">
        <f ca="1">AVERAGE(OFFSET($CC$3,0,0,'Données projet'!$E$12+1,1))-AVERAGE(OFFSET($H$3,0,0,'Données projet'!$E$12+1,1))</f>
        <v>344.32696811748974</v>
      </c>
      <c r="CE149" s="62">
        <f t="shared" si="148"/>
        <v>411.51927518440766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0.41906706130509119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0.41906706130509119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473.14533251757302</v>
      </c>
      <c r="CZ149" s="62">
        <f t="shared" si="150"/>
        <v>299.82031908667142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9.6219622095238794E-2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9.6219622095238794E-2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89.751456703373435</v>
      </c>
      <c r="DU149" s="62">
        <f t="shared" si="152"/>
        <v>433.35713950666889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6.6698203132590246</v>
      </c>
      <c r="EB149" s="23">
        <f>EXP(-LN(2)/25)*EB148+(1-EXP(-LN(2)/25))/(LN(2)/25)*Calculateur!DW149*Calculateur!DY149*VLOOKUP('Données projet'!$B$14,Paramètres!$A$1:$I$89,3,0)*0.475*44/12</f>
        <v>0.71732804154691188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7.3871483548059365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204.71144247550794</v>
      </c>
      <c r="EP149" s="62">
        <f t="shared" si="154"/>
        <v>409.91012463636184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9.9327128332266721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9.2282065319531596E-16</v>
      </c>
      <c r="EY149" s="24">
        <f t="shared" si="129"/>
        <v>9.9327128332266739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68.346709301607817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2.8000000000000003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10.266666666666667</v>
      </c>
      <c r="H150" s="70">
        <f t="shared" si="110"/>
        <v>188.90666666666664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1.5961632016114892E-13</v>
      </c>
      <c r="P150" s="14">
        <f t="shared" si="141"/>
        <v>2.2708641912150958E-12</v>
      </c>
      <c r="Q150" s="22">
        <f t="shared" si="108"/>
        <v>4.2330868906469593E-12</v>
      </c>
      <c r="R150" s="62">
        <f t="shared" si="109"/>
        <v>287.37643072974657</v>
      </c>
      <c r="S150" s="62">
        <f ca="1">AVERAGE(OFFSET($R$3,0,0,'Données projet'!$E$9+1,1))-AVERAGE(OFFSET($H$3,0,0,'Données projet'!$E$9+1,1))</f>
        <v>349.50936264852089</v>
      </c>
      <c r="T150" s="62">
        <f t="shared" si="142"/>
        <v>260.52733851266106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2">
        <f t="shared" si="113"/>
        <v>287.37643072974555</v>
      </c>
      <c r="AN150" s="62">
        <f ca="1">AVERAGE(OFFSET($AM$3,0,0,'Données projet'!$E$10+1,1))-AVERAGE(OFFSET($H$3,0,0,'Données projet'!$E$10+1,1))</f>
        <v>447.04988989014134</v>
      </c>
      <c r="AO150" s="62">
        <f t="shared" si="144"/>
        <v>278.04061554501783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1.2414602679200469E-13</v>
      </c>
      <c r="BF150" s="14">
        <f t="shared" si="145"/>
        <v>1.8186582995804361E-12</v>
      </c>
      <c r="BG150" s="22">
        <f t="shared" si="115"/>
        <v>3.3837175350986671E-12</v>
      </c>
      <c r="BH150" s="62">
        <f t="shared" si="116"/>
        <v>287.37643072974578</v>
      </c>
      <c r="BI150" s="62">
        <f ca="1">AVERAGE(OFFSET($BH$3,0,0,'Données projet'!$E$11+1,1))-AVERAGE(OFFSET($H$3,0,0,'Données projet'!$E$11+1,1))</f>
        <v>475.58735584427552</v>
      </c>
      <c r="BJ150" s="62">
        <f t="shared" si="146"/>
        <v>294.51413339056131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4.9658410716801891E-14</v>
      </c>
      <c r="CA150" s="14">
        <f t="shared" si="147"/>
        <v>8.0934058173791862E-13</v>
      </c>
      <c r="CB150" s="22">
        <f t="shared" si="118"/>
        <v>1.4960899118586383E-12</v>
      </c>
      <c r="CC150" s="62">
        <f t="shared" si="119"/>
        <v>287.37643072974384</v>
      </c>
      <c r="CD150" s="62">
        <f ca="1">AVERAGE(OFFSET($CC$3,0,0,'Données projet'!$E$12+1,1))-AVERAGE(OFFSET($H$3,0,0,'Données projet'!$E$12+1,1))</f>
        <v>344.32696811748974</v>
      </c>
      <c r="CE150" s="62">
        <f t="shared" si="148"/>
        <v>411.51927518440766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0.40760765047592451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0.40760765047592451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473.14533251757302</v>
      </c>
      <c r="CZ150" s="62">
        <f t="shared" si="150"/>
        <v>299.82031908667142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9.358849146907447E-2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9.358849146907447E-2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89.751456703373435</v>
      </c>
      <c r="DU150" s="62">
        <f t="shared" si="152"/>
        <v>433.35713950666889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6.5390292051047059</v>
      </c>
      <c r="EB150" s="23">
        <f>EXP(-LN(2)/25)*EB149+(1-EXP(-LN(2)/25))/(LN(2)/25)*Calculateur!DW150*Calculateur!DY150*VLOOKUP('Données projet'!$B$14,Paramètres!$A$1:$I$89,3,0)*0.475*44/12</f>
        <v>0.69771266852816938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7.2367418736328748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204.71144247550794</v>
      </c>
      <c r="EP150" s="62">
        <f t="shared" si="154"/>
        <v>409.91012463636184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9.7379383929237129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6.5253274169340715E-16</v>
      </c>
      <c r="EY150" s="24">
        <f t="shared" si="129"/>
        <v>9.7379383929237129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68.375390199020643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2.8000000000000003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10.266666666666667</v>
      </c>
      <c r="H151" s="70">
        <f t="shared" si="110"/>
        <v>188.90666666666664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1.5961632016114892E-13</v>
      </c>
      <c r="P151" s="14">
        <f t="shared" si="141"/>
        <v>2.2708641912150958E-12</v>
      </c>
      <c r="Q151" s="22">
        <f t="shared" si="108"/>
        <v>4.2330868906469593E-12</v>
      </c>
      <c r="R151" s="62">
        <f t="shared" si="109"/>
        <v>287.47976967227982</v>
      </c>
      <c r="S151" s="62">
        <f ca="1">AVERAGE(OFFSET($R$3,0,0,'Données projet'!$E$9+1,1))-AVERAGE(OFFSET($H$3,0,0,'Données projet'!$E$9+1,1))</f>
        <v>349.50936264852089</v>
      </c>
      <c r="T151" s="62">
        <f t="shared" si="142"/>
        <v>260.52733851266106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2">
        <f t="shared" si="113"/>
        <v>287.47976967227879</v>
      </c>
      <c r="AN151" s="62">
        <f ca="1">AVERAGE(OFFSET($AM$3,0,0,'Données projet'!$E$10+1,1))-AVERAGE(OFFSET($H$3,0,0,'Données projet'!$E$10+1,1))</f>
        <v>447.04988989014134</v>
      </c>
      <c r="AO151" s="62">
        <f t="shared" si="144"/>
        <v>278.04061554501783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1.2414602679200469E-13</v>
      </c>
      <c r="BF151" s="14">
        <f t="shared" si="145"/>
        <v>1.8186582995804361E-12</v>
      </c>
      <c r="BG151" s="22">
        <f t="shared" si="115"/>
        <v>3.3837175350986671E-12</v>
      </c>
      <c r="BH151" s="62">
        <f t="shared" si="116"/>
        <v>287.47976967227902</v>
      </c>
      <c r="BI151" s="62">
        <f ca="1">AVERAGE(OFFSET($BH$3,0,0,'Données projet'!$E$11+1,1))-AVERAGE(OFFSET($H$3,0,0,'Données projet'!$E$11+1,1))</f>
        <v>475.58735584427552</v>
      </c>
      <c r="BJ151" s="62">
        <f t="shared" si="146"/>
        <v>294.51413339056131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4.9658410716801891E-14</v>
      </c>
      <c r="CA151" s="14">
        <f t="shared" si="147"/>
        <v>8.0934058173791862E-13</v>
      </c>
      <c r="CB151" s="22">
        <f t="shared" si="118"/>
        <v>1.4960899118586383E-12</v>
      </c>
      <c r="CC151" s="62">
        <f t="shared" si="119"/>
        <v>287.47976967227709</v>
      </c>
      <c r="CD151" s="62">
        <f ca="1">AVERAGE(OFFSET($CC$3,0,0,'Données projet'!$E$12+1,1))-AVERAGE(OFFSET($H$3,0,0,'Données projet'!$E$12+1,1))</f>
        <v>344.32696811748974</v>
      </c>
      <c r="CE151" s="62">
        <f t="shared" si="148"/>
        <v>411.51927518440766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0.3964615978385056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0.3964615978385056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473.14533251757302</v>
      </c>
      <c r="CZ151" s="62">
        <f t="shared" si="150"/>
        <v>299.82031908667142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9.1029309248247758E-2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9.1029309248247758E-2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89.751456703373435</v>
      </c>
      <c r="DU151" s="62">
        <f t="shared" si="152"/>
        <v>433.35713950666889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6.4108028308065945</v>
      </c>
      <c r="EB151" s="23">
        <f>EXP(-LN(2)/25)*EB150+(1-EXP(-LN(2)/25))/(LN(2)/25)*Calculateur!DW151*Calculateur!DY151*VLOOKUP('Données projet'!$B$14,Paramètres!$A$1:$I$89,3,0)*0.475*44/12</f>
        <v>0.67863367891615201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7.0894365097227467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204.71144247550794</v>
      </c>
      <c r="EP151" s="62">
        <f t="shared" si="154"/>
        <v>409.91012463636184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9.5469833605944157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4.6141032659765798E-16</v>
      </c>
      <c r="EY151" s="24">
        <f t="shared" si="129"/>
        <v>9.5469833605944157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68.403573546984248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2.8000000000000003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10.266666666666667</v>
      </c>
      <c r="H152" s="70">
        <f t="shared" si="110"/>
        <v>188.90666666666664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1.5961632016114892E-13</v>
      </c>
      <c r="P152" s="14">
        <f t="shared" si="141"/>
        <v>2.2708641912150958E-12</v>
      </c>
      <c r="Q152" s="22">
        <f t="shared" si="108"/>
        <v>4.2330868906469593E-12</v>
      </c>
      <c r="R152" s="62">
        <f t="shared" si="109"/>
        <v>287.58131591519128</v>
      </c>
      <c r="S152" s="62">
        <f ca="1">AVERAGE(OFFSET($R$3,0,0,'Données projet'!$E$9+1,1))-AVERAGE(OFFSET($H$3,0,0,'Données projet'!$E$9+1,1))</f>
        <v>349.50936264852089</v>
      </c>
      <c r="T152" s="62">
        <f t="shared" si="142"/>
        <v>260.52733851266106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2">
        <f t="shared" si="113"/>
        <v>287.58131591519026</v>
      </c>
      <c r="AN152" s="62">
        <f ca="1">AVERAGE(OFFSET($AM$3,0,0,'Données projet'!$E$10+1,1))-AVERAGE(OFFSET($H$3,0,0,'Données projet'!$E$10+1,1))</f>
        <v>447.04988989014134</v>
      </c>
      <c r="AO152" s="62">
        <f t="shared" si="144"/>
        <v>278.04061554501783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1.2414602679200469E-13</v>
      </c>
      <c r="BF152" s="14">
        <f t="shared" si="145"/>
        <v>1.8186582995804361E-12</v>
      </c>
      <c r="BG152" s="22">
        <f t="shared" si="115"/>
        <v>3.3837175350986671E-12</v>
      </c>
      <c r="BH152" s="62">
        <f t="shared" si="116"/>
        <v>287.58131591519049</v>
      </c>
      <c r="BI152" s="62">
        <f ca="1">AVERAGE(OFFSET($BH$3,0,0,'Données projet'!$E$11+1,1))-AVERAGE(OFFSET($H$3,0,0,'Données projet'!$E$11+1,1))</f>
        <v>475.58735584427552</v>
      </c>
      <c r="BJ152" s="62">
        <f t="shared" si="146"/>
        <v>294.51413339056131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4.9658410716801891E-14</v>
      </c>
      <c r="CA152" s="14">
        <f t="shared" si="147"/>
        <v>8.0934058173791862E-13</v>
      </c>
      <c r="CB152" s="22">
        <f t="shared" si="118"/>
        <v>1.4960899118586383E-12</v>
      </c>
      <c r="CC152" s="62">
        <f t="shared" si="119"/>
        <v>287.58131591518855</v>
      </c>
      <c r="CD152" s="62">
        <f ca="1">AVERAGE(OFFSET($CC$3,0,0,'Données projet'!$E$12+1,1))-AVERAGE(OFFSET($H$3,0,0,'Données projet'!$E$12+1,1))</f>
        <v>344.32696811748974</v>
      </c>
      <c r="CE152" s="62">
        <f t="shared" si="148"/>
        <v>411.51927518440766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0.38562033459660233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0.38562033459660233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473.14533251757302</v>
      </c>
      <c r="CZ152" s="62">
        <f t="shared" si="150"/>
        <v>299.82031908667142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8.85401079998311E-2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8.85401079998311E-2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89.751456703373435</v>
      </c>
      <c r="DU152" s="62">
        <f t="shared" si="152"/>
        <v>433.35713950666889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6.2850908974981037</v>
      </c>
      <c r="EB152" s="23">
        <f>EXP(-LN(2)/25)*EB151+(1-EXP(-LN(2)/25))/(LN(2)/25)*Calculateur!DW152*Calculateur!DY152*VLOOKUP('Données projet'!$B$14,Paramètres!$A$1:$I$89,3,0)*0.475*44/12</f>
        <v>0.66007640527839573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6.9451673027764995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204.71144247550794</v>
      </c>
      <c r="EP152" s="62">
        <f t="shared" si="154"/>
        <v>409.91012463636184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9.359772839978028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3.2626637084670358E-16</v>
      </c>
      <c r="EY152" s="24">
        <f t="shared" si="129"/>
        <v>9.359772839978028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68.431267976869208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2.8000000000000003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10.266666666666667</v>
      </c>
      <c r="H153" s="70">
        <f t="shared" si="110"/>
        <v>188.90666666666664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1.5961632016114892E-13</v>
      </c>
      <c r="P153" s="14">
        <f t="shared" si="141"/>
        <v>2.2708641912150958E-12</v>
      </c>
      <c r="Q153" s="22">
        <f t="shared" si="108"/>
        <v>4.2330868906469593E-12</v>
      </c>
      <c r="R153" s="62">
        <f t="shared" si="109"/>
        <v>287.6811005578117</v>
      </c>
      <c r="S153" s="62">
        <f ca="1">AVERAGE(OFFSET($R$3,0,0,'Données projet'!$E$9+1,1))-AVERAGE(OFFSET($H$3,0,0,'Données projet'!$E$9+1,1))</f>
        <v>349.50936264852089</v>
      </c>
      <c r="T153" s="62">
        <f t="shared" si="142"/>
        <v>260.52733851266106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2">
        <f t="shared" si="113"/>
        <v>287.68110055781068</v>
      </c>
      <c r="AN153" s="62">
        <f ca="1">AVERAGE(OFFSET($AM$3,0,0,'Données projet'!$E$10+1,1))-AVERAGE(OFFSET($H$3,0,0,'Données projet'!$E$10+1,1))</f>
        <v>447.04988989014134</v>
      </c>
      <c r="AO153" s="62">
        <f t="shared" si="144"/>
        <v>278.04061554501783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1.2414602679200469E-13</v>
      </c>
      <c r="BF153" s="14">
        <f t="shared" si="145"/>
        <v>1.8186582995804361E-12</v>
      </c>
      <c r="BG153" s="22">
        <f t="shared" si="115"/>
        <v>3.3837175350986671E-12</v>
      </c>
      <c r="BH153" s="62">
        <f t="shared" si="116"/>
        <v>287.68110055781091</v>
      </c>
      <c r="BI153" s="62">
        <f ca="1">AVERAGE(OFFSET($BH$3,0,0,'Données projet'!$E$11+1,1))-AVERAGE(OFFSET($H$3,0,0,'Données projet'!$E$11+1,1))</f>
        <v>475.58735584427552</v>
      </c>
      <c r="BJ153" s="62">
        <f t="shared" si="146"/>
        <v>294.51413339056131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4.9658410716801891E-14</v>
      </c>
      <c r="CA153" s="14">
        <f t="shared" si="147"/>
        <v>8.0934058173791862E-13</v>
      </c>
      <c r="CB153" s="22">
        <f t="shared" si="118"/>
        <v>1.4960899118586383E-12</v>
      </c>
      <c r="CC153" s="62">
        <f t="shared" si="119"/>
        <v>287.68110055780897</v>
      </c>
      <c r="CD153" s="62">
        <f ca="1">AVERAGE(OFFSET($CC$3,0,0,'Données projet'!$E$12+1,1))-AVERAGE(OFFSET($H$3,0,0,'Données projet'!$E$12+1,1))</f>
        <v>344.32696811748974</v>
      </c>
      <c r="CE153" s="62">
        <f t="shared" si="148"/>
        <v>411.51927518440766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0.3750755262681662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0.3750755262681662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473.14533251757302</v>
      </c>
      <c r="CZ153" s="62">
        <f t="shared" si="150"/>
        <v>299.82031908667142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8.6118974090453798E-2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8.6118974090453798E-2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89.751456703373435</v>
      </c>
      <c r="DU153" s="62">
        <f t="shared" si="152"/>
        <v>433.35713950666889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6.1618440985250844</v>
      </c>
      <c r="EB153" s="23">
        <f>EXP(-LN(2)/25)*EB152+(1-EXP(-LN(2)/25))/(LN(2)/25)*Calculateur!DW153*Calculateur!DY153*VLOOKUP('Données projet'!$B$14,Paramètres!$A$1:$I$89,3,0)*0.475*44/12</f>
        <v>0.64202658126414847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6.8038706797892328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204.71144247550794</v>
      </c>
      <c r="EP153" s="62">
        <f t="shared" si="154"/>
        <v>409.91012463636184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9.1762334034837849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2.3070516329882899E-16</v>
      </c>
      <c r="EY153" s="24">
        <f t="shared" si="129"/>
        <v>9.1762334034837849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68.458481970311141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2.8000000000000003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10.266666666666667</v>
      </c>
      <c r="H154" s="70">
        <f t="shared" si="110"/>
        <v>188.90666666666664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1.5961632016114892E-13</v>
      </c>
      <c r="P154" s="14">
        <f t="shared" si="141"/>
        <v>2.2708641912150958E-12</v>
      </c>
      <c r="Q154" s="22">
        <f t="shared" ref="Q154:Q203" si="162">(O154+P154)*0.475*44/12</f>
        <v>4.2330868906469593E-12</v>
      </c>
      <c r="R154" s="62">
        <f t="shared" si="109"/>
        <v>287.77915415996767</v>
      </c>
      <c r="S154" s="62">
        <f ca="1">AVERAGE(OFFSET($R$3,0,0,'Données projet'!$E$9+1,1))-AVERAGE(OFFSET($H$3,0,0,'Données projet'!$E$9+1,1))</f>
        <v>349.50936264852089</v>
      </c>
      <c r="T154" s="62">
        <f t="shared" si="142"/>
        <v>260.52733851266106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2">
        <f t="shared" si="113"/>
        <v>287.77915415996665</v>
      </c>
      <c r="AN154" s="62">
        <f ca="1">AVERAGE(OFFSET($AM$3,0,0,'Données projet'!$E$10+1,1))-AVERAGE(OFFSET($H$3,0,0,'Données projet'!$E$10+1,1))</f>
        <v>447.04988989014134</v>
      </c>
      <c r="AO154" s="62">
        <f t="shared" si="144"/>
        <v>278.04061554501783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1.2414602679200469E-13</v>
      </c>
      <c r="BF154" s="14">
        <f t="shared" ref="BF154:BF203" si="167">EXP(-1.0587+0.8836*LN(BE154)+0.284)</f>
        <v>1.8186582995804361E-12</v>
      </c>
      <c r="BG154" s="22">
        <f t="shared" ref="BG154:BG203" si="168">(BE154+BF154)*0.475*44/12</f>
        <v>3.3837175350986671E-12</v>
      </c>
      <c r="BH154" s="62">
        <f t="shared" si="116"/>
        <v>287.77915415996688</v>
      </c>
      <c r="BI154" s="62">
        <f ca="1">AVERAGE(OFFSET($BH$3,0,0,'Données projet'!$E$11+1,1))-AVERAGE(OFFSET($H$3,0,0,'Données projet'!$E$11+1,1))</f>
        <v>475.58735584427552</v>
      </c>
      <c r="BJ154" s="62">
        <f t="shared" si="146"/>
        <v>294.51413339056131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4.9658410716801891E-14</v>
      </c>
      <c r="CA154" s="14">
        <f t="shared" ref="CA154:CA203" si="170">EXP(-1.0587+0.8836*LN(BZ154)+0.284)</f>
        <v>8.0934058173791862E-13</v>
      </c>
      <c r="CB154" s="22">
        <f t="shared" ref="CB154:CB203" si="171">(BZ154+CA154)*0.475*44/12</f>
        <v>1.4960899118586383E-12</v>
      </c>
      <c r="CC154" s="62">
        <f t="shared" si="119"/>
        <v>287.77915415996495</v>
      </c>
      <c r="CD154" s="62">
        <f ca="1">AVERAGE(OFFSET($CC$3,0,0,'Données projet'!$E$12+1,1))-AVERAGE(OFFSET($H$3,0,0,'Données projet'!$E$12+1,1))</f>
        <v>344.32696811748974</v>
      </c>
      <c r="CE154" s="62">
        <f t="shared" si="148"/>
        <v>411.51927518440766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0.36481906627799854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0.36481906627799854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473.14533251757302</v>
      </c>
      <c r="CZ154" s="62">
        <f t="shared" si="150"/>
        <v>299.82031908667142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8.3764046215150323E-2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8.3764046215150323E-2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89.751456703373435</v>
      </c>
      <c r="DU154" s="62">
        <f t="shared" si="152"/>
        <v>433.35713950666889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6.0410140941068011</v>
      </c>
      <c r="EB154" s="23">
        <f>EXP(-LN(2)/25)*EB153+(1-EXP(-LN(2)/25))/(LN(2)/25)*Calculateur!DW154*Calculateur!DY154*VLOOKUP('Données projet'!$B$14,Paramètres!$A$1:$I$89,3,0)*0.475*44/12</f>
        <v>0.62447033063676982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6.6654844247435712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204.71144247550794</v>
      </c>
      <c r="EP154" s="62">
        <f t="shared" si="154"/>
        <v>409.91012463636184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8.9962930633911906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1.6313318542335179E-16</v>
      </c>
      <c r="EY154" s="24">
        <f t="shared" ref="EY154:EY203" si="181">SUM(EV154:EX154)</f>
        <v>8.9962930633911906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68.485223861808223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2.8000000000000003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10.266666666666667</v>
      </c>
      <c r="H155" s="70">
        <f t="shared" si="110"/>
        <v>188.90666666666664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1.5961632016114892E-13</v>
      </c>
      <c r="P155" s="14">
        <f t="shared" si="141"/>
        <v>2.2708641912150958E-12</v>
      </c>
      <c r="Q155" s="22">
        <f t="shared" si="162"/>
        <v>4.2330868906469593E-12</v>
      </c>
      <c r="R155" s="62">
        <f t="shared" si="109"/>
        <v>287.87550675134128</v>
      </c>
      <c r="S155" s="62">
        <f ca="1">AVERAGE(OFFSET($R$3,0,0,'Données projet'!$E$9+1,1))-AVERAGE(OFFSET($H$3,0,0,'Données projet'!$E$9+1,1))</f>
        <v>349.50936264852089</v>
      </c>
      <c r="T155" s="62">
        <f t="shared" si="142"/>
        <v>260.52733851266106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2">
        <f t="shared" si="113"/>
        <v>287.87550675134025</v>
      </c>
      <c r="AN155" s="62">
        <f ca="1">AVERAGE(OFFSET($AM$3,0,0,'Données projet'!$E$10+1,1))-AVERAGE(OFFSET($H$3,0,0,'Données projet'!$E$10+1,1))</f>
        <v>447.04988989014134</v>
      </c>
      <c r="AO155" s="62">
        <f t="shared" si="144"/>
        <v>278.04061554501783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1.2414602679200469E-13</v>
      </c>
      <c r="BF155" s="14">
        <f t="shared" si="167"/>
        <v>1.8186582995804361E-12</v>
      </c>
      <c r="BG155" s="22">
        <f t="shared" si="168"/>
        <v>3.3837175350986671E-12</v>
      </c>
      <c r="BH155" s="62">
        <f t="shared" si="116"/>
        <v>287.87550675134048</v>
      </c>
      <c r="BI155" s="62">
        <f ca="1">AVERAGE(OFFSET($BH$3,0,0,'Données projet'!$E$11+1,1))-AVERAGE(OFFSET($H$3,0,0,'Données projet'!$E$11+1,1))</f>
        <v>475.58735584427552</v>
      </c>
      <c r="BJ155" s="62">
        <f t="shared" si="146"/>
        <v>294.51413339056131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4.9658410716801891E-14</v>
      </c>
      <c r="CA155" s="14">
        <f t="shared" si="170"/>
        <v>8.0934058173791862E-13</v>
      </c>
      <c r="CB155" s="22">
        <f t="shared" si="171"/>
        <v>1.4960899118586383E-12</v>
      </c>
      <c r="CC155" s="62">
        <f t="shared" si="119"/>
        <v>287.87550675133855</v>
      </c>
      <c r="CD155" s="62">
        <f ca="1">AVERAGE(OFFSET($CC$3,0,0,'Données projet'!$E$12+1,1))-AVERAGE(OFFSET($H$3,0,0,'Données projet'!$E$12+1,1))</f>
        <v>344.32696811748974</v>
      </c>
      <c r="CE155" s="62">
        <f t="shared" si="148"/>
        <v>411.51927518440766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0.35484306972562579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0.35484306972562579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473.14533251757302</v>
      </c>
      <c r="CZ155" s="62">
        <f t="shared" si="150"/>
        <v>299.82031908667142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8.1473513966437289E-2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8.1473513966437289E-2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89.751456703373435</v>
      </c>
      <c r="DU155" s="62">
        <f t="shared" si="152"/>
        <v>433.35713950666889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5.9225534923761352</v>
      </c>
      <c r="EB155" s="23">
        <f>EXP(-LN(2)/25)*EB154+(1-EXP(-LN(2)/25))/(LN(2)/25)*Calculateur!DW155*Calculateur!DY155*VLOOKUP('Données projet'!$B$14,Paramètres!$A$1:$I$89,3,0)*0.475*44/12</f>
        <v>0.6073941566060399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6.5299476489821746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204.71144247550794</v>
      </c>
      <c r="EP155" s="62">
        <f t="shared" si="154"/>
        <v>409.91012463636184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8.8198812436150416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1.153525816494145E-16</v>
      </c>
      <c r="EY155" s="24">
        <f t="shared" si="181"/>
        <v>8.8198812436150416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68.511501841273741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2.8000000000000003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10.266666666666667</v>
      </c>
      <c r="H156" s="70">
        <f t="shared" si="110"/>
        <v>188.90666666666664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1.5961632016114892E-13</v>
      </c>
      <c r="P156" s="14">
        <f t="shared" si="141"/>
        <v>2.2708641912150958E-12</v>
      </c>
      <c r="Q156" s="22">
        <f t="shared" si="162"/>
        <v>4.2330868906469593E-12</v>
      </c>
      <c r="R156" s="62">
        <f t="shared" si="109"/>
        <v>287.97018784066665</v>
      </c>
      <c r="S156" s="62">
        <f ca="1">AVERAGE(OFFSET($R$3,0,0,'Données projet'!$E$9+1,1))-AVERAGE(OFFSET($H$3,0,0,'Données projet'!$E$9+1,1))</f>
        <v>349.50936264852089</v>
      </c>
      <c r="T156" s="62">
        <f t="shared" si="142"/>
        <v>260.52733851266106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2">
        <f t="shared" si="113"/>
        <v>287.97018784066563</v>
      </c>
      <c r="AN156" s="62">
        <f ca="1">AVERAGE(OFFSET($AM$3,0,0,'Données projet'!$E$10+1,1))-AVERAGE(OFFSET($H$3,0,0,'Données projet'!$E$10+1,1))</f>
        <v>447.04988989014134</v>
      </c>
      <c r="AO156" s="62">
        <f t="shared" si="144"/>
        <v>278.04061554501783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1.2414602679200469E-13</v>
      </c>
      <c r="BF156" s="14">
        <f t="shared" si="167"/>
        <v>1.8186582995804361E-12</v>
      </c>
      <c r="BG156" s="22">
        <f t="shared" si="168"/>
        <v>3.3837175350986671E-12</v>
      </c>
      <c r="BH156" s="62">
        <f t="shared" si="116"/>
        <v>287.97018784066586</v>
      </c>
      <c r="BI156" s="62">
        <f ca="1">AVERAGE(OFFSET($BH$3,0,0,'Données projet'!$E$11+1,1))-AVERAGE(OFFSET($H$3,0,0,'Données projet'!$E$11+1,1))</f>
        <v>475.58735584427552</v>
      </c>
      <c r="BJ156" s="62">
        <f t="shared" si="146"/>
        <v>294.51413339056131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4.9658410716801891E-14</v>
      </c>
      <c r="CA156" s="14">
        <f t="shared" si="170"/>
        <v>8.0934058173791862E-13</v>
      </c>
      <c r="CB156" s="22">
        <f t="shared" si="171"/>
        <v>1.4960899118586383E-12</v>
      </c>
      <c r="CC156" s="62">
        <f t="shared" si="119"/>
        <v>287.97018784066393</v>
      </c>
      <c r="CD156" s="62">
        <f ca="1">AVERAGE(OFFSET($CC$3,0,0,'Données projet'!$E$12+1,1))-AVERAGE(OFFSET($H$3,0,0,'Données projet'!$E$12+1,1))</f>
        <v>344.32696811748974</v>
      </c>
      <c r="CE156" s="62">
        <f t="shared" si="148"/>
        <v>411.51927518440766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0.34513986732359253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0.34513986732359253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473.14533251757302</v>
      </c>
      <c r="CZ156" s="62">
        <f t="shared" si="150"/>
        <v>299.82031908667142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7.9245616442519165E-2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7.9245616442519165E-2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89.751456703373435</v>
      </c>
      <c r="DU156" s="62">
        <f t="shared" si="152"/>
        <v>433.35713950666889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5.8064158307915745</v>
      </c>
      <c r="EB156" s="23">
        <f>EXP(-LN(2)/25)*EB155+(1-EXP(-LN(2)/25))/(LN(2)/25)*Calculateur!DW156*Calculateur!DY156*VLOOKUP('Données projet'!$B$14,Paramètres!$A$1:$I$89,3,0)*0.475*44/12</f>
        <v>0.59078493145217725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6.3972007622437514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204.71144247550794</v>
      </c>
      <c r="EP156" s="62">
        <f t="shared" si="154"/>
        <v>409.91012463636184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8.6469287520241185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8.1566592711675894E-17</v>
      </c>
      <c r="EY156" s="24">
        <f t="shared" si="181"/>
        <v>8.6469287520241185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68.537323956544299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2.8000000000000003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10.266666666666667</v>
      </c>
      <c r="H157" s="70">
        <f t="shared" si="110"/>
        <v>188.90666666666664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1.5961632016114892E-13</v>
      </c>
      <c r="P157" s="14">
        <f t="shared" si="141"/>
        <v>2.2708641912150958E-12</v>
      </c>
      <c r="Q157" s="22">
        <f t="shared" si="162"/>
        <v>4.2330868906469593E-12</v>
      </c>
      <c r="R157" s="62">
        <f t="shared" si="109"/>
        <v>288.06322642476738</v>
      </c>
      <c r="S157" s="62">
        <f ca="1">AVERAGE(OFFSET($R$3,0,0,'Données projet'!$E$9+1,1))-AVERAGE(OFFSET($H$3,0,0,'Données projet'!$E$9+1,1))</f>
        <v>349.50936264852089</v>
      </c>
      <c r="T157" s="62">
        <f t="shared" si="142"/>
        <v>260.52733851266106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2">
        <f t="shared" si="113"/>
        <v>288.06322642476636</v>
      </c>
      <c r="AN157" s="62">
        <f ca="1">AVERAGE(OFFSET($AM$3,0,0,'Données projet'!$E$10+1,1))-AVERAGE(OFFSET($H$3,0,0,'Données projet'!$E$10+1,1))</f>
        <v>447.04988989014134</v>
      </c>
      <c r="AO157" s="62">
        <f t="shared" si="144"/>
        <v>278.04061554501783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1.2414602679200469E-13</v>
      </c>
      <c r="BF157" s="14">
        <f t="shared" si="167"/>
        <v>1.8186582995804361E-12</v>
      </c>
      <c r="BG157" s="22">
        <f t="shared" si="168"/>
        <v>3.3837175350986671E-12</v>
      </c>
      <c r="BH157" s="62">
        <f t="shared" si="116"/>
        <v>288.06322642476658</v>
      </c>
      <c r="BI157" s="62">
        <f ca="1">AVERAGE(OFFSET($BH$3,0,0,'Données projet'!$E$11+1,1))-AVERAGE(OFFSET($H$3,0,0,'Données projet'!$E$11+1,1))</f>
        <v>475.58735584427552</v>
      </c>
      <c r="BJ157" s="62">
        <f t="shared" si="146"/>
        <v>294.51413339056131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4.9658410716801891E-14</v>
      </c>
      <c r="CA157" s="14">
        <f t="shared" si="170"/>
        <v>8.0934058173791862E-13</v>
      </c>
      <c r="CB157" s="22">
        <f t="shared" si="171"/>
        <v>1.4960899118586383E-12</v>
      </c>
      <c r="CC157" s="62">
        <f t="shared" si="119"/>
        <v>288.06322642476465</v>
      </c>
      <c r="CD157" s="62">
        <f ca="1">AVERAGE(OFFSET($CC$3,0,0,'Données projet'!$E$12+1,1))-AVERAGE(OFFSET($H$3,0,0,'Données projet'!$E$12+1,1))</f>
        <v>344.32696811748974</v>
      </c>
      <c r="CE157" s="62">
        <f t="shared" si="148"/>
        <v>411.51927518440766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0.33570199950151208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0.33570199950151208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473.14533251757302</v>
      </c>
      <c r="CZ157" s="62">
        <f t="shared" si="150"/>
        <v>299.82031908667142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7.7078640893552625E-2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7.7078640893552625E-2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89.751456703373435</v>
      </c>
      <c r="DU157" s="62">
        <f t="shared" si="152"/>
        <v>433.35713950666889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5.6925555579137077</v>
      </c>
      <c r="EB157" s="23">
        <f>EXP(-LN(2)/25)*EB156+(1-EXP(-LN(2)/25))/(LN(2)/25)*Calculateur!DW157*Calculateur!DY157*VLOOKUP('Données projet'!$B$14,Paramètres!$A$1:$I$89,3,0)*0.475*44/12</f>
        <v>0.57462988643358814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6.2671854443472963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204.71144247550794</v>
      </c>
      <c r="EP157" s="62">
        <f t="shared" si="154"/>
        <v>409.91012463636184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8.4773677533026888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5.7676290824707248E-17</v>
      </c>
      <c r="EY157" s="24">
        <f t="shared" si="181"/>
        <v>8.4773677533026888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68.562698115844512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2.8000000000000003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10.266666666666667</v>
      </c>
      <c r="H158" s="70">
        <f t="shared" si="110"/>
        <v>188.90666666666664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1.5961632016114892E-13</v>
      </c>
      <c r="P158" s="14">
        <f t="shared" si="141"/>
        <v>2.2708641912150958E-12</v>
      </c>
      <c r="Q158" s="22">
        <f t="shared" si="162"/>
        <v>4.2330868906469593E-12</v>
      </c>
      <c r="R158" s="62">
        <f t="shared" si="109"/>
        <v>288.15465099743716</v>
      </c>
      <c r="S158" s="62">
        <f ca="1">AVERAGE(OFFSET($R$3,0,0,'Données projet'!$E$9+1,1))-AVERAGE(OFFSET($H$3,0,0,'Données projet'!$E$9+1,1))</f>
        <v>349.50936264852089</v>
      </c>
      <c r="T158" s="62">
        <f t="shared" si="142"/>
        <v>260.52733851266106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2">
        <f t="shared" si="113"/>
        <v>288.15465099743614</v>
      </c>
      <c r="AN158" s="62">
        <f ca="1">AVERAGE(OFFSET($AM$3,0,0,'Données projet'!$E$10+1,1))-AVERAGE(OFFSET($H$3,0,0,'Données projet'!$E$10+1,1))</f>
        <v>447.04988989014134</v>
      </c>
      <c r="AO158" s="62">
        <f t="shared" si="144"/>
        <v>278.04061554501783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1.2414602679200469E-13</v>
      </c>
      <c r="BF158" s="14">
        <f t="shared" si="167"/>
        <v>1.8186582995804361E-12</v>
      </c>
      <c r="BG158" s="22">
        <f t="shared" si="168"/>
        <v>3.3837175350986671E-12</v>
      </c>
      <c r="BH158" s="62">
        <f t="shared" si="116"/>
        <v>288.15465099743636</v>
      </c>
      <c r="BI158" s="62">
        <f ca="1">AVERAGE(OFFSET($BH$3,0,0,'Données projet'!$E$11+1,1))-AVERAGE(OFFSET($H$3,0,0,'Données projet'!$E$11+1,1))</f>
        <v>475.58735584427552</v>
      </c>
      <c r="BJ158" s="62">
        <f t="shared" si="146"/>
        <v>294.51413339056131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4.9658410716801891E-14</v>
      </c>
      <c r="CA158" s="14">
        <f t="shared" si="170"/>
        <v>8.0934058173791862E-13</v>
      </c>
      <c r="CB158" s="22">
        <f t="shared" si="171"/>
        <v>1.4960899118586383E-12</v>
      </c>
      <c r="CC158" s="62">
        <f t="shared" si="119"/>
        <v>288.15465099743443</v>
      </c>
      <c r="CD158" s="62">
        <f ca="1">AVERAGE(OFFSET($CC$3,0,0,'Données projet'!$E$12+1,1))-AVERAGE(OFFSET($H$3,0,0,'Données projet'!$E$12+1,1))</f>
        <v>344.32696811748974</v>
      </c>
      <c r="CE158" s="62">
        <f t="shared" si="148"/>
        <v>411.51927518440766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0.32652221067134235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0.32652221067134235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473.14533251757302</v>
      </c>
      <c r="CZ158" s="62">
        <f t="shared" si="150"/>
        <v>299.82031908667142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7.4970921404928864E-2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7.4970921404928864E-2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89.751456703373435</v>
      </c>
      <c r="DU158" s="62">
        <f t="shared" si="152"/>
        <v>433.35713950666889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5.580928015539067</v>
      </c>
      <c r="EB158" s="23">
        <f>EXP(-LN(2)/25)*EB157+(1-EXP(-LN(2)/25))/(LN(2)/25)*Calculateur!DW158*Calculateur!DY158*VLOOKUP('Données projet'!$B$14,Paramètres!$A$1:$I$89,3,0)*0.475*44/12</f>
        <v>0.55891660197058923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6.1398446175096559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204.71144247550794</v>
      </c>
      <c r="EP158" s="62">
        <f t="shared" si="154"/>
        <v>409.91012463636184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8.3111317423441893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4.0783296355837947E-17</v>
      </c>
      <c r="EY158" s="24">
        <f t="shared" si="181"/>
        <v>8.3111317423441893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68.587632090208984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2.8000000000000003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10.266666666666667</v>
      </c>
      <c r="H159" s="70">
        <f t="shared" si="110"/>
        <v>188.90666666666664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1.5961632016114892E-13</v>
      </c>
      <c r="P159" s="14">
        <f t="shared" si="141"/>
        <v>2.2708641912150958E-12</v>
      </c>
      <c r="Q159" s="22">
        <f t="shared" si="162"/>
        <v>4.2330868906469593E-12</v>
      </c>
      <c r="R159" s="62">
        <f t="shared" si="109"/>
        <v>288.24448955816581</v>
      </c>
      <c r="S159" s="62">
        <f ca="1">AVERAGE(OFFSET($R$3,0,0,'Données projet'!$E$9+1,1))-AVERAGE(OFFSET($H$3,0,0,'Données projet'!$E$9+1,1))</f>
        <v>349.50936264852089</v>
      </c>
      <c r="T159" s="62">
        <f t="shared" si="142"/>
        <v>260.52733851266106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2">
        <f t="shared" si="113"/>
        <v>288.24448955816479</v>
      </c>
      <c r="AN159" s="62">
        <f ca="1">AVERAGE(OFFSET($AM$3,0,0,'Données projet'!$E$10+1,1))-AVERAGE(OFFSET($H$3,0,0,'Données projet'!$E$10+1,1))</f>
        <v>447.04988989014134</v>
      </c>
      <c r="AO159" s="62">
        <f t="shared" si="144"/>
        <v>278.04061554501783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1.2414602679200469E-13</v>
      </c>
      <c r="BF159" s="14">
        <f t="shared" si="167"/>
        <v>1.8186582995804361E-12</v>
      </c>
      <c r="BG159" s="22">
        <f t="shared" si="168"/>
        <v>3.3837175350986671E-12</v>
      </c>
      <c r="BH159" s="62">
        <f t="shared" si="116"/>
        <v>288.24448955816501</v>
      </c>
      <c r="BI159" s="62">
        <f ca="1">AVERAGE(OFFSET($BH$3,0,0,'Données projet'!$E$11+1,1))-AVERAGE(OFFSET($H$3,0,0,'Données projet'!$E$11+1,1))</f>
        <v>475.58735584427552</v>
      </c>
      <c r="BJ159" s="62">
        <f t="shared" si="146"/>
        <v>294.51413339056131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4.9658410716801891E-14</v>
      </c>
      <c r="CA159" s="14">
        <f t="shared" si="170"/>
        <v>8.0934058173791862E-13</v>
      </c>
      <c r="CB159" s="22">
        <f t="shared" si="171"/>
        <v>1.4960899118586383E-12</v>
      </c>
      <c r="CC159" s="62">
        <f t="shared" si="119"/>
        <v>288.24448955816308</v>
      </c>
      <c r="CD159" s="62">
        <f ca="1">AVERAGE(OFFSET($CC$3,0,0,'Données projet'!$E$12+1,1))-AVERAGE(OFFSET($H$3,0,0,'Données projet'!$E$12+1,1))</f>
        <v>344.32696811748974</v>
      </c>
      <c r="CE159" s="62">
        <f t="shared" si="148"/>
        <v>411.51927518440766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0.31759344364947772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0.31759344364947772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473.14533251757302</v>
      </c>
      <c r="CZ159" s="62">
        <f t="shared" si="150"/>
        <v>299.82031908667142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7.2920837616561679E-2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7.2920837616561679E-2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89.751456703373435</v>
      </c>
      <c r="DU159" s="62">
        <f t="shared" si="152"/>
        <v>433.35713950666889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5.471489421184315</v>
      </c>
      <c r="EB159" s="23">
        <f>EXP(-LN(2)/25)*EB158+(1-EXP(-LN(2)/25))/(LN(2)/25)*Calculateur!DW159*Calculateur!DY159*VLOOKUP('Données projet'!$B$14,Paramètres!$A$1:$I$89,3,0)*0.475*44/12</f>
        <v>0.54363299809755683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6.0151224192818722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204.71144247550794</v>
      </c>
      <c r="EP159" s="62">
        <f t="shared" si="154"/>
        <v>409.91012463636184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8.1481555181666323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2.8838145412353624E-17</v>
      </c>
      <c r="EY159" s="24">
        <f t="shared" si="181"/>
        <v>8.1481555181666323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68.612133515862254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2.8000000000000003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10.266666666666667</v>
      </c>
      <c r="H160" s="70">
        <f t="shared" si="110"/>
        <v>188.90666666666664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1.5961632016114892E-13</v>
      </c>
      <c r="P160" s="14">
        <f t="shared" si="141"/>
        <v>2.2708641912150958E-12</v>
      </c>
      <c r="Q160" s="22">
        <f t="shared" si="162"/>
        <v>4.2330868906469593E-12</v>
      </c>
      <c r="R160" s="62">
        <f t="shared" si="109"/>
        <v>288.33276962071471</v>
      </c>
      <c r="S160" s="62">
        <f ca="1">AVERAGE(OFFSET($R$3,0,0,'Données projet'!$E$9+1,1))-AVERAGE(OFFSET($H$3,0,0,'Données projet'!$E$9+1,1))</f>
        <v>349.50936264852089</v>
      </c>
      <c r="T160" s="62">
        <f t="shared" si="142"/>
        <v>260.52733851266106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2">
        <f t="shared" si="113"/>
        <v>288.33276962071369</v>
      </c>
      <c r="AN160" s="62">
        <f ca="1">AVERAGE(OFFSET($AM$3,0,0,'Données projet'!$E$10+1,1))-AVERAGE(OFFSET($H$3,0,0,'Données projet'!$E$10+1,1))</f>
        <v>447.04988989014134</v>
      </c>
      <c r="AO160" s="62">
        <f t="shared" si="144"/>
        <v>278.04061554501783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1.2414602679200469E-13</v>
      </c>
      <c r="BF160" s="14">
        <f t="shared" si="167"/>
        <v>1.8186582995804361E-12</v>
      </c>
      <c r="BG160" s="22">
        <f t="shared" si="168"/>
        <v>3.3837175350986671E-12</v>
      </c>
      <c r="BH160" s="62">
        <f t="shared" si="116"/>
        <v>288.33276962071392</v>
      </c>
      <c r="BI160" s="62">
        <f ca="1">AVERAGE(OFFSET($BH$3,0,0,'Données projet'!$E$11+1,1))-AVERAGE(OFFSET($H$3,0,0,'Données projet'!$E$11+1,1))</f>
        <v>475.58735584427552</v>
      </c>
      <c r="BJ160" s="62">
        <f t="shared" si="146"/>
        <v>294.51413339056131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4.9658410716801891E-14</v>
      </c>
      <c r="CA160" s="14">
        <f t="shared" si="170"/>
        <v>8.0934058173791862E-13</v>
      </c>
      <c r="CB160" s="22">
        <f t="shared" si="171"/>
        <v>1.4960899118586383E-12</v>
      </c>
      <c r="CC160" s="62">
        <f t="shared" si="119"/>
        <v>288.33276962071199</v>
      </c>
      <c r="CD160" s="62">
        <f ca="1">AVERAGE(OFFSET($CC$3,0,0,'Données projet'!$E$12+1,1))-AVERAGE(OFFSET($H$3,0,0,'Données projet'!$E$12+1,1))</f>
        <v>344.32696811748974</v>
      </c>
      <c r="CE160" s="62">
        <f t="shared" si="148"/>
        <v>411.51927518440766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0.30890883423136944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0.30890883423136944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473.14533251757302</v>
      </c>
      <c r="CZ160" s="62">
        <f t="shared" si="150"/>
        <v>299.82031908667142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7.0926813477196607E-2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7.0926813477196607E-2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89.751456703373435</v>
      </c>
      <c r="DU160" s="62">
        <f t="shared" si="152"/>
        <v>433.35713950666889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5.3641968509139089</v>
      </c>
      <c r="EB160" s="23">
        <f>EXP(-LN(2)/25)*EB159+(1-EXP(-LN(2)/25))/(LN(2)/25)*Calculateur!DW160*Calculateur!DY160*VLOOKUP('Données projet'!$B$14,Paramètres!$A$1:$I$89,3,0)*0.475*44/12</f>
        <v>0.52876732517616221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5.8929641760900715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204.71144247550794</v>
      </c>
      <c r="EP160" s="62">
        <f t="shared" si="154"/>
        <v>409.91012463636184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7.9883751583395153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2.0391648177918974E-17</v>
      </c>
      <c r="EY160" s="24">
        <f t="shared" si="181"/>
        <v>7.9883751583395153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68.636209896557403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2.8000000000000003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10.266666666666667</v>
      </c>
      <c r="H161" s="70">
        <f t="shared" si="110"/>
        <v>188.90666666666664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1.5961632016114892E-13</v>
      </c>
      <c r="P161" s="14">
        <f t="shared" si="141"/>
        <v>2.2708641912150958E-12</v>
      </c>
      <c r="Q161" s="22">
        <f t="shared" si="162"/>
        <v>4.2330868906469593E-12</v>
      </c>
      <c r="R161" s="62">
        <f t="shared" si="109"/>
        <v>288.41951822154311</v>
      </c>
      <c r="S161" s="62">
        <f ca="1">AVERAGE(OFFSET($R$3,0,0,'Données projet'!$E$9+1,1))-AVERAGE(OFFSET($H$3,0,0,'Données projet'!$E$9+1,1))</f>
        <v>349.50936264852089</v>
      </c>
      <c r="T161" s="62">
        <f t="shared" si="142"/>
        <v>260.52733851266106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2">
        <f t="shared" si="113"/>
        <v>288.41951822154209</v>
      </c>
      <c r="AN161" s="62">
        <f ca="1">AVERAGE(OFFSET($AM$3,0,0,'Données projet'!$E$10+1,1))-AVERAGE(OFFSET($H$3,0,0,'Données projet'!$E$10+1,1))</f>
        <v>447.04988989014134</v>
      </c>
      <c r="AO161" s="62">
        <f t="shared" si="144"/>
        <v>278.04061554501783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1.2414602679200469E-13</v>
      </c>
      <c r="BF161" s="14">
        <f t="shared" si="167"/>
        <v>1.8186582995804361E-12</v>
      </c>
      <c r="BG161" s="22">
        <f t="shared" si="168"/>
        <v>3.3837175350986671E-12</v>
      </c>
      <c r="BH161" s="62">
        <f t="shared" si="116"/>
        <v>288.41951822154232</v>
      </c>
      <c r="BI161" s="62">
        <f ca="1">AVERAGE(OFFSET($BH$3,0,0,'Données projet'!$E$11+1,1))-AVERAGE(OFFSET($H$3,0,0,'Données projet'!$E$11+1,1))</f>
        <v>475.58735584427552</v>
      </c>
      <c r="BJ161" s="62">
        <f t="shared" si="146"/>
        <v>294.51413339056131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4.9658410716801891E-14</v>
      </c>
      <c r="CA161" s="14">
        <f t="shared" si="170"/>
        <v>8.0934058173791862E-13</v>
      </c>
      <c r="CB161" s="22">
        <f t="shared" si="171"/>
        <v>1.4960899118586383E-12</v>
      </c>
      <c r="CC161" s="62">
        <f t="shared" si="119"/>
        <v>288.41951822154039</v>
      </c>
      <c r="CD161" s="62">
        <f ca="1">AVERAGE(OFFSET($CC$3,0,0,'Données projet'!$E$12+1,1))-AVERAGE(OFFSET($H$3,0,0,'Données projet'!$E$12+1,1))</f>
        <v>344.32696811748974</v>
      </c>
      <c r="CE161" s="62">
        <f t="shared" si="148"/>
        <v>411.51927518440766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0.30046170591450305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0.30046170591450305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473.14533251757302</v>
      </c>
      <c r="CZ161" s="62">
        <f t="shared" si="150"/>
        <v>299.82031908667142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6.8987316032783644E-2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6.8987316032783644E-2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89.751456703373435</v>
      </c>
      <c r="DU161" s="62">
        <f t="shared" si="152"/>
        <v>433.35713950666889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5.259008222504499</v>
      </c>
      <c r="EB161" s="23">
        <f>EXP(-LN(2)/25)*EB160+(1-EXP(-LN(2)/25))/(LN(2)/25)*Calculateur!DW161*Calculateur!DY161*VLOOKUP('Données projet'!$B$14,Paramètres!$A$1:$I$89,3,0)*0.475*44/12</f>
        <v>0.51430815486255499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5.7733163773670544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204.71144247550794</v>
      </c>
      <c r="EP161" s="62">
        <f t="shared" si="154"/>
        <v>409.91012463636184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7.831727993912212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1.4419072706176812E-17</v>
      </c>
      <c r="EY161" s="24">
        <f t="shared" si="181"/>
        <v>7.831727993912212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68.659868605874237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2.8000000000000003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10.266666666666667</v>
      </c>
      <c r="H162" s="70">
        <f t="shared" si="110"/>
        <v>188.90666666666664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1.5961632016114892E-13</v>
      </c>
      <c r="P162" s="14">
        <f t="shared" si="141"/>
        <v>2.2708641912150958E-12</v>
      </c>
      <c r="Q162" s="22">
        <f t="shared" si="162"/>
        <v>4.2330868906469593E-12</v>
      </c>
      <c r="R162" s="62">
        <f t="shared" si="109"/>
        <v>288.50476192808793</v>
      </c>
      <c r="S162" s="62">
        <f ca="1">AVERAGE(OFFSET($R$3,0,0,'Données projet'!$E$9+1,1))-AVERAGE(OFFSET($H$3,0,0,'Données projet'!$E$9+1,1))</f>
        <v>349.50936264852089</v>
      </c>
      <c r="T162" s="62">
        <f t="shared" si="142"/>
        <v>260.52733851266106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2">
        <f t="shared" si="113"/>
        <v>288.50476192808691</v>
      </c>
      <c r="AN162" s="62">
        <f ca="1">AVERAGE(OFFSET($AM$3,0,0,'Données projet'!$E$10+1,1))-AVERAGE(OFFSET($H$3,0,0,'Données projet'!$E$10+1,1))</f>
        <v>447.04988989014134</v>
      </c>
      <c r="AO162" s="62">
        <f t="shared" si="144"/>
        <v>278.04061554501783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1.2414602679200469E-13</v>
      </c>
      <c r="BF162" s="14">
        <f t="shared" si="167"/>
        <v>1.8186582995804361E-12</v>
      </c>
      <c r="BG162" s="22">
        <f t="shared" si="168"/>
        <v>3.3837175350986671E-12</v>
      </c>
      <c r="BH162" s="62">
        <f t="shared" si="116"/>
        <v>288.50476192808713</v>
      </c>
      <c r="BI162" s="62">
        <f ca="1">AVERAGE(OFFSET($BH$3,0,0,'Données projet'!$E$11+1,1))-AVERAGE(OFFSET($H$3,0,0,'Données projet'!$E$11+1,1))</f>
        <v>475.58735584427552</v>
      </c>
      <c r="BJ162" s="62">
        <f t="shared" si="146"/>
        <v>294.51413339056131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4.9658410716801891E-14</v>
      </c>
      <c r="CA162" s="14">
        <f t="shared" si="170"/>
        <v>8.0934058173791862E-13</v>
      </c>
      <c r="CB162" s="22">
        <f t="shared" si="171"/>
        <v>1.4960899118586383E-12</v>
      </c>
      <c r="CC162" s="62">
        <f t="shared" si="119"/>
        <v>288.5047619280852</v>
      </c>
      <c r="CD162" s="62">
        <f ca="1">AVERAGE(OFFSET($CC$3,0,0,'Données projet'!$E$12+1,1))-AVERAGE(OFFSET($H$3,0,0,'Données projet'!$E$12+1,1))</f>
        <v>344.32696811748974</v>
      </c>
      <c r="CE162" s="62">
        <f t="shared" si="148"/>
        <v>411.51927518440766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0.29224556476567659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0.29224556476567659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473.14533251757302</v>
      </c>
      <c r="CZ162" s="62">
        <f t="shared" si="150"/>
        <v>299.82031908667142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6.71008542479819E-2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6.71008542479819E-2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89.751456703373435</v>
      </c>
      <c r="DU162" s="62">
        <f t="shared" si="152"/>
        <v>433.35713950666889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5.1558822789394698</v>
      </c>
      <c r="EB162" s="23">
        <f>EXP(-LN(2)/25)*EB161+(1-EXP(-LN(2)/25))/(LN(2)/25)*Calculateur!DW162*Calculateur!DY162*VLOOKUP('Données projet'!$B$14,Paramètres!$A$1:$I$89,3,0)*0.475*44/12</f>
        <v>0.50024437132154798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5.6561266502610179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204.71144247550794</v>
      </c>
      <c r="EP162" s="62">
        <f t="shared" si="154"/>
        <v>409.91012463636184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7.6781525848339918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1.0195824088959487E-17</v>
      </c>
      <c r="EY162" s="24">
        <f t="shared" si="181"/>
        <v>7.6781525848339918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68.683116889477375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2.8000000000000003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10.266666666666667</v>
      </c>
      <c r="H163" s="70">
        <f t="shared" si="110"/>
        <v>188.90666666666664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1.5961632016114892E-13</v>
      </c>
      <c r="P163" s="14">
        <f t="shared" si="141"/>
        <v>2.2708641912150958E-12</v>
      </c>
      <c r="Q163" s="22">
        <f t="shared" si="162"/>
        <v>4.2330868906469593E-12</v>
      </c>
      <c r="R163" s="62">
        <f t="shared" si="109"/>
        <v>288.58852684690049</v>
      </c>
      <c r="S163" s="62">
        <f ca="1">AVERAGE(OFFSET($R$3,0,0,'Données projet'!$E$9+1,1))-AVERAGE(OFFSET($H$3,0,0,'Données projet'!$E$9+1,1))</f>
        <v>349.50936264852089</v>
      </c>
      <c r="T163" s="62">
        <f t="shared" si="142"/>
        <v>260.52733851266106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2">
        <f t="shared" si="113"/>
        <v>288.58852684689947</v>
      </c>
      <c r="AN163" s="62">
        <f ca="1">AVERAGE(OFFSET($AM$3,0,0,'Données projet'!$E$10+1,1))-AVERAGE(OFFSET($H$3,0,0,'Données projet'!$E$10+1,1))</f>
        <v>447.04988989014134</v>
      </c>
      <c r="AO163" s="62">
        <f t="shared" si="144"/>
        <v>278.04061554501783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1.2414602679200469E-13</v>
      </c>
      <c r="BF163" s="14">
        <f t="shared" si="167"/>
        <v>1.8186582995804361E-12</v>
      </c>
      <c r="BG163" s="22">
        <f t="shared" si="168"/>
        <v>3.3837175350986671E-12</v>
      </c>
      <c r="BH163" s="62">
        <f t="shared" si="116"/>
        <v>288.5885268468997</v>
      </c>
      <c r="BI163" s="62">
        <f ca="1">AVERAGE(OFFSET($BH$3,0,0,'Données projet'!$E$11+1,1))-AVERAGE(OFFSET($H$3,0,0,'Données projet'!$E$11+1,1))</f>
        <v>475.58735584427552</v>
      </c>
      <c r="BJ163" s="62">
        <f t="shared" si="146"/>
        <v>294.51413339056131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4.9658410716801891E-14</v>
      </c>
      <c r="CA163" s="14">
        <f t="shared" si="170"/>
        <v>8.0934058173791862E-13</v>
      </c>
      <c r="CB163" s="22">
        <f t="shared" si="171"/>
        <v>1.4960899118586383E-12</v>
      </c>
      <c r="CC163" s="62">
        <f t="shared" si="119"/>
        <v>288.58852684689776</v>
      </c>
      <c r="CD163" s="62">
        <f ca="1">AVERAGE(OFFSET($CC$3,0,0,'Données projet'!$E$12+1,1))-AVERAGE(OFFSET($H$3,0,0,'Données projet'!$E$12+1,1))</f>
        <v>344.32696811748974</v>
      </c>
      <c r="CE163" s="62">
        <f t="shared" si="148"/>
        <v>411.51927518440766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0.28425409442863286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0.28425409442863286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473.14533251757302</v>
      </c>
      <c r="CZ163" s="62">
        <f t="shared" si="150"/>
        <v>299.82031908667142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6.5265977859890273E-2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6.5265977859890273E-2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89.751456703373435</v>
      </c>
      <c r="DU163" s="62">
        <f t="shared" si="152"/>
        <v>433.35713950666889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5.0547785722271357</v>
      </c>
      <c r="EB163" s="23">
        <f>EXP(-LN(2)/25)*EB162+(1-EXP(-LN(2)/25))/(LN(2)/25)*Calculateur!DW163*Calculateur!DY163*VLOOKUP('Données projet'!$B$14,Paramètres!$A$1:$I$89,3,0)*0.475*44/12</f>
        <v>0.4865651626810521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5.541343734908188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204.71144247550794</v>
      </c>
      <c r="EP163" s="62">
        <f t="shared" si="154"/>
        <v>409.91012463636184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7.5275886958560454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7.2095363530884059E-18</v>
      </c>
      <c r="EY163" s="24">
        <f t="shared" si="181"/>
        <v>7.5275886958560454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68.705961867335361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2.8000000000000003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10.266666666666667</v>
      </c>
      <c r="H164" s="70">
        <f t="shared" si="110"/>
        <v>188.90666666666664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1.5961632016114892E-13</v>
      </c>
      <c r="P164" s="14">
        <f t="shared" si="141"/>
        <v>2.2708641912150958E-12</v>
      </c>
      <c r="Q164" s="22">
        <f t="shared" si="162"/>
        <v>4.2330868906469593E-12</v>
      </c>
      <c r="R164" s="62">
        <f t="shared" si="109"/>
        <v>288.67083863164208</v>
      </c>
      <c r="S164" s="62">
        <f ca="1">AVERAGE(OFFSET($R$3,0,0,'Données projet'!$E$9+1,1))-AVERAGE(OFFSET($H$3,0,0,'Données projet'!$E$9+1,1))</f>
        <v>349.50936264852089</v>
      </c>
      <c r="T164" s="62">
        <f t="shared" si="142"/>
        <v>260.52733851266106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2">
        <f t="shared" si="113"/>
        <v>288.67083863164106</v>
      </c>
      <c r="AN164" s="62">
        <f ca="1">AVERAGE(OFFSET($AM$3,0,0,'Données projet'!$E$10+1,1))-AVERAGE(OFFSET($H$3,0,0,'Données projet'!$E$10+1,1))</f>
        <v>447.04988989014134</v>
      </c>
      <c r="AO164" s="62">
        <f t="shared" si="144"/>
        <v>278.04061554501783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1.2414602679200469E-13</v>
      </c>
      <c r="BF164" s="14">
        <f t="shared" si="167"/>
        <v>1.8186582995804361E-12</v>
      </c>
      <c r="BG164" s="22">
        <f t="shared" si="168"/>
        <v>3.3837175350986671E-12</v>
      </c>
      <c r="BH164" s="62">
        <f t="shared" si="116"/>
        <v>288.67083863164129</v>
      </c>
      <c r="BI164" s="62">
        <f ca="1">AVERAGE(OFFSET($BH$3,0,0,'Données projet'!$E$11+1,1))-AVERAGE(OFFSET($H$3,0,0,'Données projet'!$E$11+1,1))</f>
        <v>475.58735584427552</v>
      </c>
      <c r="BJ164" s="62">
        <f t="shared" si="146"/>
        <v>294.51413339056131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4.9658410716801891E-14</v>
      </c>
      <c r="CA164" s="14">
        <f t="shared" si="170"/>
        <v>8.0934058173791862E-13</v>
      </c>
      <c r="CB164" s="22">
        <f t="shared" si="171"/>
        <v>1.4960899118586383E-12</v>
      </c>
      <c r="CC164" s="62">
        <f t="shared" si="119"/>
        <v>288.67083863163936</v>
      </c>
      <c r="CD164" s="62">
        <f ca="1">AVERAGE(OFFSET($CC$3,0,0,'Données projet'!$E$12+1,1))-AVERAGE(OFFSET($H$3,0,0,'Données projet'!$E$12+1,1))</f>
        <v>344.32696811748974</v>
      </c>
      <c r="CE164" s="62">
        <f t="shared" si="148"/>
        <v>411.51927518440766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0.27648115126820877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0.27648115126820877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473.14533251757302</v>
      </c>
      <c r="CZ164" s="62">
        <f t="shared" si="150"/>
        <v>299.82031908667142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6.3481276263122971E-2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6.3481276263122971E-2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89.751456703373435</v>
      </c>
      <c r="DU164" s="62">
        <f t="shared" si="152"/>
        <v>433.35713950666889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4.9556574475362591</v>
      </c>
      <c r="EB164" s="23">
        <f>EXP(-LN(2)/25)*EB163+(1-EXP(-LN(2)/25))/(LN(2)/25)*Calculateur!DW164*Calculateur!DY164*VLOOKUP('Données projet'!$B$14,Paramètres!$A$1:$I$89,3,0)*0.475*44/12</f>
        <v>0.47326001272018886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5.4289174602564483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204.71144247550794</v>
      </c>
      <c r="EP164" s="62">
        <f t="shared" si="154"/>
        <v>409.91012463636184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7.3799772729060518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5.0979120444797434E-18</v>
      </c>
      <c r="EY164" s="24">
        <f t="shared" si="181"/>
        <v>7.3799772729060518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68.728410535901233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2.8000000000000003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10.266666666666667</v>
      </c>
      <c r="H165" s="70">
        <f t="shared" si="110"/>
        <v>188.90666666666664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1.5961632016114892E-13</v>
      </c>
      <c r="P165" s="14">
        <f t="shared" si="141"/>
        <v>2.2708641912150958E-12</v>
      </c>
      <c r="Q165" s="22">
        <f t="shared" si="162"/>
        <v>4.2330868906469593E-12</v>
      </c>
      <c r="R165" s="62">
        <f t="shared" si="109"/>
        <v>288.75172249093998</v>
      </c>
      <c r="S165" s="62">
        <f ca="1">AVERAGE(OFFSET($R$3,0,0,'Données projet'!$E$9+1,1))-AVERAGE(OFFSET($H$3,0,0,'Données projet'!$E$9+1,1))</f>
        <v>349.50936264852089</v>
      </c>
      <c r="T165" s="62">
        <f t="shared" si="142"/>
        <v>260.52733851266106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2">
        <f t="shared" si="113"/>
        <v>288.75172249093896</v>
      </c>
      <c r="AN165" s="62">
        <f ca="1">AVERAGE(OFFSET($AM$3,0,0,'Données projet'!$E$10+1,1))-AVERAGE(OFFSET($H$3,0,0,'Données projet'!$E$10+1,1))</f>
        <v>447.04988989014134</v>
      </c>
      <c r="AO165" s="62">
        <f t="shared" si="144"/>
        <v>278.04061554501783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1.2414602679200469E-13</v>
      </c>
      <c r="BF165" s="14">
        <f t="shared" si="167"/>
        <v>1.8186582995804361E-12</v>
      </c>
      <c r="BG165" s="22">
        <f t="shared" si="168"/>
        <v>3.3837175350986671E-12</v>
      </c>
      <c r="BH165" s="62">
        <f t="shared" si="116"/>
        <v>288.75172249093919</v>
      </c>
      <c r="BI165" s="62">
        <f ca="1">AVERAGE(OFFSET($BH$3,0,0,'Données projet'!$E$11+1,1))-AVERAGE(OFFSET($H$3,0,0,'Données projet'!$E$11+1,1))</f>
        <v>475.58735584427552</v>
      </c>
      <c r="BJ165" s="62">
        <f t="shared" si="146"/>
        <v>294.51413339056131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4.9658410716801891E-14</v>
      </c>
      <c r="CA165" s="14">
        <f t="shared" si="170"/>
        <v>8.0934058173791862E-13</v>
      </c>
      <c r="CB165" s="22">
        <f t="shared" si="171"/>
        <v>1.4960899118586383E-12</v>
      </c>
      <c r="CC165" s="62">
        <f t="shared" si="119"/>
        <v>288.75172249093725</v>
      </c>
      <c r="CD165" s="62">
        <f ca="1">AVERAGE(OFFSET($CC$3,0,0,'Données projet'!$E$12+1,1))-AVERAGE(OFFSET($H$3,0,0,'Données projet'!$E$12+1,1))</f>
        <v>344.32696811748974</v>
      </c>
      <c r="CE165" s="62">
        <f t="shared" si="148"/>
        <v>411.51927518440766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0.26892075964726775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0.26892075964726775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473.14533251757302</v>
      </c>
      <c r="CZ165" s="62">
        <f t="shared" si="150"/>
        <v>299.82031908667142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6.1745377425372644E-2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6.1745377425372644E-2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89.751456703373435</v>
      </c>
      <c r="DU165" s="62">
        <f t="shared" si="152"/>
        <v>433.35713950666889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4.8584800276426536</v>
      </c>
      <c r="EB165" s="23">
        <f>EXP(-LN(2)/25)*EB164+(1-EXP(-LN(2)/25))/(LN(2)/25)*Calculateur!DW165*Calculateur!DY165*VLOOKUP('Données projet'!$B$14,Paramètres!$A$1:$I$89,3,0)*0.475*44/12</f>
        <v>0.4603186927846929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5.3187987204273464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204.71144247550794</v>
      </c>
      <c r="EP165" s="62">
        <f t="shared" si="154"/>
        <v>409.91012463636184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7.2352604199260302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3.604768176544203E-18</v>
      </c>
      <c r="EY165" s="24">
        <f t="shared" si="181"/>
        <v>7.2352604199260302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68.750469770255208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2.8000000000000003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10.266666666666667</v>
      </c>
      <c r="H166" s="70">
        <f t="shared" si="110"/>
        <v>188.90666666666664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1.5961632016114892E-13</v>
      </c>
      <c r="P166" s="14">
        <f t="shared" si="141"/>
        <v>2.2708641912150958E-12</v>
      </c>
      <c r="Q166" s="22">
        <f t="shared" si="162"/>
        <v>4.2330868906469593E-12</v>
      </c>
      <c r="R166" s="62">
        <f t="shared" si="109"/>
        <v>288.83120319610822</v>
      </c>
      <c r="S166" s="62">
        <f ca="1">AVERAGE(OFFSET($R$3,0,0,'Données projet'!$E$9+1,1))-AVERAGE(OFFSET($H$3,0,0,'Données projet'!$E$9+1,1))</f>
        <v>349.50936264852089</v>
      </c>
      <c r="T166" s="62">
        <f t="shared" si="142"/>
        <v>260.52733851266106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2">
        <f t="shared" si="113"/>
        <v>288.8312031961072</v>
      </c>
      <c r="AN166" s="62">
        <f ca="1">AVERAGE(OFFSET($AM$3,0,0,'Données projet'!$E$10+1,1))-AVERAGE(OFFSET($H$3,0,0,'Données projet'!$E$10+1,1))</f>
        <v>447.04988989014134</v>
      </c>
      <c r="AO166" s="62">
        <f t="shared" si="144"/>
        <v>278.04061554501783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1.2414602679200469E-13</v>
      </c>
      <c r="BF166" s="14">
        <f t="shared" si="167"/>
        <v>1.8186582995804361E-12</v>
      </c>
      <c r="BG166" s="22">
        <f t="shared" si="168"/>
        <v>3.3837175350986671E-12</v>
      </c>
      <c r="BH166" s="62">
        <f t="shared" si="116"/>
        <v>288.83120319610742</v>
      </c>
      <c r="BI166" s="62">
        <f ca="1">AVERAGE(OFFSET($BH$3,0,0,'Données projet'!$E$11+1,1))-AVERAGE(OFFSET($H$3,0,0,'Données projet'!$E$11+1,1))</f>
        <v>475.58735584427552</v>
      </c>
      <c r="BJ166" s="62">
        <f t="shared" si="146"/>
        <v>294.51413339056131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4.9658410716801891E-14</v>
      </c>
      <c r="CA166" s="14">
        <f t="shared" si="170"/>
        <v>8.0934058173791862E-13</v>
      </c>
      <c r="CB166" s="22">
        <f t="shared" si="171"/>
        <v>1.4960899118586383E-12</v>
      </c>
      <c r="CC166" s="62">
        <f t="shared" si="119"/>
        <v>288.83120319610549</v>
      </c>
      <c r="CD166" s="62">
        <f ca="1">AVERAGE(OFFSET($CC$3,0,0,'Données projet'!$E$12+1,1))-AVERAGE(OFFSET($H$3,0,0,'Données projet'!$E$12+1,1))</f>
        <v>344.32696811748974</v>
      </c>
      <c r="CE166" s="62">
        <f t="shared" si="148"/>
        <v>411.51927518440766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0.2615671073327851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0.2615671073327851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473.14533251757302</v>
      </c>
      <c r="CZ166" s="62">
        <f t="shared" si="150"/>
        <v>299.82031908667142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6.005694683262755E-2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6.005694683262755E-2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89.751456703373435</v>
      </c>
      <c r="DU166" s="62">
        <f t="shared" si="152"/>
        <v>433.35713950666889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4.7632081976807887</v>
      </c>
      <c r="EB166" s="23">
        <f>EXP(-LN(2)/25)*EB165+(1-EXP(-LN(2)/25))/(LN(2)/25)*Calculateur!DW166*Calculateur!DY166*VLOOKUP('Données projet'!$B$14,Paramètres!$A$1:$I$89,3,0)*0.475*44/12</f>
        <v>0.44773125392338747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5.210939451604176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204.71144247550794</v>
      </c>
      <c r="EP166" s="62">
        <f t="shared" si="154"/>
        <v>409.91012463636184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7.0933813761643822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2.5489560222398717E-18</v>
      </c>
      <c r="EY166" s="24">
        <f t="shared" si="181"/>
        <v>7.0933813761643822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68.772146326210191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2.8000000000000003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10.266666666666667</v>
      </c>
      <c r="H167" s="70">
        <f t="shared" si="110"/>
        <v>188.90666666666664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1.5961632016114892E-13</v>
      </c>
      <c r="P167" s="14">
        <f t="shared" si="141"/>
        <v>2.2708641912150958E-12</v>
      </c>
      <c r="Q167" s="22">
        <f t="shared" si="162"/>
        <v>4.2330868906469593E-12</v>
      </c>
      <c r="R167" s="62">
        <f t="shared" si="109"/>
        <v>288.90930508873402</v>
      </c>
      <c r="S167" s="62">
        <f ca="1">AVERAGE(OFFSET($R$3,0,0,'Données projet'!$E$9+1,1))-AVERAGE(OFFSET($H$3,0,0,'Données projet'!$E$9+1,1))</f>
        <v>349.50936264852089</v>
      </c>
      <c r="T167" s="62">
        <f t="shared" si="142"/>
        <v>260.52733851266106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2">
        <f t="shared" si="113"/>
        <v>288.90930508873299</v>
      </c>
      <c r="AN167" s="62">
        <f ca="1">AVERAGE(OFFSET($AM$3,0,0,'Données projet'!$E$10+1,1))-AVERAGE(OFFSET($H$3,0,0,'Données projet'!$E$10+1,1))</f>
        <v>447.04988989014134</v>
      </c>
      <c r="AO167" s="62">
        <f t="shared" si="144"/>
        <v>278.04061554501783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1.2414602679200469E-13</v>
      </c>
      <c r="BF167" s="14">
        <f t="shared" si="167"/>
        <v>1.8186582995804361E-12</v>
      </c>
      <c r="BG167" s="22">
        <f t="shared" si="168"/>
        <v>3.3837175350986671E-12</v>
      </c>
      <c r="BH167" s="62">
        <f t="shared" si="116"/>
        <v>288.90930508873322</v>
      </c>
      <c r="BI167" s="62">
        <f ca="1">AVERAGE(OFFSET($BH$3,0,0,'Données projet'!$E$11+1,1))-AVERAGE(OFFSET($H$3,0,0,'Données projet'!$E$11+1,1))</f>
        <v>475.58735584427552</v>
      </c>
      <c r="BJ167" s="62">
        <f t="shared" si="146"/>
        <v>294.51413339056131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4.9658410716801891E-14</v>
      </c>
      <c r="CA167" s="14">
        <f t="shared" si="170"/>
        <v>8.0934058173791862E-13</v>
      </c>
      <c r="CB167" s="22">
        <f t="shared" si="171"/>
        <v>1.4960899118586383E-12</v>
      </c>
      <c r="CC167" s="62">
        <f t="shared" si="119"/>
        <v>288.90930508873129</v>
      </c>
      <c r="CD167" s="62">
        <f ca="1">AVERAGE(OFFSET($CC$3,0,0,'Données projet'!$E$12+1,1))-AVERAGE(OFFSET($H$3,0,0,'Données projet'!$E$12+1,1))</f>
        <v>344.32696811748974</v>
      </c>
      <c r="CE167" s="62">
        <f t="shared" si="148"/>
        <v>411.51927518440766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0.25441454102755373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0.25441454102755373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473.14533251757302</v>
      </c>
      <c r="CZ167" s="62">
        <f t="shared" si="150"/>
        <v>299.82031908667142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5.841468646323178E-2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5.841468646323178E-2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89.751456703373435</v>
      </c>
      <c r="DU167" s="62">
        <f t="shared" si="152"/>
        <v>433.35713950666889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4.6698045901943974</v>
      </c>
      <c r="EB167" s="23">
        <f>EXP(-LN(2)/25)*EB166+(1-EXP(-LN(2)/25))/(LN(2)/25)*Calculateur!DW167*Calculateur!DY167*VLOOKUP('Données projet'!$B$14,Paramètres!$A$1:$I$89,3,0)*0.475*44/12</f>
        <v>0.43548801923968911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5.1052926094340867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204.71144247550794</v>
      </c>
      <c r="EP167" s="62">
        <f t="shared" si="154"/>
        <v>409.91012463636184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6.954284493913228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1.8023840882721015E-18</v>
      </c>
      <c r="EY167" s="24">
        <f t="shared" si="181"/>
        <v>6.954284493913228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68.79344684238086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2.8000000000000003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10.266666666666667</v>
      </c>
      <c r="H168" s="70">
        <f t="shared" si="110"/>
        <v>188.90666666666664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1.5961632016114892E-13</v>
      </c>
      <c r="P168" s="14">
        <f t="shared" si="141"/>
        <v>2.2708641912150958E-12</v>
      </c>
      <c r="Q168" s="22">
        <f t="shared" si="162"/>
        <v>4.2330868906469593E-12</v>
      </c>
      <c r="R168" s="62">
        <f t="shared" si="109"/>
        <v>288.98605208813245</v>
      </c>
      <c r="S168" s="62">
        <f ca="1">AVERAGE(OFFSET($R$3,0,0,'Données projet'!$E$9+1,1))-AVERAGE(OFFSET($H$3,0,0,'Données projet'!$E$9+1,1))</f>
        <v>349.50936264852089</v>
      </c>
      <c r="T168" s="62">
        <f t="shared" si="142"/>
        <v>260.52733851266106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2">
        <f t="shared" si="113"/>
        <v>288.98605208813143</v>
      </c>
      <c r="AN168" s="62">
        <f ca="1">AVERAGE(OFFSET($AM$3,0,0,'Données projet'!$E$10+1,1))-AVERAGE(OFFSET($H$3,0,0,'Données projet'!$E$10+1,1))</f>
        <v>447.04988989014134</v>
      </c>
      <c r="AO168" s="62">
        <f t="shared" si="144"/>
        <v>278.04061554501783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1.2414602679200469E-13</v>
      </c>
      <c r="BF168" s="14">
        <f t="shared" si="167"/>
        <v>1.8186582995804361E-12</v>
      </c>
      <c r="BG168" s="22">
        <f t="shared" si="168"/>
        <v>3.3837175350986671E-12</v>
      </c>
      <c r="BH168" s="62">
        <f t="shared" si="116"/>
        <v>288.98605208813166</v>
      </c>
      <c r="BI168" s="62">
        <f ca="1">AVERAGE(OFFSET($BH$3,0,0,'Données projet'!$E$11+1,1))-AVERAGE(OFFSET($H$3,0,0,'Données projet'!$E$11+1,1))</f>
        <v>475.58735584427552</v>
      </c>
      <c r="BJ168" s="62">
        <f t="shared" si="146"/>
        <v>294.51413339056131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4.9658410716801891E-14</v>
      </c>
      <c r="CA168" s="14">
        <f t="shared" si="170"/>
        <v>8.0934058173791862E-13</v>
      </c>
      <c r="CB168" s="22">
        <f t="shared" si="171"/>
        <v>1.4960899118586383E-12</v>
      </c>
      <c r="CC168" s="62">
        <f t="shared" si="119"/>
        <v>288.98605208812972</v>
      </c>
      <c r="CD168" s="62">
        <f ca="1">AVERAGE(OFFSET($CC$3,0,0,'Données projet'!$E$12+1,1))-AVERAGE(OFFSET($H$3,0,0,'Données projet'!$E$12+1,1))</f>
        <v>344.32696811748974</v>
      </c>
      <c r="CE168" s="62">
        <f t="shared" si="148"/>
        <v>411.51927518440766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0.24745756202407604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0.24745756202407604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473.14533251757302</v>
      </c>
      <c r="CZ168" s="62">
        <f t="shared" si="150"/>
        <v>299.82031908667142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5.6817333789999855E-2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5.6817333789999855E-2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89.751456703373435</v>
      </c>
      <c r="DU168" s="62">
        <f t="shared" si="152"/>
        <v>433.35713950666889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4.5782325704802389</v>
      </c>
      <c r="EB168" s="23">
        <f>EXP(-LN(2)/25)*EB167+(1-EXP(-LN(2)/25))/(LN(2)/25)*Calculateur!DW168*Calculateur!DY168*VLOOKUP('Données projet'!$B$14,Paramètres!$A$1:$I$89,3,0)*0.475*44/12</f>
        <v>0.42357957645226019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5.0018121469324992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204.71144247550794</v>
      </c>
      <c r="EP168" s="62">
        <f t="shared" si="154"/>
        <v>409.91012463636184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6.8179152166822981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1.2744780111199358E-18</v>
      </c>
      <c r="EY168" s="24">
        <f t="shared" si="181"/>
        <v>6.8179152166822981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68.8143778422168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2.8000000000000003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10.266666666666667</v>
      </c>
      <c r="H169" s="70">
        <f t="shared" si="110"/>
        <v>188.90666666666664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1.5961632016114892E-13</v>
      </c>
      <c r="P169" s="14">
        <f t="shared" si="141"/>
        <v>2.2708641912150958E-12</v>
      </c>
      <c r="Q169" s="22">
        <f t="shared" si="162"/>
        <v>4.2330868906469593E-12</v>
      </c>
      <c r="R169" s="62">
        <f t="shared" si="109"/>
        <v>289.06146769867195</v>
      </c>
      <c r="S169" s="62">
        <f ca="1">AVERAGE(OFFSET($R$3,0,0,'Données projet'!$E$9+1,1))-AVERAGE(OFFSET($H$3,0,0,'Données projet'!$E$9+1,1))</f>
        <v>349.50936264852089</v>
      </c>
      <c r="T169" s="62">
        <f t="shared" si="142"/>
        <v>260.52733851266106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2">
        <f t="shared" si="113"/>
        <v>289.06146769867092</v>
      </c>
      <c r="AN169" s="62">
        <f ca="1">AVERAGE(OFFSET($AM$3,0,0,'Données projet'!$E$10+1,1))-AVERAGE(OFFSET($H$3,0,0,'Données projet'!$E$10+1,1))</f>
        <v>447.04988989014134</v>
      </c>
      <c r="AO169" s="62">
        <f t="shared" si="144"/>
        <v>278.04061554501783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1.2414602679200469E-13</v>
      </c>
      <c r="BF169" s="14">
        <f t="shared" si="167"/>
        <v>1.8186582995804361E-12</v>
      </c>
      <c r="BG169" s="22">
        <f t="shared" si="168"/>
        <v>3.3837175350986671E-12</v>
      </c>
      <c r="BH169" s="62">
        <f t="shared" si="116"/>
        <v>289.06146769867115</v>
      </c>
      <c r="BI169" s="62">
        <f ca="1">AVERAGE(OFFSET($BH$3,0,0,'Données projet'!$E$11+1,1))-AVERAGE(OFFSET($H$3,0,0,'Données projet'!$E$11+1,1))</f>
        <v>475.58735584427552</v>
      </c>
      <c r="BJ169" s="62">
        <f t="shared" si="146"/>
        <v>294.51413339056131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4.9658410716801891E-14</v>
      </c>
      <c r="CA169" s="14">
        <f t="shared" si="170"/>
        <v>8.0934058173791862E-13</v>
      </c>
      <c r="CB169" s="22">
        <f t="shared" si="171"/>
        <v>1.4960899118586383E-12</v>
      </c>
      <c r="CC169" s="62">
        <f t="shared" si="119"/>
        <v>289.06146769866922</v>
      </c>
      <c r="CD169" s="62">
        <f ca="1">AVERAGE(OFFSET($CC$3,0,0,'Données projet'!$E$12+1,1))-AVERAGE(OFFSET($H$3,0,0,'Données projet'!$E$12+1,1))</f>
        <v>344.32696811748974</v>
      </c>
      <c r="CE169" s="62">
        <f t="shared" si="148"/>
        <v>411.51927518440766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0.24069082197730007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0.24069082197730007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473.14533251757302</v>
      </c>
      <c r="CZ169" s="62">
        <f t="shared" si="150"/>
        <v>299.82031908667142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5.526366080961858E-2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5.526366080961858E-2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89.751456703373435</v>
      </c>
      <c r="DU169" s="62">
        <f t="shared" si="152"/>
        <v>433.35713950666889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4.4884562222192583</v>
      </c>
      <c r="EB169" s="23">
        <f>EXP(-LN(2)/25)*EB168+(1-EXP(-LN(2)/25))/(LN(2)/25)*Calculateur!DW169*Calculateur!DY169*VLOOKUP('Données projet'!$B$14,Paramètres!$A$1:$I$89,3,0)*0.475*44/12</f>
        <v>0.41199677065909129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4.9004529928783498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204.71144247550794</v>
      </c>
      <c r="EP169" s="62">
        <f t="shared" si="154"/>
        <v>409.91012463636184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6.6842200578008208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9.0119204413605074E-19</v>
      </c>
      <c r="EY169" s="24">
        <f t="shared" si="181"/>
        <v>6.6842200578008208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68.834945736000293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2.8000000000000003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10.266666666666667</v>
      </c>
      <c r="H170" s="70">
        <f t="shared" si="110"/>
        <v>188.90666666666664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1.5961632016114892E-13</v>
      </c>
      <c r="P170" s="14">
        <f t="shared" si="141"/>
        <v>2.2708641912150958E-12</v>
      </c>
      <c r="Q170" s="22">
        <f t="shared" si="162"/>
        <v>4.2330868906469593E-12</v>
      </c>
      <c r="R170" s="62">
        <f t="shared" si="109"/>
        <v>289.13557501697261</v>
      </c>
      <c r="S170" s="62">
        <f ca="1">AVERAGE(OFFSET($R$3,0,0,'Données projet'!$E$9+1,1))-AVERAGE(OFFSET($H$3,0,0,'Données projet'!$E$9+1,1))</f>
        <v>349.50936264852089</v>
      </c>
      <c r="T170" s="62">
        <f t="shared" si="142"/>
        <v>260.52733851266106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2">
        <f t="shared" si="113"/>
        <v>289.13557501697159</v>
      </c>
      <c r="AN170" s="62">
        <f ca="1">AVERAGE(OFFSET($AM$3,0,0,'Données projet'!$E$10+1,1))-AVERAGE(OFFSET($H$3,0,0,'Données projet'!$E$10+1,1))</f>
        <v>447.04988989014134</v>
      </c>
      <c r="AO170" s="62">
        <f t="shared" si="144"/>
        <v>278.04061554501783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1.2414602679200469E-13</v>
      </c>
      <c r="BF170" s="14">
        <f t="shared" si="167"/>
        <v>1.8186582995804361E-12</v>
      </c>
      <c r="BG170" s="22">
        <f t="shared" si="168"/>
        <v>3.3837175350986671E-12</v>
      </c>
      <c r="BH170" s="62">
        <f t="shared" si="116"/>
        <v>289.13557501697181</v>
      </c>
      <c r="BI170" s="62">
        <f ca="1">AVERAGE(OFFSET($BH$3,0,0,'Données projet'!$E$11+1,1))-AVERAGE(OFFSET($H$3,0,0,'Données projet'!$E$11+1,1))</f>
        <v>475.58735584427552</v>
      </c>
      <c r="BJ170" s="62">
        <f t="shared" si="146"/>
        <v>294.51413339056131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4.9658410716801891E-14</v>
      </c>
      <c r="CA170" s="14">
        <f t="shared" si="170"/>
        <v>8.0934058173791862E-13</v>
      </c>
      <c r="CB170" s="22">
        <f t="shared" si="171"/>
        <v>1.4960899118586383E-12</v>
      </c>
      <c r="CC170" s="62">
        <f t="shared" si="119"/>
        <v>289.13557501696988</v>
      </c>
      <c r="CD170" s="62">
        <f ca="1">AVERAGE(OFFSET($CC$3,0,0,'Données projet'!$E$12+1,1))-AVERAGE(OFFSET($H$3,0,0,'Données projet'!$E$12+1,1))</f>
        <v>344.32696811748974</v>
      </c>
      <c r="CE170" s="62">
        <f t="shared" si="148"/>
        <v>411.51927518440766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0.23410911879295057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0.23410911879295057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473.14533251757302</v>
      </c>
      <c r="CZ170" s="62">
        <f t="shared" si="150"/>
        <v>299.82031908667142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5.3752473098589944E-2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5.3752473098589944E-2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89.751456703373435</v>
      </c>
      <c r="DU170" s="62">
        <f t="shared" si="152"/>
        <v>433.35713950666889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4.4004403333895104</v>
      </c>
      <c r="EB170" s="23">
        <f>EXP(-LN(2)/25)*EB169+(1-EXP(-LN(2)/25))/(LN(2)/25)*Calculateur!DW170*Calculateur!DY170*VLOOKUP('Données projet'!$B$14,Paramètres!$A$1:$I$89,3,0)*0.475*44/12</f>
        <v>0.40073069729944988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4.8011710306889599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204.71144247550794</v>
      </c>
      <c r="EP170" s="62">
        <f t="shared" si="154"/>
        <v>409.91012463636184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6.5531465794390149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6.3723900555996792E-19</v>
      </c>
      <c r="EY170" s="24">
        <f t="shared" si="181"/>
        <v>6.5531465794390149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68.855156822809562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2.8000000000000003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10.266666666666667</v>
      </c>
      <c r="H171" s="70">
        <f t="shared" si="110"/>
        <v>188.90666666666664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1.5961632016114892E-13</v>
      </c>
      <c r="P171" s="14">
        <f t="shared" si="141"/>
        <v>2.2708641912150958E-12</v>
      </c>
      <c r="Q171" s="22">
        <f t="shared" si="162"/>
        <v>4.2330868906469593E-12</v>
      </c>
      <c r="R171" s="62">
        <f t="shared" si="109"/>
        <v>289.20839673897984</v>
      </c>
      <c r="S171" s="62">
        <f ca="1">AVERAGE(OFFSET($R$3,0,0,'Données projet'!$E$9+1,1))-AVERAGE(OFFSET($H$3,0,0,'Données projet'!$E$9+1,1))</f>
        <v>349.50936264852089</v>
      </c>
      <c r="T171" s="62">
        <f t="shared" si="142"/>
        <v>260.52733851266106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2">
        <f t="shared" si="113"/>
        <v>289.20839673897882</v>
      </c>
      <c r="AN171" s="62">
        <f ca="1">AVERAGE(OFFSET($AM$3,0,0,'Données projet'!$E$10+1,1))-AVERAGE(OFFSET($H$3,0,0,'Données projet'!$E$10+1,1))</f>
        <v>447.04988989014134</v>
      </c>
      <c r="AO171" s="62">
        <f t="shared" si="144"/>
        <v>278.04061554501783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1.2414602679200469E-13</v>
      </c>
      <c r="BF171" s="14">
        <f t="shared" si="167"/>
        <v>1.8186582995804361E-12</v>
      </c>
      <c r="BG171" s="22">
        <f t="shared" si="168"/>
        <v>3.3837175350986671E-12</v>
      </c>
      <c r="BH171" s="62">
        <f t="shared" si="116"/>
        <v>289.20839673897905</v>
      </c>
      <c r="BI171" s="62">
        <f ca="1">AVERAGE(OFFSET($BH$3,0,0,'Données projet'!$E$11+1,1))-AVERAGE(OFFSET($H$3,0,0,'Données projet'!$E$11+1,1))</f>
        <v>475.58735584427552</v>
      </c>
      <c r="BJ171" s="62">
        <f t="shared" si="146"/>
        <v>294.51413339056131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4.9658410716801891E-14</v>
      </c>
      <c r="CA171" s="14">
        <f t="shared" si="170"/>
        <v>8.0934058173791862E-13</v>
      </c>
      <c r="CB171" s="22">
        <f t="shared" si="171"/>
        <v>1.4960899118586383E-12</v>
      </c>
      <c r="CC171" s="62">
        <f t="shared" si="119"/>
        <v>289.20839673897711</v>
      </c>
      <c r="CD171" s="62">
        <f ca="1">AVERAGE(OFFSET($CC$3,0,0,'Données projet'!$E$12+1,1))-AVERAGE(OFFSET($H$3,0,0,'Données projet'!$E$12+1,1))</f>
        <v>344.32696811748974</v>
      </c>
      <c r="CE171" s="62">
        <f t="shared" si="148"/>
        <v>411.51927518440766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0.22770739262829384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0.22770739262829384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473.14533251757302</v>
      </c>
      <c r="CZ171" s="62">
        <f t="shared" si="150"/>
        <v>299.82031908667142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5.2282608894989292E-2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5.2282608894989292E-2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89.751456703373435</v>
      </c>
      <c r="DU171" s="62">
        <f t="shared" si="152"/>
        <v>433.35713950666889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4.3141503824553222</v>
      </c>
      <c r="EB171" s="23">
        <f>EXP(-LN(2)/25)*EB170+(1-EXP(-LN(2)/25))/(LN(2)/25)*Calculateur!DW171*Calculateur!DY171*VLOOKUP('Données projet'!$B$14,Paramètres!$A$1:$I$89,3,0)*0.475*44/12</f>
        <v>0.38977269530828496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4.7039230777636067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204.71144247550794</v>
      </c>
      <c r="EP171" s="62">
        <f t="shared" si="154"/>
        <v>409.91012463636184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6.4246433720409559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4.5059602206802537E-19</v>
      </c>
      <c r="EY171" s="24">
        <f t="shared" si="181"/>
        <v>6.4246433720409559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68.875017292447907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2.8000000000000003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10.266666666666667</v>
      </c>
      <c r="H172" s="70">
        <f t="shared" si="110"/>
        <v>188.90666666666664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1.5961632016114892E-13</v>
      </c>
      <c r="P172" s="14">
        <f t="shared" si="141"/>
        <v>2.2708641912150958E-12</v>
      </c>
      <c r="Q172" s="22">
        <f t="shared" si="162"/>
        <v>4.2330868906469593E-12</v>
      </c>
      <c r="R172" s="62">
        <f t="shared" si="109"/>
        <v>289.27995516691533</v>
      </c>
      <c r="S172" s="62">
        <f ca="1">AVERAGE(OFFSET($R$3,0,0,'Données projet'!$E$9+1,1))-AVERAGE(OFFSET($H$3,0,0,'Données projet'!$E$9+1,1))</f>
        <v>349.50936264852089</v>
      </c>
      <c r="T172" s="62">
        <f t="shared" si="142"/>
        <v>260.52733851266106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2">
        <f t="shared" si="113"/>
        <v>289.27995516691431</v>
      </c>
      <c r="AN172" s="62">
        <f ca="1">AVERAGE(OFFSET($AM$3,0,0,'Données projet'!$E$10+1,1))-AVERAGE(OFFSET($H$3,0,0,'Données projet'!$E$10+1,1))</f>
        <v>447.04988989014134</v>
      </c>
      <c r="AO172" s="62">
        <f t="shared" si="144"/>
        <v>278.04061554501783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1.2414602679200469E-13</v>
      </c>
      <c r="BF172" s="14">
        <f t="shared" si="167"/>
        <v>1.8186582995804361E-12</v>
      </c>
      <c r="BG172" s="22">
        <f t="shared" si="168"/>
        <v>3.3837175350986671E-12</v>
      </c>
      <c r="BH172" s="62">
        <f t="shared" si="116"/>
        <v>289.27995516691453</v>
      </c>
      <c r="BI172" s="62">
        <f ca="1">AVERAGE(OFFSET($BH$3,0,0,'Données projet'!$E$11+1,1))-AVERAGE(OFFSET($H$3,0,0,'Données projet'!$E$11+1,1))</f>
        <v>475.58735584427552</v>
      </c>
      <c r="BJ172" s="62">
        <f t="shared" si="146"/>
        <v>294.51413339056131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4.9658410716801891E-14</v>
      </c>
      <c r="CA172" s="14">
        <f t="shared" si="170"/>
        <v>8.0934058173791862E-13</v>
      </c>
      <c r="CB172" s="22">
        <f t="shared" si="171"/>
        <v>1.4960899118586383E-12</v>
      </c>
      <c r="CC172" s="62">
        <f t="shared" si="119"/>
        <v>289.2799551669126</v>
      </c>
      <c r="CD172" s="62">
        <f ca="1">AVERAGE(OFFSET($CC$3,0,0,'Données projet'!$E$12+1,1))-AVERAGE(OFFSET($H$3,0,0,'Données projet'!$E$12+1,1))</f>
        <v>344.32696811748974</v>
      </c>
      <c r="CE172" s="62">
        <f t="shared" si="148"/>
        <v>411.51927518440766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0.22148072200226179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0.22148072200226179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473.14533251757302</v>
      </c>
      <c r="CZ172" s="62">
        <f t="shared" si="150"/>
        <v>299.82031908667142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5.0852938205332904E-2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5.0852938205332904E-2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89.751456703373435</v>
      </c>
      <c r="DU172" s="62">
        <f t="shared" si="152"/>
        <v>433.35713950666889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4.2295525248272803</v>
      </c>
      <c r="EB172" s="23">
        <f>EXP(-LN(2)/25)*EB171+(1-EXP(-LN(2)/25))/(LN(2)/25)*Calculateur!DW172*Calculateur!DY172*VLOOKUP('Données projet'!$B$14,Paramètres!$A$1:$I$89,3,0)*0.475*44/12</f>
        <v>0.37911434045782472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4.6086668652851053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204.71144247550794</v>
      </c>
      <c r="EP172" s="62">
        <f t="shared" si="154"/>
        <v>409.91012463636184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6.2986600341607559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3.1861950277998396E-19</v>
      </c>
      <c r="EY172" s="24">
        <f t="shared" si="181"/>
        <v>6.2986600341607559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68.894533227339394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2.8000000000000003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10.266666666666667</v>
      </c>
      <c r="H173" s="70">
        <f t="shared" si="110"/>
        <v>188.90666666666664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1.5961632016114892E-13</v>
      </c>
      <c r="P173" s="14">
        <f t="shared" si="141"/>
        <v>2.2708641912150958E-12</v>
      </c>
      <c r="Q173" s="22">
        <f t="shared" si="162"/>
        <v>4.2330868906469593E-12</v>
      </c>
      <c r="R173" s="62">
        <f t="shared" si="109"/>
        <v>289.3502722161067</v>
      </c>
      <c r="S173" s="62">
        <f ca="1">AVERAGE(OFFSET($R$3,0,0,'Données projet'!$E$9+1,1))-AVERAGE(OFFSET($H$3,0,0,'Données projet'!$E$9+1,1))</f>
        <v>349.50936264852089</v>
      </c>
      <c r="T173" s="62">
        <f t="shared" si="142"/>
        <v>260.52733851266106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2">
        <f t="shared" si="113"/>
        <v>289.35027221610568</v>
      </c>
      <c r="AN173" s="62">
        <f ca="1">AVERAGE(OFFSET($AM$3,0,0,'Données projet'!$E$10+1,1))-AVERAGE(OFFSET($H$3,0,0,'Données projet'!$E$10+1,1))</f>
        <v>447.04988989014134</v>
      </c>
      <c r="AO173" s="62">
        <f t="shared" si="144"/>
        <v>278.04061554501783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1.2414602679200469E-13</v>
      </c>
      <c r="BF173" s="14">
        <f t="shared" si="167"/>
        <v>1.8186582995804361E-12</v>
      </c>
      <c r="BG173" s="22">
        <f t="shared" si="168"/>
        <v>3.3837175350986671E-12</v>
      </c>
      <c r="BH173" s="62">
        <f t="shared" si="116"/>
        <v>289.35027221610591</v>
      </c>
      <c r="BI173" s="62">
        <f ca="1">AVERAGE(OFFSET($BH$3,0,0,'Données projet'!$E$11+1,1))-AVERAGE(OFFSET($H$3,0,0,'Données projet'!$E$11+1,1))</f>
        <v>475.58735584427552</v>
      </c>
      <c r="BJ173" s="62">
        <f t="shared" si="146"/>
        <v>294.51413339056131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4.9658410716801891E-14</v>
      </c>
      <c r="CA173" s="14">
        <f t="shared" si="170"/>
        <v>8.0934058173791862E-13</v>
      </c>
      <c r="CB173" s="22">
        <f t="shared" si="171"/>
        <v>1.4960899118586383E-12</v>
      </c>
      <c r="CC173" s="62">
        <f t="shared" si="119"/>
        <v>289.35027221610397</v>
      </c>
      <c r="CD173" s="62">
        <f ca="1">AVERAGE(OFFSET($CC$3,0,0,'Données projet'!$E$12+1,1))-AVERAGE(OFFSET($H$3,0,0,'Données projet'!$E$12+1,1))</f>
        <v>344.32696811748974</v>
      </c>
      <c r="CE173" s="62">
        <f t="shared" si="148"/>
        <v>411.51927518440766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0.21542432001194498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0.21542432001194498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473.14533251757302</v>
      </c>
      <c r="CZ173" s="62">
        <f t="shared" si="150"/>
        <v>299.82031908667142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4.9462361935868282E-2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4.9462361935868282E-2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89.751456703373435</v>
      </c>
      <c r="DU173" s="62">
        <f t="shared" si="152"/>
        <v>433.35713950666889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4.1466135795877257</v>
      </c>
      <c r="EB173" s="23">
        <f>EXP(-LN(2)/25)*EB172+(1-EXP(-LN(2)/25))/(LN(2)/25)*Calculateur!DW173*Calculateur!DY173*VLOOKUP('Données projet'!$B$14,Paramètres!$A$1:$I$89,3,0)*0.475*44/12</f>
        <v>0.36874743888124883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4.5153610184689743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204.71144247550794</v>
      </c>
      <c r="EP173" s="62">
        <f t="shared" si="154"/>
        <v>409.91012463636184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6.1751471526941382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2.2529801103401269E-19</v>
      </c>
      <c r="EY173" s="24">
        <f t="shared" si="181"/>
        <v>6.1751471526941382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68.913710604391596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2.8000000000000003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10.266666666666667</v>
      </c>
      <c r="H174" s="70">
        <f t="shared" si="110"/>
        <v>188.90666666666664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1.5961632016114892E-13</v>
      </c>
      <c r="P174" s="14">
        <f t="shared" si="141"/>
        <v>2.2708641912150958E-12</v>
      </c>
      <c r="Q174" s="22">
        <f t="shared" si="162"/>
        <v>4.2330868906469593E-12</v>
      </c>
      <c r="R174" s="62">
        <f t="shared" si="109"/>
        <v>289.41936942170003</v>
      </c>
      <c r="S174" s="62">
        <f ca="1">AVERAGE(OFFSET($R$3,0,0,'Données projet'!$E$9+1,1))-AVERAGE(OFFSET($H$3,0,0,'Données projet'!$E$9+1,1))</f>
        <v>349.50936264852089</v>
      </c>
      <c r="T174" s="62">
        <f t="shared" si="142"/>
        <v>260.52733851266106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2">
        <f t="shared" si="113"/>
        <v>289.419369421699</v>
      </c>
      <c r="AN174" s="62">
        <f ca="1">AVERAGE(OFFSET($AM$3,0,0,'Données projet'!$E$10+1,1))-AVERAGE(OFFSET($H$3,0,0,'Données projet'!$E$10+1,1))</f>
        <v>447.04988989014134</v>
      </c>
      <c r="AO174" s="62">
        <f t="shared" si="144"/>
        <v>278.04061554501783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1.2414602679200469E-13</v>
      </c>
      <c r="BF174" s="14">
        <f t="shared" si="167"/>
        <v>1.8186582995804361E-12</v>
      </c>
      <c r="BG174" s="22">
        <f t="shared" si="168"/>
        <v>3.3837175350986671E-12</v>
      </c>
      <c r="BH174" s="62">
        <f t="shared" si="116"/>
        <v>289.41936942169923</v>
      </c>
      <c r="BI174" s="62">
        <f ca="1">AVERAGE(OFFSET($BH$3,0,0,'Données projet'!$E$11+1,1))-AVERAGE(OFFSET($H$3,0,0,'Données projet'!$E$11+1,1))</f>
        <v>475.58735584427552</v>
      </c>
      <c r="BJ174" s="62">
        <f t="shared" si="146"/>
        <v>294.51413339056131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4.9658410716801891E-14</v>
      </c>
      <c r="CA174" s="14">
        <f t="shared" si="170"/>
        <v>8.0934058173791862E-13</v>
      </c>
      <c r="CB174" s="22">
        <f t="shared" si="171"/>
        <v>1.4960899118586383E-12</v>
      </c>
      <c r="CC174" s="62">
        <f t="shared" si="119"/>
        <v>289.4193694216973</v>
      </c>
      <c r="CD174" s="62">
        <f ca="1">AVERAGE(OFFSET($CC$3,0,0,'Données projet'!$E$12+1,1))-AVERAGE(OFFSET($H$3,0,0,'Données projet'!$E$12+1,1))</f>
        <v>344.32696811748974</v>
      </c>
      <c r="CE174" s="62">
        <f t="shared" si="148"/>
        <v>411.51927518440766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0.20953353065254571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0.20953353065254571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473.14533251757302</v>
      </c>
      <c r="CZ174" s="62">
        <f t="shared" si="150"/>
        <v>299.82031908667142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4.8109811047619397E-2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4.8109811047619397E-2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89.751456703373435</v>
      </c>
      <c r="DU174" s="62">
        <f t="shared" si="152"/>
        <v>433.35713950666889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4.0653010164765577</v>
      </c>
      <c r="EB174" s="23">
        <f>EXP(-LN(2)/25)*EB173+(1-EXP(-LN(2)/25))/(LN(2)/25)*Calculateur!DW174*Calculateur!DY174*VLOOKUP('Données projet'!$B$14,Paramètres!$A$1:$I$89,3,0)*0.475*44/12</f>
        <v>0.35866402077345605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4.4239650372500137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204.71144247550794</v>
      </c>
      <c r="EP174" s="62">
        <f t="shared" si="154"/>
        <v>409.91012463636184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6.054056283497661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1.5930975138999198E-19</v>
      </c>
      <c r="EY174" s="24">
        <f t="shared" si="181"/>
        <v>6.054056283497661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68.932555296826138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2.8000000000000003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10.266666666666667</v>
      </c>
      <c r="H175" s="70">
        <f t="shared" si="110"/>
        <v>188.90666666666664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1.5961632016114892E-13</v>
      </c>
      <c r="P175" s="14">
        <f t="shared" si="141"/>
        <v>2.2708641912150958E-12</v>
      </c>
      <c r="Q175" s="22">
        <f t="shared" si="162"/>
        <v>4.2330868906469593E-12</v>
      </c>
      <c r="R175" s="62">
        <f t="shared" si="109"/>
        <v>289.48726794525459</v>
      </c>
      <c r="S175" s="62">
        <f ca="1">AVERAGE(OFFSET($R$3,0,0,'Données projet'!$E$9+1,1))-AVERAGE(OFFSET($H$3,0,0,'Données projet'!$E$9+1,1))</f>
        <v>349.50936264852089</v>
      </c>
      <c r="T175" s="62">
        <f t="shared" si="142"/>
        <v>260.52733851266106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2">
        <f t="shared" si="113"/>
        <v>289.48726794525356</v>
      </c>
      <c r="AN175" s="62">
        <f ca="1">AVERAGE(OFFSET($AM$3,0,0,'Données projet'!$E$10+1,1))-AVERAGE(OFFSET($H$3,0,0,'Données projet'!$E$10+1,1))</f>
        <v>447.04988989014134</v>
      </c>
      <c r="AO175" s="62">
        <f t="shared" si="144"/>
        <v>278.04061554501783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1.2414602679200469E-13</v>
      </c>
      <c r="BF175" s="14">
        <f t="shared" si="167"/>
        <v>1.8186582995804361E-12</v>
      </c>
      <c r="BG175" s="22">
        <f t="shared" si="168"/>
        <v>3.3837175350986671E-12</v>
      </c>
      <c r="BH175" s="62">
        <f t="shared" si="116"/>
        <v>289.48726794525379</v>
      </c>
      <c r="BI175" s="62">
        <f ca="1">AVERAGE(OFFSET($BH$3,0,0,'Données projet'!$E$11+1,1))-AVERAGE(OFFSET($H$3,0,0,'Données projet'!$E$11+1,1))</f>
        <v>475.58735584427552</v>
      </c>
      <c r="BJ175" s="62">
        <f t="shared" si="146"/>
        <v>294.51413339056131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4.9658410716801891E-14</v>
      </c>
      <c r="CA175" s="14">
        <f t="shared" si="170"/>
        <v>8.0934058173791862E-13</v>
      </c>
      <c r="CB175" s="22">
        <f t="shared" si="171"/>
        <v>1.4960899118586383E-12</v>
      </c>
      <c r="CC175" s="62">
        <f t="shared" si="119"/>
        <v>289.48726794525186</v>
      </c>
      <c r="CD175" s="62">
        <f ca="1">AVERAGE(OFFSET($CC$3,0,0,'Données projet'!$E$12+1,1))-AVERAGE(OFFSET($H$3,0,0,'Données projet'!$E$12+1,1))</f>
        <v>344.32696811748974</v>
      </c>
      <c r="CE175" s="62">
        <f t="shared" si="148"/>
        <v>411.51927518440766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0.20380382523796237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0.20380382523796237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473.14533251757302</v>
      </c>
      <c r="CZ175" s="62">
        <f t="shared" si="150"/>
        <v>299.82031908667142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4.6794245734537235E-2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4.6794245734537235E-2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89.751456703373435</v>
      </c>
      <c r="DU175" s="62">
        <f t="shared" si="152"/>
        <v>433.35713950666889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3.9855829431322336</v>
      </c>
      <c r="EB175" s="23">
        <f>EXP(-LN(2)/25)*EB174+(1-EXP(-LN(2)/25))/(LN(2)/25)*Calculateur!DW175*Calculateur!DY175*VLOOKUP('Données projet'!$B$14,Paramètres!$A$1:$I$89,3,0)*0.475*44/12</f>
        <v>0.3488563342640848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4.3344392773963181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204.71144247550794</v>
      </c>
      <c r="EP175" s="62">
        <f t="shared" si="154"/>
        <v>409.91012463636184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5.9353399323879898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1.1264900551700634E-19</v>
      </c>
      <c r="EY175" s="24">
        <f t="shared" si="181"/>
        <v>5.9353399323879898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68.951073075977376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2.8000000000000003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10.266666666666667</v>
      </c>
      <c r="H176" s="70">
        <f t="shared" si="110"/>
        <v>188.90666666666664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1.5961632016114892E-13</v>
      </c>
      <c r="P176" s="14">
        <f t="shared" si="141"/>
        <v>2.2708641912150958E-12</v>
      </c>
      <c r="Q176" s="22">
        <f t="shared" si="162"/>
        <v>4.2330868906469593E-12</v>
      </c>
      <c r="R176" s="62">
        <f t="shared" si="109"/>
        <v>289.55398858122368</v>
      </c>
      <c r="S176" s="62">
        <f ca="1">AVERAGE(OFFSET($R$3,0,0,'Données projet'!$E$9+1,1))-AVERAGE(OFFSET($H$3,0,0,'Données projet'!$E$9+1,1))</f>
        <v>349.50936264852089</v>
      </c>
      <c r="T176" s="62">
        <f t="shared" si="142"/>
        <v>260.52733851266106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2">
        <f t="shared" si="113"/>
        <v>289.55398858122265</v>
      </c>
      <c r="AN176" s="62">
        <f ca="1">AVERAGE(OFFSET($AM$3,0,0,'Données projet'!$E$10+1,1))-AVERAGE(OFFSET($H$3,0,0,'Données projet'!$E$10+1,1))</f>
        <v>447.04988989014134</v>
      </c>
      <c r="AO176" s="62">
        <f t="shared" si="144"/>
        <v>278.04061554501783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1.2414602679200469E-13</v>
      </c>
      <c r="BF176" s="14">
        <f t="shared" si="167"/>
        <v>1.8186582995804361E-12</v>
      </c>
      <c r="BG176" s="22">
        <f t="shared" si="168"/>
        <v>3.3837175350986671E-12</v>
      </c>
      <c r="BH176" s="62">
        <f t="shared" si="116"/>
        <v>289.55398858122288</v>
      </c>
      <c r="BI176" s="62">
        <f ca="1">AVERAGE(OFFSET($BH$3,0,0,'Données projet'!$E$11+1,1))-AVERAGE(OFFSET($H$3,0,0,'Données projet'!$E$11+1,1))</f>
        <v>475.58735584427552</v>
      </c>
      <c r="BJ176" s="62">
        <f t="shared" si="146"/>
        <v>294.51413339056131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4.9658410716801891E-14</v>
      </c>
      <c r="CA176" s="14">
        <f t="shared" si="170"/>
        <v>8.0934058173791862E-13</v>
      </c>
      <c r="CB176" s="22">
        <f t="shared" si="171"/>
        <v>1.4960899118586383E-12</v>
      </c>
      <c r="CC176" s="62">
        <f t="shared" si="119"/>
        <v>289.55398858122095</v>
      </c>
      <c r="CD176" s="62">
        <f ca="1">AVERAGE(OFFSET($CC$3,0,0,'Données projet'!$E$12+1,1))-AVERAGE(OFFSET($H$3,0,0,'Données projet'!$E$12+1,1))</f>
        <v>344.32696811748974</v>
      </c>
      <c r="CE176" s="62">
        <f t="shared" si="148"/>
        <v>411.51927518440766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0.19823079891925291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0.19823079891925291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473.14533251757302</v>
      </c>
      <c r="CZ176" s="62">
        <f t="shared" si="150"/>
        <v>299.82031908667142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4.5514654624123879E-2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4.5514654624123879E-2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89.751456703373435</v>
      </c>
      <c r="DU176" s="62">
        <f t="shared" si="152"/>
        <v>433.35713950666889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3.9074280925829679</v>
      </c>
      <c r="EB176" s="23">
        <f>EXP(-LN(2)/25)*EB175+(1-EXP(-LN(2)/25))/(LN(2)/25)*Calculateur!DW176*Calculateur!DY176*VLOOKUP('Données projet'!$B$14,Paramètres!$A$1:$I$89,3,0)*0.475*44/12</f>
        <v>0.33931683945807611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4.246744932041044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204.71144247550794</v>
      </c>
      <c r="EP176" s="62">
        <f t="shared" si="154"/>
        <v>409.91012463636184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5.8189515365137554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7.965487569499599E-20</v>
      </c>
      <c r="EY176" s="24">
        <f t="shared" si="181"/>
        <v>5.8189515365137554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68.969269613059865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2.8000000000000003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10.266666666666667</v>
      </c>
      <c r="H177" s="70">
        <f t="shared" si="110"/>
        <v>188.90666666666664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1.5961632016114892E-13</v>
      </c>
      <c r="P177" s="14">
        <f t="shared" si="141"/>
        <v>2.2708641912150958E-12</v>
      </c>
      <c r="Q177" s="22">
        <f t="shared" si="162"/>
        <v>4.2330868906469593E-12</v>
      </c>
      <c r="R177" s="62">
        <f t="shared" si="109"/>
        <v>289.6195517633239</v>
      </c>
      <c r="S177" s="62">
        <f ca="1">AVERAGE(OFFSET($R$3,0,0,'Données projet'!$E$9+1,1))-AVERAGE(OFFSET($H$3,0,0,'Données projet'!$E$9+1,1))</f>
        <v>349.50936264852089</v>
      </c>
      <c r="T177" s="62">
        <f t="shared" si="142"/>
        <v>260.52733851266106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2">
        <f t="shared" si="113"/>
        <v>289.61955176332287</v>
      </c>
      <c r="AN177" s="62">
        <f ca="1">AVERAGE(OFFSET($AM$3,0,0,'Données projet'!$E$10+1,1))-AVERAGE(OFFSET($H$3,0,0,'Données projet'!$E$10+1,1))</f>
        <v>447.04988989014134</v>
      </c>
      <c r="AO177" s="62">
        <f t="shared" si="144"/>
        <v>278.04061554501783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1.2414602679200469E-13</v>
      </c>
      <c r="BF177" s="14">
        <f t="shared" si="167"/>
        <v>1.8186582995804361E-12</v>
      </c>
      <c r="BG177" s="22">
        <f t="shared" si="168"/>
        <v>3.3837175350986671E-12</v>
      </c>
      <c r="BH177" s="62">
        <f t="shared" si="116"/>
        <v>289.6195517633231</v>
      </c>
      <c r="BI177" s="62">
        <f ca="1">AVERAGE(OFFSET($BH$3,0,0,'Données projet'!$E$11+1,1))-AVERAGE(OFFSET($H$3,0,0,'Données projet'!$E$11+1,1))</f>
        <v>475.58735584427552</v>
      </c>
      <c r="BJ177" s="62">
        <f t="shared" si="146"/>
        <v>294.51413339056131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4.9658410716801891E-14</v>
      </c>
      <c r="CA177" s="14">
        <f t="shared" si="170"/>
        <v>8.0934058173791862E-13</v>
      </c>
      <c r="CB177" s="22">
        <f t="shared" si="171"/>
        <v>1.4960899118586383E-12</v>
      </c>
      <c r="CC177" s="62">
        <f t="shared" si="119"/>
        <v>289.61955176332117</v>
      </c>
      <c r="CD177" s="62">
        <f ca="1">AVERAGE(OFFSET($CC$3,0,0,'Données projet'!$E$12+1,1))-AVERAGE(OFFSET($H$3,0,0,'Données projet'!$E$12+1,1))</f>
        <v>344.32696811748974</v>
      </c>
      <c r="CE177" s="62">
        <f t="shared" si="148"/>
        <v>411.51927518440766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0.19281016729830128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0.19281016729830128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473.14533251757302</v>
      </c>
      <c r="CZ177" s="62">
        <f t="shared" si="150"/>
        <v>299.82031908667142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4.427005399991555E-2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4.427005399991555E-2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89.751456703373435</v>
      </c>
      <c r="DU177" s="62">
        <f t="shared" si="152"/>
        <v>433.35713950666889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3.8308058109832213</v>
      </c>
      <c r="EB177" s="23">
        <f>EXP(-LN(2)/25)*EB176+(1-EXP(-LN(2)/25))/(LN(2)/25)*Calculateur!DW177*Calculateur!DY177*VLOOKUP('Données projet'!$B$14,Paramètres!$A$1:$I$89,3,0)*0.475*44/12</f>
        <v>0.33003820263919798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4.1608440136224196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204.71144247550794</v>
      </c>
      <c r="EP177" s="62">
        <f t="shared" si="154"/>
        <v>409.91012463636184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5.7048454460927029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5.6324502758503171E-20</v>
      </c>
      <c r="EY177" s="24">
        <f t="shared" si="181"/>
        <v>5.7048454460927029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68.98715048090537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2.8000000000000003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10.266666666666667</v>
      </c>
      <c r="H178" s="70">
        <f t="shared" si="110"/>
        <v>188.90666666666664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1.5961632016114892E-13</v>
      </c>
      <c r="P178" s="14">
        <f t="shared" si="141"/>
        <v>2.2708641912150958E-12</v>
      </c>
      <c r="Q178" s="22">
        <f t="shared" si="162"/>
        <v>4.2330868906469593E-12</v>
      </c>
      <c r="R178" s="62">
        <f t="shared" si="109"/>
        <v>289.68397757079185</v>
      </c>
      <c r="S178" s="62">
        <f ca="1">AVERAGE(OFFSET($R$3,0,0,'Données projet'!$E$9+1,1))-AVERAGE(OFFSET($H$3,0,0,'Données projet'!$E$9+1,1))</f>
        <v>349.50936264852089</v>
      </c>
      <c r="T178" s="62">
        <f t="shared" si="142"/>
        <v>260.52733851266106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2">
        <f t="shared" si="113"/>
        <v>289.68397757079083</v>
      </c>
      <c r="AN178" s="62">
        <f ca="1">AVERAGE(OFFSET($AM$3,0,0,'Données projet'!$E$10+1,1))-AVERAGE(OFFSET($H$3,0,0,'Données projet'!$E$10+1,1))</f>
        <v>447.04988989014134</v>
      </c>
      <c r="AO178" s="62">
        <f t="shared" si="144"/>
        <v>278.04061554501783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1.2414602679200469E-13</v>
      </c>
      <c r="BF178" s="14">
        <f t="shared" si="167"/>
        <v>1.8186582995804361E-12</v>
      </c>
      <c r="BG178" s="22">
        <f t="shared" si="168"/>
        <v>3.3837175350986671E-12</v>
      </c>
      <c r="BH178" s="62">
        <f t="shared" si="116"/>
        <v>289.68397757079106</v>
      </c>
      <c r="BI178" s="62">
        <f ca="1">AVERAGE(OFFSET($BH$3,0,0,'Données projet'!$E$11+1,1))-AVERAGE(OFFSET($H$3,0,0,'Données projet'!$E$11+1,1))</f>
        <v>475.58735584427552</v>
      </c>
      <c r="BJ178" s="62">
        <f t="shared" si="146"/>
        <v>294.51413339056131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4.9658410716801891E-14</v>
      </c>
      <c r="CA178" s="14">
        <f t="shared" si="170"/>
        <v>8.0934058173791862E-13</v>
      </c>
      <c r="CB178" s="22">
        <f t="shared" si="171"/>
        <v>1.4960899118586383E-12</v>
      </c>
      <c r="CC178" s="62">
        <f t="shared" si="119"/>
        <v>289.68397757078912</v>
      </c>
      <c r="CD178" s="62">
        <f ca="1">AVERAGE(OFFSET($CC$3,0,0,'Données projet'!$E$12+1,1))-AVERAGE(OFFSET($H$3,0,0,'Données projet'!$E$12+1,1))</f>
        <v>344.32696811748974</v>
      </c>
      <c r="CE178" s="62">
        <f t="shared" si="148"/>
        <v>411.51927518440766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0.18753776313408321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0.18753776313408321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473.14533251757302</v>
      </c>
      <c r="CZ178" s="62">
        <f t="shared" si="150"/>
        <v>299.82031908667142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4.3059487045226899E-2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4.3059487045226899E-2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89.751456703373435</v>
      </c>
      <c r="DU178" s="62">
        <f t="shared" si="152"/>
        <v>433.35713950666889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3.7556860455906689</v>
      </c>
      <c r="EB178" s="23">
        <f>EXP(-LN(2)/25)*EB177+(1-EXP(-LN(2)/25))/(LN(2)/25)*Calculateur!DW178*Calculateur!DY178*VLOOKUP('Données projet'!$B$14,Paramètres!$A$1:$I$89,3,0)*0.475*44/12</f>
        <v>0.32101329063207434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4.0766993362227435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204.71144247550794</v>
      </c>
      <c r="EP178" s="62">
        <f t="shared" si="154"/>
        <v>409.91012463636184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5.5929769065069639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3.9827437847497995E-20</v>
      </c>
      <c r="EY178" s="24">
        <f t="shared" si="181"/>
        <v>5.5929769065069639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69.004721155669358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2.8000000000000003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10.266666666666667</v>
      </c>
      <c r="H179" s="70">
        <f t="shared" si="110"/>
        <v>188.90666666666664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1.5961632016114892E-13</v>
      </c>
      <c r="P179" s="14">
        <f t="shared" si="141"/>
        <v>2.2708641912150958E-12</v>
      </c>
      <c r="Q179" s="22">
        <f t="shared" si="162"/>
        <v>4.2330868906469593E-12</v>
      </c>
      <c r="R179" s="62">
        <f t="shared" si="109"/>
        <v>289.74728573453478</v>
      </c>
      <c r="S179" s="62">
        <f ca="1">AVERAGE(OFFSET($R$3,0,0,'Données projet'!$E$9+1,1))-AVERAGE(OFFSET($H$3,0,0,'Données projet'!$E$9+1,1))</f>
        <v>349.50936264852089</v>
      </c>
      <c r="T179" s="62">
        <f t="shared" si="142"/>
        <v>260.52733851266106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2">
        <f t="shared" si="113"/>
        <v>289.74728573453376</v>
      </c>
      <c r="AN179" s="62">
        <f ca="1">AVERAGE(OFFSET($AM$3,0,0,'Données projet'!$E$10+1,1))-AVERAGE(OFFSET($H$3,0,0,'Données projet'!$E$10+1,1))</f>
        <v>447.04988989014134</v>
      </c>
      <c r="AO179" s="62">
        <f t="shared" si="144"/>
        <v>278.04061554501783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1.2414602679200469E-13</v>
      </c>
      <c r="BF179" s="14">
        <f t="shared" si="167"/>
        <v>1.8186582995804361E-12</v>
      </c>
      <c r="BG179" s="22">
        <f t="shared" si="168"/>
        <v>3.3837175350986671E-12</v>
      </c>
      <c r="BH179" s="62">
        <f t="shared" si="116"/>
        <v>289.74728573453399</v>
      </c>
      <c r="BI179" s="62">
        <f ca="1">AVERAGE(OFFSET($BH$3,0,0,'Données projet'!$E$11+1,1))-AVERAGE(OFFSET($H$3,0,0,'Données projet'!$E$11+1,1))</f>
        <v>475.58735584427552</v>
      </c>
      <c r="BJ179" s="62">
        <f t="shared" si="146"/>
        <v>294.51413339056131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4.9658410716801891E-14</v>
      </c>
      <c r="CA179" s="14">
        <f t="shared" si="170"/>
        <v>8.0934058173791862E-13</v>
      </c>
      <c r="CB179" s="22">
        <f t="shared" si="171"/>
        <v>1.4960899118586383E-12</v>
      </c>
      <c r="CC179" s="62">
        <f t="shared" si="119"/>
        <v>289.74728573453206</v>
      </c>
      <c r="CD179" s="62">
        <f ca="1">AVERAGE(OFFSET($CC$3,0,0,'Données projet'!$E$12+1,1))-AVERAGE(OFFSET($H$3,0,0,'Données projet'!$E$12+1,1))</f>
        <v>344.32696811748974</v>
      </c>
      <c r="CE179" s="62">
        <f t="shared" si="148"/>
        <v>411.51927518440766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0.18240953313899938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0.18240953313899938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473.14533251757302</v>
      </c>
      <c r="CZ179" s="62">
        <f t="shared" si="150"/>
        <v>299.82031908667142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4.1882023107575161E-2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4.1882023107575161E-2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89.751456703373435</v>
      </c>
      <c r="DU179" s="62">
        <f t="shared" si="152"/>
        <v>433.35713950666889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3.6820393329789316</v>
      </c>
      <c r="EB179" s="23">
        <f>EXP(-LN(2)/25)*EB178+(1-EXP(-LN(2)/25))/(LN(2)/25)*Calculateur!DW179*Calculateur!DY179*VLOOKUP('Données projet'!$B$14,Paramètres!$A$1:$I$89,3,0)*0.475*44/12</f>
        <v>0.31223516531838502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3.9942744982973166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204.71144247550794</v>
      </c>
      <c r="EP179" s="62">
        <f t="shared" si="154"/>
        <v>409.91012463636184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5.4833020407494297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2.8162251379251586E-20</v>
      </c>
      <c r="EY179" s="24">
        <f t="shared" si="181"/>
        <v>5.4833020407494297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69.021987018508341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2.8000000000000003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10.266666666666667</v>
      </c>
      <c r="H180" s="70">
        <f t="shared" si="110"/>
        <v>188.90666666666664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1.5961632016114892E-13</v>
      </c>
      <c r="P180" s="14">
        <f t="shared" si="141"/>
        <v>2.2708641912150958E-12</v>
      </c>
      <c r="Q180" s="22">
        <f t="shared" si="162"/>
        <v>4.2330868906469593E-12</v>
      </c>
      <c r="R180" s="62">
        <f t="shared" si="109"/>
        <v>289.80949564317262</v>
      </c>
      <c r="S180" s="62">
        <f ca="1">AVERAGE(OFFSET($R$3,0,0,'Données projet'!$E$9+1,1))-AVERAGE(OFFSET($H$3,0,0,'Données projet'!$E$9+1,1))</f>
        <v>349.50936264852089</v>
      </c>
      <c r="T180" s="62">
        <f t="shared" si="142"/>
        <v>260.52733851266106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2">
        <f t="shared" si="113"/>
        <v>289.8094956431716</v>
      </c>
      <c r="AN180" s="62">
        <f ca="1">AVERAGE(OFFSET($AM$3,0,0,'Données projet'!$E$10+1,1))-AVERAGE(OFFSET($H$3,0,0,'Données projet'!$E$10+1,1))</f>
        <v>447.04988989014134</v>
      </c>
      <c r="AO180" s="62">
        <f t="shared" si="144"/>
        <v>278.04061554501783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1.2414602679200469E-13</v>
      </c>
      <c r="BF180" s="14">
        <f t="shared" si="167"/>
        <v>1.8186582995804361E-12</v>
      </c>
      <c r="BG180" s="22">
        <f t="shared" si="168"/>
        <v>3.3837175350986671E-12</v>
      </c>
      <c r="BH180" s="62">
        <f t="shared" si="116"/>
        <v>289.80949564317183</v>
      </c>
      <c r="BI180" s="62">
        <f ca="1">AVERAGE(OFFSET($BH$3,0,0,'Données projet'!$E$11+1,1))-AVERAGE(OFFSET($H$3,0,0,'Données projet'!$E$11+1,1))</f>
        <v>475.58735584427552</v>
      </c>
      <c r="BJ180" s="62">
        <f t="shared" si="146"/>
        <v>294.51413339056131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4.9658410716801891E-14</v>
      </c>
      <c r="CA180" s="14">
        <f t="shared" si="170"/>
        <v>8.0934058173791862E-13</v>
      </c>
      <c r="CB180" s="22">
        <f t="shared" si="171"/>
        <v>1.4960899118586383E-12</v>
      </c>
      <c r="CC180" s="62">
        <f t="shared" si="119"/>
        <v>289.8094956431699</v>
      </c>
      <c r="CD180" s="62">
        <f ca="1">AVERAGE(OFFSET($CC$3,0,0,'Données projet'!$E$12+1,1))-AVERAGE(OFFSET($H$3,0,0,'Données projet'!$E$12+1,1))</f>
        <v>344.32696811748974</v>
      </c>
      <c r="CE180" s="62">
        <f t="shared" si="148"/>
        <v>411.51927518440766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0.17742153486281301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0.17742153486281301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473.14533251757302</v>
      </c>
      <c r="CZ180" s="62">
        <f t="shared" si="150"/>
        <v>299.82031908667142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4.0736756983218644E-2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4.0736756983218644E-2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89.751456703373435</v>
      </c>
      <c r="DU180" s="62">
        <f t="shared" si="152"/>
        <v>433.35713950666889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3.6098367874814512</v>
      </c>
      <c r="EB180" s="23">
        <f>EXP(-LN(2)/25)*EB179+(1-EXP(-LN(2)/25))/(LN(2)/25)*Calculateur!DW180*Calculateur!DY180*VLOOKUP('Données projet'!$B$14,Paramètres!$A$1:$I$89,3,0)*0.475*44/12</f>
        <v>0.30369707830302006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3.9135338657844714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204.71144247550794</v>
      </c>
      <c r="EP180" s="62">
        <f t="shared" si="154"/>
        <v>409.91012463636184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5.3757778322143377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1.9913718923748998E-20</v>
      </c>
      <c r="EY180" s="24">
        <f t="shared" si="181"/>
        <v>5.3757778322143377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69.038953357227754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2.8000000000000003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10.266666666666667</v>
      </c>
      <c r="H181" s="70">
        <f t="shared" si="110"/>
        <v>188.90666666666664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1.5961632016114892E-13</v>
      </c>
      <c r="P181" s="14">
        <f t="shared" si="141"/>
        <v>2.2708641912150958E-12</v>
      </c>
      <c r="Q181" s="22">
        <f t="shared" si="162"/>
        <v>4.2330868906469593E-12</v>
      </c>
      <c r="R181" s="62">
        <f t="shared" si="109"/>
        <v>289.87062634897615</v>
      </c>
      <c r="S181" s="62">
        <f ca="1">AVERAGE(OFFSET($R$3,0,0,'Données projet'!$E$9+1,1))-AVERAGE(OFFSET($H$3,0,0,'Données projet'!$E$9+1,1))</f>
        <v>349.50936264852089</v>
      </c>
      <c r="T181" s="62">
        <f t="shared" si="142"/>
        <v>260.52733851266106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2">
        <f t="shared" si="113"/>
        <v>289.87062634897512</v>
      </c>
      <c r="AN181" s="62">
        <f ca="1">AVERAGE(OFFSET($AM$3,0,0,'Données projet'!$E$10+1,1))-AVERAGE(OFFSET($H$3,0,0,'Données projet'!$E$10+1,1))</f>
        <v>447.04988989014134</v>
      </c>
      <c r="AO181" s="62">
        <f t="shared" si="144"/>
        <v>278.04061554501783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1.2414602679200469E-13</v>
      </c>
      <c r="BF181" s="14">
        <f t="shared" si="167"/>
        <v>1.8186582995804361E-12</v>
      </c>
      <c r="BG181" s="22">
        <f t="shared" si="168"/>
        <v>3.3837175350986671E-12</v>
      </c>
      <c r="BH181" s="62">
        <f t="shared" si="116"/>
        <v>289.87062634897535</v>
      </c>
      <c r="BI181" s="62">
        <f ca="1">AVERAGE(OFFSET($BH$3,0,0,'Données projet'!$E$11+1,1))-AVERAGE(OFFSET($H$3,0,0,'Données projet'!$E$11+1,1))</f>
        <v>475.58735584427552</v>
      </c>
      <c r="BJ181" s="62">
        <f t="shared" si="146"/>
        <v>294.51413339056131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4.9658410716801891E-14</v>
      </c>
      <c r="CA181" s="14">
        <f t="shared" si="170"/>
        <v>8.0934058173791862E-13</v>
      </c>
      <c r="CB181" s="22">
        <f t="shared" si="171"/>
        <v>1.4960899118586383E-12</v>
      </c>
      <c r="CC181" s="62">
        <f t="shared" si="119"/>
        <v>289.87062634897342</v>
      </c>
      <c r="CD181" s="62">
        <f ca="1">AVERAGE(OFFSET($CC$3,0,0,'Données projet'!$E$12+1,1))-AVERAGE(OFFSET($H$3,0,0,'Données projet'!$E$12+1,1))</f>
        <v>344.32696811748974</v>
      </c>
      <c r="CE181" s="62">
        <f t="shared" si="148"/>
        <v>411.51927518440766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0.17256993366179638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0.17256993366179638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473.14533251757302</v>
      </c>
      <c r="CZ181" s="62">
        <f t="shared" si="150"/>
        <v>299.82031908667142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3.9622808221259583E-2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3.9622808221259583E-2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89.751456703373435</v>
      </c>
      <c r="DU181" s="62">
        <f t="shared" si="152"/>
        <v>433.35713950666889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3.5390500898619721</v>
      </c>
      <c r="EB181" s="23">
        <f>EXP(-LN(2)/25)*EB180+(1-EXP(-LN(2)/25))/(LN(2)/25)*Calculateur!DW181*Calculateur!DY181*VLOOKUP('Données projet'!$B$14,Paramètres!$A$1:$I$89,3,0)*0.475*44/12</f>
        <v>0.29539246572608874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3.834442555588061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204.71144247550794</v>
      </c>
      <c r="EP181" s="62">
        <f t="shared" si="154"/>
        <v>409.91012463636184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5.2703621078253278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1.4081125689625793E-20</v>
      </c>
      <c r="EY181" s="24">
        <f t="shared" si="181"/>
        <v>5.2703621078253278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69.055625367901442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2.8000000000000003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10.266666666666667</v>
      </c>
      <c r="H182" s="70">
        <f t="shared" si="110"/>
        <v>188.90666666666664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1.5961632016114892E-13</v>
      </c>
      <c r="P182" s="14">
        <f t="shared" si="141"/>
        <v>2.2708641912150958E-12</v>
      </c>
      <c r="Q182" s="22">
        <f t="shared" si="162"/>
        <v>4.2330868906469593E-12</v>
      </c>
      <c r="R182" s="62">
        <f t="shared" si="109"/>
        <v>289.93069657370177</v>
      </c>
      <c r="S182" s="62">
        <f ca="1">AVERAGE(OFFSET($R$3,0,0,'Données projet'!$E$9+1,1))-AVERAGE(OFFSET($H$3,0,0,'Données projet'!$E$9+1,1))</f>
        <v>349.50936264852089</v>
      </c>
      <c r="T182" s="62">
        <f t="shared" si="142"/>
        <v>260.52733851266106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2">
        <f t="shared" si="113"/>
        <v>289.93069657370074</v>
      </c>
      <c r="AN182" s="62">
        <f ca="1">AVERAGE(OFFSET($AM$3,0,0,'Données projet'!$E$10+1,1))-AVERAGE(OFFSET($H$3,0,0,'Données projet'!$E$10+1,1))</f>
        <v>447.04988989014134</v>
      </c>
      <c r="AO182" s="62">
        <f t="shared" si="144"/>
        <v>278.04061554501783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1.2414602679200469E-13</v>
      </c>
      <c r="BF182" s="14">
        <f t="shared" si="167"/>
        <v>1.8186582995804361E-12</v>
      </c>
      <c r="BG182" s="22">
        <f t="shared" si="168"/>
        <v>3.3837175350986671E-12</v>
      </c>
      <c r="BH182" s="62">
        <f t="shared" si="116"/>
        <v>289.93069657370097</v>
      </c>
      <c r="BI182" s="62">
        <f ca="1">AVERAGE(OFFSET($BH$3,0,0,'Données projet'!$E$11+1,1))-AVERAGE(OFFSET($H$3,0,0,'Données projet'!$E$11+1,1))</f>
        <v>475.58735584427552</v>
      </c>
      <c r="BJ182" s="62">
        <f t="shared" si="146"/>
        <v>294.51413339056131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4.9658410716801891E-14</v>
      </c>
      <c r="CA182" s="14">
        <f t="shared" si="170"/>
        <v>8.0934058173791862E-13</v>
      </c>
      <c r="CB182" s="22">
        <f t="shared" si="171"/>
        <v>1.4960899118586383E-12</v>
      </c>
      <c r="CC182" s="62">
        <f t="shared" si="119"/>
        <v>289.93069657369904</v>
      </c>
      <c r="CD182" s="62">
        <f ca="1">AVERAGE(OFFSET($CC$3,0,0,'Données projet'!$E$12+1,1))-AVERAGE(OFFSET($H$3,0,0,'Données projet'!$E$12+1,1))</f>
        <v>344.32696811748974</v>
      </c>
      <c r="CE182" s="62">
        <f t="shared" si="148"/>
        <v>411.51927518440766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0.16785099975075615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0.16785099975075615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473.14533251757302</v>
      </c>
      <c r="CZ182" s="62">
        <f t="shared" si="150"/>
        <v>299.82031908667142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3.8539320446776312E-2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3.8539320446776312E-2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89.751456703373435</v>
      </c>
      <c r="DU182" s="62">
        <f t="shared" si="152"/>
        <v>433.35713950666889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3.4696514762071891</v>
      </c>
      <c r="EB182" s="23">
        <f>EXP(-LN(2)/25)*EB181+(1-EXP(-LN(2)/25))/(LN(2)/25)*Calculateur!DW182*Calculateur!DY182*VLOOKUP('Données projet'!$B$14,Paramètres!$A$1:$I$89,3,0)*0.475*44/12</f>
        <v>0.28731494321679418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3.7569664194239833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204.71144247550794</v>
      </c>
      <c r="EP182" s="62">
        <f t="shared" si="154"/>
        <v>409.91012463636184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5.1670135214943436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9.9568594618744988E-21</v>
      </c>
      <c r="EY182" s="24">
        <f t="shared" si="181"/>
        <v>5.1670135214943436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69.072008156462971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2.8000000000000003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10.266666666666667</v>
      </c>
      <c r="H183" s="70">
        <f t="shared" si="110"/>
        <v>188.90666666666664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1.5961632016114892E-13</v>
      </c>
      <c r="P183" s="14">
        <f t="shared" si="141"/>
        <v>2.2708641912150958E-12</v>
      </c>
      <c r="Q183" s="22">
        <f t="shared" si="162"/>
        <v>4.2330868906469593E-12</v>
      </c>
      <c r="R183" s="62">
        <f t="shared" si="109"/>
        <v>289.98972471432529</v>
      </c>
      <c r="S183" s="62">
        <f ca="1">AVERAGE(OFFSET($R$3,0,0,'Données projet'!$E$9+1,1))-AVERAGE(OFFSET($H$3,0,0,'Données projet'!$E$9+1,1))</f>
        <v>349.50936264852089</v>
      </c>
      <c r="T183" s="62">
        <f t="shared" si="142"/>
        <v>260.52733851266106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2">
        <f t="shared" si="113"/>
        <v>289.98972471432427</v>
      </c>
      <c r="AN183" s="62">
        <f ca="1">AVERAGE(OFFSET($AM$3,0,0,'Données projet'!$E$10+1,1))-AVERAGE(OFFSET($H$3,0,0,'Données projet'!$E$10+1,1))</f>
        <v>447.04988989014134</v>
      </c>
      <c r="AO183" s="62">
        <f t="shared" si="144"/>
        <v>278.04061554501783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1.2414602679200469E-13</v>
      </c>
      <c r="BF183" s="14">
        <f t="shared" si="167"/>
        <v>1.8186582995804361E-12</v>
      </c>
      <c r="BG183" s="22">
        <f t="shared" si="168"/>
        <v>3.3837175350986671E-12</v>
      </c>
      <c r="BH183" s="62">
        <f t="shared" si="116"/>
        <v>289.9897247143245</v>
      </c>
      <c r="BI183" s="62">
        <f ca="1">AVERAGE(OFFSET($BH$3,0,0,'Données projet'!$E$11+1,1))-AVERAGE(OFFSET($H$3,0,0,'Données projet'!$E$11+1,1))</f>
        <v>475.58735584427552</v>
      </c>
      <c r="BJ183" s="62">
        <f t="shared" si="146"/>
        <v>294.51413339056131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4.9658410716801891E-14</v>
      </c>
      <c r="CA183" s="14">
        <f t="shared" si="170"/>
        <v>8.0934058173791862E-13</v>
      </c>
      <c r="CB183" s="22">
        <f t="shared" si="171"/>
        <v>1.4960899118586383E-12</v>
      </c>
      <c r="CC183" s="62">
        <f t="shared" si="119"/>
        <v>289.98972471432256</v>
      </c>
      <c r="CD183" s="62">
        <f ca="1">AVERAGE(OFFSET($CC$3,0,0,'Données projet'!$E$12+1,1))-AVERAGE(OFFSET($H$3,0,0,'Données projet'!$E$12+1,1))</f>
        <v>344.32696811748974</v>
      </c>
      <c r="CE183" s="62">
        <f t="shared" si="148"/>
        <v>411.51927518440766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0.16326110533567129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0.16326110533567129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473.14533251757302</v>
      </c>
      <c r="CZ183" s="62">
        <f t="shared" si="150"/>
        <v>299.82031908667142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3.7485460702464432E-2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3.7485460702464432E-2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89.751456703373435</v>
      </c>
      <c r="DU183" s="62">
        <f t="shared" si="152"/>
        <v>433.35713950666889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3.4016137270372013</v>
      </c>
      <c r="EB183" s="23">
        <f>EXP(-LN(2)/25)*EB182+(1-EXP(-LN(2)/25))/(LN(2)/25)*Calculateur!DW183*Calculateur!DY183*VLOOKUP('Données projet'!$B$14,Paramètres!$A$1:$I$89,3,0)*0.475*44/12</f>
        <v>0.27945830098529473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3.6810720280224962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204.71144247550794</v>
      </c>
      <c r="EP183" s="62">
        <f t="shared" si="154"/>
        <v>409.91012463636184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5.0656915379048959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7.0405628448128964E-21</v>
      </c>
      <c r="EY183" s="24">
        <f t="shared" si="181"/>
        <v>5.0656915379048959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69.088106740269396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2.8000000000000003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10.266666666666667</v>
      </c>
      <c r="H184" s="70">
        <f t="shared" si="110"/>
        <v>188.90666666666664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1.5961632016114892E-13</v>
      </c>
      <c r="P184" s="14">
        <f t="shared" si="141"/>
        <v>2.2708641912150958E-12</v>
      </c>
      <c r="Q184" s="22">
        <f t="shared" si="162"/>
        <v>4.2330868906469593E-12</v>
      </c>
      <c r="R184" s="62">
        <f t="shared" si="109"/>
        <v>290.04772884867617</v>
      </c>
      <c r="S184" s="62">
        <f ca="1">AVERAGE(OFFSET($R$3,0,0,'Données projet'!$E$9+1,1))-AVERAGE(OFFSET($H$3,0,0,'Données projet'!$E$9+1,1))</f>
        <v>349.50936264852089</v>
      </c>
      <c r="T184" s="62">
        <f t="shared" si="142"/>
        <v>260.52733851266106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2">
        <f t="shared" si="113"/>
        <v>290.04772884867515</v>
      </c>
      <c r="AN184" s="62">
        <f ca="1">AVERAGE(OFFSET($AM$3,0,0,'Données projet'!$E$10+1,1))-AVERAGE(OFFSET($H$3,0,0,'Données projet'!$E$10+1,1))</f>
        <v>447.04988989014134</v>
      </c>
      <c r="AO184" s="62">
        <f t="shared" si="144"/>
        <v>278.04061554501783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1.2414602679200469E-13</v>
      </c>
      <c r="BF184" s="14">
        <f t="shared" si="167"/>
        <v>1.8186582995804361E-12</v>
      </c>
      <c r="BG184" s="22">
        <f t="shared" si="168"/>
        <v>3.3837175350986671E-12</v>
      </c>
      <c r="BH184" s="62">
        <f t="shared" si="116"/>
        <v>290.04772884867538</v>
      </c>
      <c r="BI184" s="62">
        <f ca="1">AVERAGE(OFFSET($BH$3,0,0,'Données projet'!$E$11+1,1))-AVERAGE(OFFSET($H$3,0,0,'Données projet'!$E$11+1,1))</f>
        <v>475.58735584427552</v>
      </c>
      <c r="BJ184" s="62">
        <f t="shared" si="146"/>
        <v>294.51413339056131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4.9658410716801891E-14</v>
      </c>
      <c r="CA184" s="14">
        <f t="shared" si="170"/>
        <v>8.0934058173791862E-13</v>
      </c>
      <c r="CB184" s="22">
        <f t="shared" si="171"/>
        <v>1.4960899118586383E-12</v>
      </c>
      <c r="CC184" s="62">
        <f t="shared" si="119"/>
        <v>290.04772884867344</v>
      </c>
      <c r="CD184" s="62">
        <f ca="1">AVERAGE(OFFSET($CC$3,0,0,'Données projet'!$E$12+1,1))-AVERAGE(OFFSET($H$3,0,0,'Données projet'!$E$12+1,1))</f>
        <v>344.32696811748974</v>
      </c>
      <c r="CE184" s="62">
        <f t="shared" si="148"/>
        <v>411.51927518440766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0.15879672182473897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0.15879672182473897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473.14533251757302</v>
      </c>
      <c r="CZ184" s="62">
        <f t="shared" si="150"/>
        <v>299.82031908667142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3.6460418808280839E-2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3.6460418808280839E-2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89.751456703373435</v>
      </c>
      <c r="DU184" s="62">
        <f t="shared" si="152"/>
        <v>433.35713950666889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3.3349101566295078</v>
      </c>
      <c r="EB184" s="23">
        <f>EXP(-LN(2)/25)*EB183+(1-EXP(-LN(2)/25))/(LN(2)/25)*Calculateur!DW184*Calculateur!DY184*VLOOKUP('Données projet'!$B$14,Paramètres!$A$1:$I$89,3,0)*0.475*44/12</f>
        <v>0.27181649904877853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3.6067266556782864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204.71144247550794</v>
      </c>
      <c r="EP184" s="62">
        <f t="shared" si="154"/>
        <v>409.91012463636184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4.9663564166133298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4.9784297309372494E-21</v>
      </c>
      <c r="EY184" s="24">
        <f t="shared" si="181"/>
        <v>4.9663564166133298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69.103926049637806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2.8000000000000003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10.266666666666667</v>
      </c>
      <c r="H185" s="70">
        <f t="shared" si="110"/>
        <v>188.90666666666664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1.5961632016114892E-13</v>
      </c>
      <c r="P185" s="14">
        <f t="shared" si="141"/>
        <v>2.2708641912150958E-12</v>
      </c>
      <c r="Q185" s="22">
        <f t="shared" si="162"/>
        <v>4.2330868906469593E-12</v>
      </c>
      <c r="R185" s="62">
        <f t="shared" si="109"/>
        <v>290.10472674097383</v>
      </c>
      <c r="S185" s="62">
        <f ca="1">AVERAGE(OFFSET($R$3,0,0,'Données projet'!$E$9+1,1))-AVERAGE(OFFSET($H$3,0,0,'Données projet'!$E$9+1,1))</f>
        <v>349.50936264852089</v>
      </c>
      <c r="T185" s="62">
        <f t="shared" si="142"/>
        <v>260.52733851266106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2">
        <f t="shared" si="113"/>
        <v>290.10472674097281</v>
      </c>
      <c r="AN185" s="62">
        <f ca="1">AVERAGE(OFFSET($AM$3,0,0,'Données projet'!$E$10+1,1))-AVERAGE(OFFSET($H$3,0,0,'Données projet'!$E$10+1,1))</f>
        <v>447.04988989014134</v>
      </c>
      <c r="AO185" s="62">
        <f t="shared" si="144"/>
        <v>278.04061554501783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1.2414602679200469E-13</v>
      </c>
      <c r="BF185" s="14">
        <f t="shared" si="167"/>
        <v>1.8186582995804361E-12</v>
      </c>
      <c r="BG185" s="22">
        <f t="shared" si="168"/>
        <v>3.3837175350986671E-12</v>
      </c>
      <c r="BH185" s="62">
        <f t="shared" si="116"/>
        <v>290.10472674097304</v>
      </c>
      <c r="BI185" s="62">
        <f ca="1">AVERAGE(OFFSET($BH$3,0,0,'Données projet'!$E$11+1,1))-AVERAGE(OFFSET($H$3,0,0,'Données projet'!$E$11+1,1))</f>
        <v>475.58735584427552</v>
      </c>
      <c r="BJ185" s="62">
        <f t="shared" si="146"/>
        <v>294.51413339056131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4.9658410716801891E-14</v>
      </c>
      <c r="CA185" s="14">
        <f t="shared" si="170"/>
        <v>8.0934058173791862E-13</v>
      </c>
      <c r="CB185" s="22">
        <f t="shared" si="171"/>
        <v>1.4960899118586383E-12</v>
      </c>
      <c r="CC185" s="62">
        <f t="shared" si="119"/>
        <v>290.1047267409711</v>
      </c>
      <c r="CD185" s="62">
        <f ca="1">AVERAGE(OFFSET($CC$3,0,0,'Données projet'!$E$12+1,1))-AVERAGE(OFFSET($H$3,0,0,'Données projet'!$E$12+1,1))</f>
        <v>344.32696811748974</v>
      </c>
      <c r="CE185" s="62">
        <f t="shared" si="148"/>
        <v>411.51927518440766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0.15445441711568483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0.15445441711568483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473.14533251757302</v>
      </c>
      <c r="CZ185" s="62">
        <f t="shared" si="150"/>
        <v>299.82031908667142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3.5463406738598303E-2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3.5463406738598303E-2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89.751456703373435</v>
      </c>
      <c r="DU185" s="62">
        <f t="shared" si="152"/>
        <v>433.35713950666889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3.2695146025523485</v>
      </c>
      <c r="EB185" s="23">
        <f>EXP(-LN(2)/25)*EB184+(1-EXP(-LN(2)/25))/(LN(2)/25)*Calculateur!DW185*Calculateur!DY185*VLOOKUP('Données projet'!$B$14,Paramètres!$A$1:$I$89,3,0)*0.475*44/12</f>
        <v>0.26438366258808121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3.5338982651404298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204.71144247550794</v>
      </c>
      <c r="EP185" s="62">
        <f t="shared" si="154"/>
        <v>409.91012463636184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4.8689691964618502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3.5202814224064482E-21</v>
      </c>
      <c r="EY185" s="24">
        <f t="shared" si="181"/>
        <v>4.8689691964618502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69.119470929355344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2.8000000000000003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10.266666666666667</v>
      </c>
      <c r="H186" s="70">
        <f t="shared" si="110"/>
        <v>188.90666666666664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1.5961632016114892E-13</v>
      </c>
      <c r="P186" s="14">
        <f t="shared" si="141"/>
        <v>2.2708641912150958E-12</v>
      </c>
      <c r="Q186" s="22">
        <f t="shared" si="162"/>
        <v>4.2330868906469593E-12</v>
      </c>
      <c r="R186" s="62">
        <f t="shared" si="109"/>
        <v>290.16073584726831</v>
      </c>
      <c r="S186" s="62">
        <f ca="1">AVERAGE(OFFSET($R$3,0,0,'Données projet'!$E$9+1,1))-AVERAGE(OFFSET($H$3,0,0,'Données projet'!$E$9+1,1))</f>
        <v>349.50936264852089</v>
      </c>
      <c r="T186" s="62">
        <f t="shared" si="142"/>
        <v>260.52733851266106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2">
        <f t="shared" si="113"/>
        <v>290.16073584726729</v>
      </c>
      <c r="AN186" s="62">
        <f ca="1">AVERAGE(OFFSET($AM$3,0,0,'Données projet'!$E$10+1,1))-AVERAGE(OFFSET($H$3,0,0,'Données projet'!$E$10+1,1))</f>
        <v>447.04988989014134</v>
      </c>
      <c r="AO186" s="62">
        <f t="shared" si="144"/>
        <v>278.04061554501783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1.2414602679200469E-13</v>
      </c>
      <c r="BF186" s="14">
        <f t="shared" si="167"/>
        <v>1.8186582995804361E-12</v>
      </c>
      <c r="BG186" s="22">
        <f t="shared" si="168"/>
        <v>3.3837175350986671E-12</v>
      </c>
      <c r="BH186" s="62">
        <f t="shared" si="116"/>
        <v>290.16073584726752</v>
      </c>
      <c r="BI186" s="62">
        <f ca="1">AVERAGE(OFFSET($BH$3,0,0,'Données projet'!$E$11+1,1))-AVERAGE(OFFSET($H$3,0,0,'Données projet'!$E$11+1,1))</f>
        <v>475.58735584427552</v>
      </c>
      <c r="BJ186" s="62">
        <f t="shared" si="146"/>
        <v>294.51413339056131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4.9658410716801891E-14</v>
      </c>
      <c r="CA186" s="14">
        <f t="shared" si="170"/>
        <v>8.0934058173791862E-13</v>
      </c>
      <c r="CB186" s="22">
        <f t="shared" si="171"/>
        <v>1.4960899118586383E-12</v>
      </c>
      <c r="CC186" s="62">
        <f t="shared" si="119"/>
        <v>290.16073584726558</v>
      </c>
      <c r="CD186" s="62">
        <f ca="1">AVERAGE(OFFSET($CC$3,0,0,'Données projet'!$E$12+1,1))-AVERAGE(OFFSET($H$3,0,0,'Données projet'!$E$12+1,1))</f>
        <v>344.32696811748974</v>
      </c>
      <c r="CE186" s="62">
        <f t="shared" si="148"/>
        <v>411.51927518440766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0.15023085295725164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0.15023085295725164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473.14533251757302</v>
      </c>
      <c r="CZ186" s="62">
        <f t="shared" si="150"/>
        <v>299.82031908667142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3.4493658016391822E-2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3.4493658016391822E-2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89.751456703373435</v>
      </c>
      <c r="DU186" s="62">
        <f t="shared" si="152"/>
        <v>433.35713950666889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3.2054014154032928</v>
      </c>
      <c r="EB186" s="23">
        <f>EXP(-LN(2)/25)*EB185+(1-EXP(-LN(2)/25))/(LN(2)/25)*Calculateur!DW186*Calculateur!DY186*VLOOKUP('Données projet'!$B$14,Paramètres!$A$1:$I$89,3,0)*0.475*44/12</f>
        <v>0.25715407743127755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3.4625554928345705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204.71144247550794</v>
      </c>
      <c r="EP186" s="62">
        <f t="shared" si="154"/>
        <v>409.91012463636184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4.7734916802972016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2.4892148654686247E-21</v>
      </c>
      <c r="EY186" s="24">
        <f t="shared" si="181"/>
        <v>4.7734916802972016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69.134746140162946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2.8000000000000003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10.266666666666667</v>
      </c>
      <c r="H187" s="70">
        <f t="shared" si="110"/>
        <v>188.90666666666664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1.5961632016114892E-13</v>
      </c>
      <c r="P187" s="14">
        <f t="shared" si="141"/>
        <v>2.2708641912150958E-12</v>
      </c>
      <c r="Q187" s="22">
        <f t="shared" si="162"/>
        <v>4.2330868906469593E-12</v>
      </c>
      <c r="R187" s="62">
        <f t="shared" si="109"/>
        <v>290.21577332078624</v>
      </c>
      <c r="S187" s="62">
        <f ca="1">AVERAGE(OFFSET($R$3,0,0,'Données projet'!$E$9+1,1))-AVERAGE(OFFSET($H$3,0,0,'Données projet'!$E$9+1,1))</f>
        <v>349.50936264852089</v>
      </c>
      <c r="T187" s="62">
        <f t="shared" si="142"/>
        <v>260.52733851266106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2">
        <f t="shared" si="113"/>
        <v>290.21577332078522</v>
      </c>
      <c r="AN187" s="62">
        <f ca="1">AVERAGE(OFFSET($AM$3,0,0,'Données projet'!$E$10+1,1))-AVERAGE(OFFSET($H$3,0,0,'Données projet'!$E$10+1,1))</f>
        <v>447.04988989014134</v>
      </c>
      <c r="AO187" s="62">
        <f t="shared" si="144"/>
        <v>278.04061554501783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1.2414602679200469E-13</v>
      </c>
      <c r="BF187" s="14">
        <f t="shared" si="167"/>
        <v>1.8186582995804361E-12</v>
      </c>
      <c r="BG187" s="22">
        <f t="shared" si="168"/>
        <v>3.3837175350986671E-12</v>
      </c>
      <c r="BH187" s="62">
        <f t="shared" si="116"/>
        <v>290.21577332078544</v>
      </c>
      <c r="BI187" s="62">
        <f ca="1">AVERAGE(OFFSET($BH$3,0,0,'Données projet'!$E$11+1,1))-AVERAGE(OFFSET($H$3,0,0,'Données projet'!$E$11+1,1))</f>
        <v>475.58735584427552</v>
      </c>
      <c r="BJ187" s="62">
        <f t="shared" si="146"/>
        <v>294.51413339056131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4.9658410716801891E-14</v>
      </c>
      <c r="CA187" s="14">
        <f t="shared" si="170"/>
        <v>8.0934058173791862E-13</v>
      </c>
      <c r="CB187" s="22">
        <f t="shared" si="171"/>
        <v>1.4960899118586383E-12</v>
      </c>
      <c r="CC187" s="62">
        <f t="shared" si="119"/>
        <v>290.21577332078351</v>
      </c>
      <c r="CD187" s="62">
        <f ca="1">AVERAGE(OFFSET($CC$3,0,0,'Données projet'!$E$12+1,1))-AVERAGE(OFFSET($H$3,0,0,'Données projet'!$E$12+1,1))</f>
        <v>344.32696811748974</v>
      </c>
      <c r="CE187" s="62">
        <f t="shared" si="148"/>
        <v>411.51927518440766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0.14612278238283838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0.14612278238283838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473.14533251757302</v>
      </c>
      <c r="CZ187" s="62">
        <f t="shared" si="150"/>
        <v>299.82031908667142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3.355042712399095E-2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3.355042712399095E-2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89.751456703373435</v>
      </c>
      <c r="DU187" s="62">
        <f t="shared" si="152"/>
        <v>433.35713950666889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3.1425454487490474</v>
      </c>
      <c r="EB187" s="23">
        <f>EXP(-LN(2)/25)*EB186+(1-EXP(-LN(2)/25))/(LN(2)/25)*Calculateur!DW187*Calculateur!DY187*VLOOKUP('Données projet'!$B$14,Paramètres!$A$1:$I$89,3,0)*0.475*44/12</f>
        <v>0.25012218566077404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3.3926676344098214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204.71144247550794</v>
      </c>
      <c r="EP187" s="62">
        <f t="shared" si="154"/>
        <v>409.91012463636184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4.6798864199890078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1.7601407112032241E-21</v>
      </c>
      <c r="EY187" s="24">
        <f t="shared" si="181"/>
        <v>4.6798864199890078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69.149756360213289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2.8000000000000003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10.266666666666667</v>
      </c>
      <c r="H188" s="70">
        <f t="shared" si="110"/>
        <v>188.90666666666664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1.5961632016114892E-13</v>
      </c>
      <c r="P188" s="14">
        <f t="shared" si="141"/>
        <v>2.2708641912150958E-12</v>
      </c>
      <c r="Q188" s="22">
        <f t="shared" si="162"/>
        <v>4.2330868906469593E-12</v>
      </c>
      <c r="R188" s="62">
        <f t="shared" si="109"/>
        <v>290.26985601718405</v>
      </c>
      <c r="S188" s="62">
        <f ca="1">AVERAGE(OFFSET($R$3,0,0,'Données projet'!$E$9+1,1))-AVERAGE(OFFSET($H$3,0,0,'Données projet'!$E$9+1,1))</f>
        <v>349.50936264852089</v>
      </c>
      <c r="T188" s="62">
        <f t="shared" si="142"/>
        <v>260.52733851266106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2">
        <f t="shared" si="113"/>
        <v>290.26985601718303</v>
      </c>
      <c r="AN188" s="62">
        <f ca="1">AVERAGE(OFFSET($AM$3,0,0,'Données projet'!$E$10+1,1))-AVERAGE(OFFSET($H$3,0,0,'Données projet'!$E$10+1,1))</f>
        <v>447.04988989014134</v>
      </c>
      <c r="AO188" s="62">
        <f t="shared" si="144"/>
        <v>278.04061554501783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1.2414602679200469E-13</v>
      </c>
      <c r="BF188" s="14">
        <f t="shared" si="167"/>
        <v>1.8186582995804361E-12</v>
      </c>
      <c r="BG188" s="22">
        <f t="shared" si="168"/>
        <v>3.3837175350986671E-12</v>
      </c>
      <c r="BH188" s="62">
        <f t="shared" si="116"/>
        <v>290.26985601718326</v>
      </c>
      <c r="BI188" s="62">
        <f ca="1">AVERAGE(OFFSET($BH$3,0,0,'Données projet'!$E$11+1,1))-AVERAGE(OFFSET($H$3,0,0,'Données projet'!$E$11+1,1))</f>
        <v>475.58735584427552</v>
      </c>
      <c r="BJ188" s="62">
        <f t="shared" si="146"/>
        <v>294.51413339056131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4.9658410716801891E-14</v>
      </c>
      <c r="CA188" s="14">
        <f t="shared" si="170"/>
        <v>8.0934058173791862E-13</v>
      </c>
      <c r="CB188" s="22">
        <f t="shared" si="171"/>
        <v>1.4960899118586383E-12</v>
      </c>
      <c r="CC188" s="62">
        <f t="shared" si="119"/>
        <v>290.26985601718133</v>
      </c>
      <c r="CD188" s="62">
        <f ca="1">AVERAGE(OFFSET($CC$3,0,0,'Données projet'!$E$12+1,1))-AVERAGE(OFFSET($H$3,0,0,'Données projet'!$E$12+1,1))</f>
        <v>344.32696811748974</v>
      </c>
      <c r="CE188" s="62">
        <f t="shared" si="148"/>
        <v>411.51927518440766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0.14212704721431652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0.14212704721431652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473.14533251757302</v>
      </c>
      <c r="CZ188" s="62">
        <f t="shared" si="150"/>
        <v>299.82031908667142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3.2632988929945136E-2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3.2632988929945136E-2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89.751456703373435</v>
      </c>
      <c r="DU188" s="62">
        <f t="shared" si="152"/>
        <v>433.35713950666889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3.0809220492625378</v>
      </c>
      <c r="EB188" s="23">
        <f>EXP(-LN(2)/25)*EB187+(1-EXP(-LN(2)/25))/(LN(2)/25)*Calculateur!DW188*Calculateur!DY188*VLOOKUP('Données projet'!$B$14,Paramètres!$A$1:$I$89,3,0)*0.475*44/12</f>
        <v>0.24328258134052611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3.3242046306030639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204.71144247550794</v>
      </c>
      <c r="EP188" s="62">
        <f t="shared" si="154"/>
        <v>409.91012463636184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4.5881167017418862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1.2446074327343123E-21</v>
      </c>
      <c r="EY188" s="24">
        <f t="shared" si="181"/>
        <v>4.5881167017418862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69.164506186503587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2.8000000000000003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10.266666666666667</v>
      </c>
      <c r="H189" s="70">
        <f t="shared" si="110"/>
        <v>188.90666666666664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1.5961632016114892E-13</v>
      </c>
      <c r="P189" s="14">
        <f t="shared" si="141"/>
        <v>2.2708641912150958E-12</v>
      </c>
      <c r="Q189" s="22">
        <f t="shared" si="162"/>
        <v>4.2330868906469593E-12</v>
      </c>
      <c r="R189" s="62">
        <f t="shared" si="109"/>
        <v>290.32300049971002</v>
      </c>
      <c r="S189" s="62">
        <f ca="1">AVERAGE(OFFSET($R$3,0,0,'Données projet'!$E$9+1,1))-AVERAGE(OFFSET($H$3,0,0,'Données projet'!$E$9+1,1))</f>
        <v>349.50936264852089</v>
      </c>
      <c r="T189" s="62">
        <f t="shared" si="142"/>
        <v>260.52733851266106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2">
        <f t="shared" si="113"/>
        <v>290.323000499709</v>
      </c>
      <c r="AN189" s="62">
        <f ca="1">AVERAGE(OFFSET($AM$3,0,0,'Données projet'!$E$10+1,1))-AVERAGE(OFFSET($H$3,0,0,'Données projet'!$E$10+1,1))</f>
        <v>447.04988989014134</v>
      </c>
      <c r="AO189" s="62">
        <f t="shared" si="144"/>
        <v>278.04061554501783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1.2414602679200469E-13</v>
      </c>
      <c r="BF189" s="14">
        <f t="shared" si="167"/>
        <v>1.8186582995804361E-12</v>
      </c>
      <c r="BG189" s="22">
        <f t="shared" si="168"/>
        <v>3.3837175350986671E-12</v>
      </c>
      <c r="BH189" s="62">
        <f t="shared" si="116"/>
        <v>290.32300049970922</v>
      </c>
      <c r="BI189" s="62">
        <f ca="1">AVERAGE(OFFSET($BH$3,0,0,'Données projet'!$E$11+1,1))-AVERAGE(OFFSET($H$3,0,0,'Données projet'!$E$11+1,1))</f>
        <v>475.58735584427552</v>
      </c>
      <c r="BJ189" s="62">
        <f t="shared" si="146"/>
        <v>294.51413339056131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4.9658410716801891E-14</v>
      </c>
      <c r="CA189" s="14">
        <f t="shared" si="170"/>
        <v>8.0934058173791862E-13</v>
      </c>
      <c r="CB189" s="22">
        <f t="shared" si="171"/>
        <v>1.4960899118586383E-12</v>
      </c>
      <c r="CC189" s="62">
        <f t="shared" si="119"/>
        <v>290.32300049970729</v>
      </c>
      <c r="CD189" s="62">
        <f ca="1">AVERAGE(OFFSET($CC$3,0,0,'Données projet'!$E$12+1,1))-AVERAGE(OFFSET($H$3,0,0,'Données projet'!$E$12+1,1))</f>
        <v>344.32696811748974</v>
      </c>
      <c r="CE189" s="62">
        <f t="shared" si="148"/>
        <v>411.51927518440766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0.13824057563410444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0.13824057563410444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473.14533251757302</v>
      </c>
      <c r="CZ189" s="62">
        <f t="shared" si="150"/>
        <v>299.82031908667142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3.1740638131561486E-2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3.1740638131561486E-2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89.751456703373435</v>
      </c>
      <c r="DU189" s="62">
        <f t="shared" si="152"/>
        <v>433.35713950666889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3.0205070470533961</v>
      </c>
      <c r="EB189" s="23">
        <f>EXP(-LN(2)/25)*EB188+(1-EXP(-LN(2)/25))/(LN(2)/25)*Calculateur!DW189*Calculateur!DY189*VLOOKUP('Données projet'!$B$14,Paramètres!$A$1:$I$89,3,0)*0.475*44/12</f>
        <v>0.23663000636009449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3.2571370534134907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204.71144247550794</v>
      </c>
      <c r="EP189" s="62">
        <f t="shared" si="154"/>
        <v>409.91012463636184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4.4981465316955891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8.8007035560161205E-22</v>
      </c>
      <c r="EY189" s="24">
        <f t="shared" si="181"/>
        <v>4.4981465316955891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69.179000136283406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2.8000000000000003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10.266666666666667</v>
      </c>
      <c r="H190" s="70">
        <f t="shared" si="110"/>
        <v>188.90666666666664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1.5961632016114892E-13</v>
      </c>
      <c r="P190" s="14">
        <f t="shared" si="141"/>
        <v>2.2708641912150958E-12</v>
      </c>
      <c r="Q190" s="22">
        <f t="shared" si="162"/>
        <v>4.2330868906469593E-12</v>
      </c>
      <c r="R190" s="62">
        <f t="shared" si="109"/>
        <v>290.3752230442775</v>
      </c>
      <c r="S190" s="62">
        <f ca="1">AVERAGE(OFFSET($R$3,0,0,'Données projet'!$E$9+1,1))-AVERAGE(OFFSET($H$3,0,0,'Données projet'!$E$9+1,1))</f>
        <v>349.50936264852089</v>
      </c>
      <c r="T190" s="62">
        <f t="shared" si="142"/>
        <v>260.52733851266106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2">
        <f t="shared" si="113"/>
        <v>290.37522304427648</v>
      </c>
      <c r="AN190" s="62">
        <f ca="1">AVERAGE(OFFSET($AM$3,0,0,'Données projet'!$E$10+1,1))-AVERAGE(OFFSET($H$3,0,0,'Données projet'!$E$10+1,1))</f>
        <v>447.04988989014134</v>
      </c>
      <c r="AO190" s="62">
        <f t="shared" si="144"/>
        <v>278.04061554501783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1.2414602679200469E-13</v>
      </c>
      <c r="BF190" s="14">
        <f t="shared" si="167"/>
        <v>1.8186582995804361E-12</v>
      </c>
      <c r="BG190" s="22">
        <f t="shared" si="168"/>
        <v>3.3837175350986671E-12</v>
      </c>
      <c r="BH190" s="62">
        <f t="shared" si="116"/>
        <v>290.37522304427671</v>
      </c>
      <c r="BI190" s="62">
        <f ca="1">AVERAGE(OFFSET($BH$3,0,0,'Données projet'!$E$11+1,1))-AVERAGE(OFFSET($H$3,0,0,'Données projet'!$E$11+1,1))</f>
        <v>475.58735584427552</v>
      </c>
      <c r="BJ190" s="62">
        <f t="shared" si="146"/>
        <v>294.51413339056131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4.9658410716801891E-14</v>
      </c>
      <c r="CA190" s="14">
        <f t="shared" si="170"/>
        <v>8.0934058173791862E-13</v>
      </c>
      <c r="CB190" s="22">
        <f t="shared" si="171"/>
        <v>1.4960899118586383E-12</v>
      </c>
      <c r="CC190" s="62">
        <f t="shared" si="119"/>
        <v>290.37522304427478</v>
      </c>
      <c r="CD190" s="62">
        <f ca="1">AVERAGE(OFFSET($CC$3,0,0,'Données projet'!$E$12+1,1))-AVERAGE(OFFSET($H$3,0,0,'Données projet'!$E$12+1,1))</f>
        <v>344.32696811748974</v>
      </c>
      <c r="CE190" s="62">
        <f t="shared" si="148"/>
        <v>411.51927518440766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0.13446037982363393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0.13446037982363393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473.14533251757302</v>
      </c>
      <c r="CZ190" s="62">
        <f t="shared" si="150"/>
        <v>299.82031908667142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3.0872688712686322E-2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3.0872688712686322E-2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89.751456703373435</v>
      </c>
      <c r="DU190" s="62">
        <f t="shared" si="152"/>
        <v>433.35713950666889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2.9612767461880631</v>
      </c>
      <c r="EB190" s="23">
        <f>EXP(-LN(2)/25)*EB189+(1-EXP(-LN(2)/25))/(LN(2)/25)*Calculateur!DW190*Calculateur!DY190*VLOOKUP('Données projet'!$B$14,Paramètres!$A$1:$I$89,3,0)*0.475*44/12</f>
        <v>0.2301593463923465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3.1914360925804095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204.71144247550794</v>
      </c>
      <c r="EP190" s="62">
        <f t="shared" si="154"/>
        <v>409.91012463636184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4.4099406218075154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6.2230371636715617E-22</v>
      </c>
      <c r="EY190" s="24">
        <f t="shared" si="181"/>
        <v>4.4099406218075154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69.193242648438172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2.8000000000000003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10.266666666666667</v>
      </c>
      <c r="H191" s="70">
        <f t="shared" si="110"/>
        <v>188.90666666666664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1.5961632016114892E-13</v>
      </c>
      <c r="P191" s="14">
        <f t="shared" si="141"/>
        <v>2.2708641912150958E-12</v>
      </c>
      <c r="Q191" s="22">
        <f t="shared" si="162"/>
        <v>4.2330868906469593E-12</v>
      </c>
      <c r="R191" s="62">
        <f t="shared" si="109"/>
        <v>290.42653964444884</v>
      </c>
      <c r="S191" s="62">
        <f ca="1">AVERAGE(OFFSET($R$3,0,0,'Données projet'!$E$9+1,1))-AVERAGE(OFFSET($H$3,0,0,'Données projet'!$E$9+1,1))</f>
        <v>349.50936264852089</v>
      </c>
      <c r="T191" s="62">
        <f t="shared" si="142"/>
        <v>260.52733851266106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2">
        <f t="shared" si="113"/>
        <v>290.42653964444781</v>
      </c>
      <c r="AN191" s="62">
        <f ca="1">AVERAGE(OFFSET($AM$3,0,0,'Données projet'!$E$10+1,1))-AVERAGE(OFFSET($H$3,0,0,'Données projet'!$E$10+1,1))</f>
        <v>447.04988989014134</v>
      </c>
      <c r="AO191" s="62">
        <f t="shared" si="144"/>
        <v>278.04061554501783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1.2414602679200469E-13</v>
      </c>
      <c r="BF191" s="14">
        <f t="shared" si="167"/>
        <v>1.8186582995804361E-12</v>
      </c>
      <c r="BG191" s="22">
        <f t="shared" si="168"/>
        <v>3.3837175350986671E-12</v>
      </c>
      <c r="BH191" s="62">
        <f t="shared" si="116"/>
        <v>290.42653964444804</v>
      </c>
      <c r="BI191" s="62">
        <f ca="1">AVERAGE(OFFSET($BH$3,0,0,'Données projet'!$E$11+1,1))-AVERAGE(OFFSET($H$3,0,0,'Données projet'!$E$11+1,1))</f>
        <v>475.58735584427552</v>
      </c>
      <c r="BJ191" s="62">
        <f t="shared" si="146"/>
        <v>294.51413339056131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4.9658410716801891E-14</v>
      </c>
      <c r="CA191" s="14">
        <f t="shared" si="170"/>
        <v>8.0934058173791862E-13</v>
      </c>
      <c r="CB191" s="22">
        <f t="shared" si="171"/>
        <v>1.4960899118586383E-12</v>
      </c>
      <c r="CC191" s="62">
        <f t="shared" si="119"/>
        <v>290.42653964444611</v>
      </c>
      <c r="CD191" s="62">
        <f ca="1">AVERAGE(OFFSET($CC$3,0,0,'Données projet'!$E$12+1,1))-AVERAGE(OFFSET($H$3,0,0,'Données projet'!$E$12+1,1))</f>
        <v>344.32696811748974</v>
      </c>
      <c r="CE191" s="62">
        <f t="shared" si="148"/>
        <v>411.51927518440766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0.1307835536663926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0.1307835536663926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473.14533251757302</v>
      </c>
      <c r="CZ191" s="62">
        <f t="shared" si="150"/>
        <v>299.82031908667142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3.0028473416313775E-2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3.0028473416313775E-2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89.751456703373435</v>
      </c>
      <c r="DU191" s="62">
        <f t="shared" si="152"/>
        <v>433.35713950666889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2.9032079153957828</v>
      </c>
      <c r="EB191" s="23">
        <f>EXP(-LN(2)/25)*EB190+(1-EXP(-LN(2)/25))/(LN(2)/25)*Calculateur!DW191*Calculateur!DY191*VLOOKUP('Données projet'!$B$14,Paramètres!$A$1:$I$89,3,0)*0.475*44/12</f>
        <v>0.22386562696169379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3.1270735423574765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204.71144247550794</v>
      </c>
      <c r="EP191" s="62">
        <f t="shared" si="154"/>
        <v>409.91012463636184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4.3234643760120539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4.4003517780080603E-22</v>
      </c>
      <c r="EY191" s="24">
        <f t="shared" si="181"/>
        <v>4.3234643760120539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69.207238084848541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2.8000000000000003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10.266666666666667</v>
      </c>
      <c r="H192" s="70">
        <f t="shared" si="110"/>
        <v>188.90666666666664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1.5961632016114892E-13</v>
      </c>
      <c r="P192" s="14">
        <f t="shared" si="141"/>
        <v>2.2708641912150958E-12</v>
      </c>
      <c r="Q192" s="22">
        <f t="shared" si="162"/>
        <v>4.2330868906469593E-12</v>
      </c>
      <c r="R192" s="62">
        <f t="shared" si="109"/>
        <v>290.47696601633396</v>
      </c>
      <c r="S192" s="62">
        <f ca="1">AVERAGE(OFFSET($R$3,0,0,'Données projet'!$E$9+1,1))-AVERAGE(OFFSET($H$3,0,0,'Données projet'!$E$9+1,1))</f>
        <v>349.50936264852089</v>
      </c>
      <c r="T192" s="62">
        <f t="shared" si="142"/>
        <v>260.52733851266106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2">
        <f t="shared" si="113"/>
        <v>290.47696601633294</v>
      </c>
      <c r="AN192" s="62">
        <f ca="1">AVERAGE(OFFSET($AM$3,0,0,'Données projet'!$E$10+1,1))-AVERAGE(OFFSET($H$3,0,0,'Données projet'!$E$10+1,1))</f>
        <v>447.04988989014134</v>
      </c>
      <c r="AO192" s="62">
        <f t="shared" si="144"/>
        <v>278.04061554501783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1.2414602679200469E-13</v>
      </c>
      <c r="BF192" s="14">
        <f t="shared" si="167"/>
        <v>1.8186582995804361E-12</v>
      </c>
      <c r="BG192" s="22">
        <f t="shared" si="168"/>
        <v>3.3837175350986671E-12</v>
      </c>
      <c r="BH192" s="62">
        <f t="shared" si="116"/>
        <v>290.47696601633317</v>
      </c>
      <c r="BI192" s="62">
        <f ca="1">AVERAGE(OFFSET($BH$3,0,0,'Données projet'!$E$11+1,1))-AVERAGE(OFFSET($H$3,0,0,'Données projet'!$E$11+1,1))</f>
        <v>475.58735584427552</v>
      </c>
      <c r="BJ192" s="62">
        <f t="shared" si="146"/>
        <v>294.51413339056131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4.9658410716801891E-14</v>
      </c>
      <c r="CA192" s="14">
        <f t="shared" si="170"/>
        <v>8.0934058173791862E-13</v>
      </c>
      <c r="CB192" s="22">
        <f t="shared" si="171"/>
        <v>1.4960899118586383E-12</v>
      </c>
      <c r="CC192" s="62">
        <f t="shared" si="119"/>
        <v>290.47696601633123</v>
      </c>
      <c r="CD192" s="62">
        <f ca="1">AVERAGE(OFFSET($CC$3,0,0,'Données projet'!$E$12+1,1))-AVERAGE(OFFSET($H$3,0,0,'Données projet'!$E$12+1,1))</f>
        <v>344.32696811748974</v>
      </c>
      <c r="CE192" s="62">
        <f t="shared" si="148"/>
        <v>411.51927518440766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0.12720727051377692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0.12720727051377692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473.14533251757302</v>
      </c>
      <c r="CZ192" s="62">
        <f t="shared" si="150"/>
        <v>299.82031908667142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2.920734323161589E-2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2.920734323161589E-2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89.751456703373435</v>
      </c>
      <c r="DU192" s="62">
        <f t="shared" si="152"/>
        <v>433.35713950666889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2.8462777789568499</v>
      </c>
      <c r="EB192" s="23">
        <f>EXP(-LN(2)/25)*EB191+(1-EXP(-LN(2)/25))/(LN(2)/25)*Calculateur!DW192*Calculateur!DY192*VLOOKUP('Données projet'!$B$14,Paramètres!$A$1:$I$89,3,0)*0.475*44/12</f>
        <v>0.21774400961984461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3.0640217885766945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204.71144247550794</v>
      </c>
      <c r="EP192" s="62">
        <f t="shared" si="154"/>
        <v>409.91012463636184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4.2386838766513399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3.1115185818357809E-22</v>
      </c>
      <c r="EY192" s="24">
        <f t="shared" si="181"/>
        <v>4.2386838766513399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69.220990731726289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2.8000000000000003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10.266666666666667</v>
      </c>
      <c r="H193" s="70">
        <f t="shared" si="110"/>
        <v>188.90666666666664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1.5961632016114892E-13</v>
      </c>
      <c r="P193" s="14">
        <f t="shared" si="141"/>
        <v>2.2708641912150958E-12</v>
      </c>
      <c r="Q193" s="22">
        <f t="shared" si="162"/>
        <v>4.2330868906469593E-12</v>
      </c>
      <c r="R193" s="62">
        <f t="shared" si="109"/>
        <v>290.52651760340331</v>
      </c>
      <c r="S193" s="62">
        <f ca="1">AVERAGE(OFFSET($R$3,0,0,'Données projet'!$E$9+1,1))-AVERAGE(OFFSET($H$3,0,0,'Données projet'!$E$9+1,1))</f>
        <v>349.50936264852089</v>
      </c>
      <c r="T193" s="62">
        <f t="shared" si="142"/>
        <v>260.52733851266106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2">
        <f t="shared" si="113"/>
        <v>290.52651760340228</v>
      </c>
      <c r="AN193" s="62">
        <f ca="1">AVERAGE(OFFSET($AM$3,0,0,'Données projet'!$E$10+1,1))-AVERAGE(OFFSET($H$3,0,0,'Données projet'!$E$10+1,1))</f>
        <v>447.04988989014134</v>
      </c>
      <c r="AO193" s="62">
        <f t="shared" si="144"/>
        <v>278.04061554501783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1.2414602679200469E-13</v>
      </c>
      <c r="BF193" s="14">
        <f t="shared" si="167"/>
        <v>1.8186582995804361E-12</v>
      </c>
      <c r="BG193" s="22">
        <f t="shared" si="168"/>
        <v>3.3837175350986671E-12</v>
      </c>
      <c r="BH193" s="62">
        <f t="shared" si="116"/>
        <v>290.52651760340251</v>
      </c>
      <c r="BI193" s="62">
        <f ca="1">AVERAGE(OFFSET($BH$3,0,0,'Données projet'!$E$11+1,1))-AVERAGE(OFFSET($H$3,0,0,'Données projet'!$E$11+1,1))</f>
        <v>475.58735584427552</v>
      </c>
      <c r="BJ193" s="62">
        <f t="shared" si="146"/>
        <v>294.51413339056131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4.9658410716801891E-14</v>
      </c>
      <c r="CA193" s="14">
        <f t="shared" si="170"/>
        <v>8.0934058173791862E-13</v>
      </c>
      <c r="CB193" s="22">
        <f t="shared" si="171"/>
        <v>1.4960899118586383E-12</v>
      </c>
      <c r="CC193" s="62">
        <f t="shared" si="119"/>
        <v>290.52651760340058</v>
      </c>
      <c r="CD193" s="62">
        <f ca="1">AVERAGE(OFFSET($CC$3,0,0,'Données projet'!$E$12+1,1))-AVERAGE(OFFSET($H$3,0,0,'Données projet'!$E$12+1,1))</f>
        <v>344.32696811748974</v>
      </c>
      <c r="CE193" s="62">
        <f t="shared" si="148"/>
        <v>411.51927518440766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0.12372878101203807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0.12372878101203807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473.14533251757302</v>
      </c>
      <c r="CZ193" s="62">
        <f t="shared" si="150"/>
        <v>299.82031908667142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2.8408666894999927E-2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2.8408666894999927E-2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89.751456703373435</v>
      </c>
      <c r="DU193" s="62">
        <f t="shared" si="152"/>
        <v>433.35713950666889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2.7904640077695295</v>
      </c>
      <c r="EB193" s="23">
        <f>EXP(-LN(2)/25)*EB192+(1-EXP(-LN(2)/25))/(LN(2)/25)*Calculateur!DW193*Calculateur!DY193*VLOOKUP('Données projet'!$B$14,Paramètres!$A$1:$I$89,3,0)*0.475*44/12</f>
        <v>0.21178978822613015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3.0022537959956597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204.71144247550794</v>
      </c>
      <c r="EP193" s="62">
        <f t="shared" si="154"/>
        <v>409.91012463636184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4.1555658711720902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2.2001758890040301E-22</v>
      </c>
      <c r="EY193" s="24">
        <f t="shared" si="181"/>
        <v>4.1555658711720902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69.234504800927027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2.8000000000000003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10.266666666666667</v>
      </c>
      <c r="H194" s="70">
        <f t="shared" si="110"/>
        <v>188.90666666666664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1.5961632016114892E-13</v>
      </c>
      <c r="P194" s="14">
        <f t="shared" si="141"/>
        <v>2.2708641912150958E-12</v>
      </c>
      <c r="Q194" s="22">
        <f t="shared" si="162"/>
        <v>4.2330868906469593E-12</v>
      </c>
      <c r="R194" s="62">
        <f t="shared" si="109"/>
        <v>290.57520958121779</v>
      </c>
      <c r="S194" s="62">
        <f ca="1">AVERAGE(OFFSET($R$3,0,0,'Données projet'!$E$9+1,1))-AVERAGE(OFFSET($H$3,0,0,'Données projet'!$E$9+1,1))</f>
        <v>349.50936264852089</v>
      </c>
      <c r="T194" s="62">
        <f t="shared" si="142"/>
        <v>260.52733851266106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2">
        <f t="shared" si="113"/>
        <v>290.57520958121677</v>
      </c>
      <c r="AN194" s="62">
        <f ca="1">AVERAGE(OFFSET($AM$3,0,0,'Données projet'!$E$10+1,1))-AVERAGE(OFFSET($H$3,0,0,'Données projet'!$E$10+1,1))</f>
        <v>447.04988989014134</v>
      </c>
      <c r="AO194" s="62">
        <f t="shared" si="144"/>
        <v>278.04061554501783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1.2414602679200469E-13</v>
      </c>
      <c r="BF194" s="14">
        <f t="shared" si="167"/>
        <v>1.8186582995804361E-12</v>
      </c>
      <c r="BG194" s="22">
        <f t="shared" si="168"/>
        <v>3.3837175350986671E-12</v>
      </c>
      <c r="BH194" s="62">
        <f t="shared" si="116"/>
        <v>290.575209581217</v>
      </c>
      <c r="BI194" s="62">
        <f ca="1">AVERAGE(OFFSET($BH$3,0,0,'Données projet'!$E$11+1,1))-AVERAGE(OFFSET($H$3,0,0,'Données projet'!$E$11+1,1))</f>
        <v>475.58735584427552</v>
      </c>
      <c r="BJ194" s="62">
        <f t="shared" si="146"/>
        <v>294.51413339056131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4.9658410716801891E-14</v>
      </c>
      <c r="CA194" s="14">
        <f t="shared" si="170"/>
        <v>8.0934058173791862E-13</v>
      </c>
      <c r="CB194" s="22">
        <f t="shared" si="171"/>
        <v>1.4960899118586383E-12</v>
      </c>
      <c r="CC194" s="62">
        <f t="shared" si="119"/>
        <v>290.57520958121506</v>
      </c>
      <c r="CD194" s="62">
        <f ca="1">AVERAGE(OFFSET($CC$3,0,0,'Données projet'!$E$12+1,1))-AVERAGE(OFFSET($H$3,0,0,'Données projet'!$E$12+1,1))</f>
        <v>344.32696811748974</v>
      </c>
      <c r="CE194" s="62">
        <f t="shared" si="148"/>
        <v>411.51927518440766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0.12034541098865009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0.12034541098865009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473.14533251757302</v>
      </c>
      <c r="CZ194" s="62">
        <f t="shared" si="150"/>
        <v>299.82031908667142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2.763183040480929E-2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2.763183040480929E-2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89.751456703373435</v>
      </c>
      <c r="DU194" s="62">
        <f t="shared" si="152"/>
        <v>433.35713950666889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2.735744710592154</v>
      </c>
      <c r="EB194" s="23">
        <f>EXP(-LN(2)/25)*EB193+(1-EXP(-LN(2)/25))/(LN(2)/25)*Calculateur!DW194*Calculateur!DY194*VLOOKUP('Données projet'!$B$14,Paramètres!$A$1:$I$89,3,0)*0.475*44/12</f>
        <v>0.2059983853295457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2.9417430959216997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204.71144247550794</v>
      </c>
      <c r="EP194" s="62">
        <f t="shared" si="154"/>
        <v>409.91012463636184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4.0740777590833117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1.5557592909178904E-22</v>
      </c>
      <c r="EY194" s="24">
        <f t="shared" si="181"/>
        <v>4.0740777590833117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69.247784431240063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2.8000000000000003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10.266666666666667</v>
      </c>
      <c r="H195" s="70">
        <f t="shared" si="110"/>
        <v>188.90666666666664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1.5961632016114892E-13</v>
      </c>
      <c r="P195" s="14">
        <f t="shared" si="141"/>
        <v>2.2708641912150958E-12</v>
      </c>
      <c r="Q195" s="22">
        <f t="shared" si="162"/>
        <v>4.2330868906469593E-12</v>
      </c>
      <c r="R195" s="62">
        <f t="shared" ref="R195:R203" si="191">Q195+(I195+J195)*44/12</f>
        <v>290.62305686207611</v>
      </c>
      <c r="S195" s="62">
        <f ca="1">AVERAGE(OFFSET($R$3,0,0,'Données projet'!$E$9+1,1))-AVERAGE(OFFSET($H$3,0,0,'Données projet'!$E$9+1,1))</f>
        <v>349.50936264852089</v>
      </c>
      <c r="T195" s="62">
        <f t="shared" si="142"/>
        <v>260.52733851266106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2">
        <f t="shared" si="113"/>
        <v>290.62305686207509</v>
      </c>
      <c r="AN195" s="62">
        <f ca="1">AVERAGE(OFFSET($AM$3,0,0,'Données projet'!$E$10+1,1))-AVERAGE(OFFSET($H$3,0,0,'Données projet'!$E$10+1,1))</f>
        <v>447.04988989014134</v>
      </c>
      <c r="AO195" s="62">
        <f t="shared" si="144"/>
        <v>278.04061554501783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1.2414602679200469E-13</v>
      </c>
      <c r="BF195" s="14">
        <f t="shared" si="167"/>
        <v>1.8186582995804361E-12</v>
      </c>
      <c r="BG195" s="22">
        <f t="shared" si="168"/>
        <v>3.3837175350986671E-12</v>
      </c>
      <c r="BH195" s="62">
        <f t="shared" si="116"/>
        <v>290.62305686207532</v>
      </c>
      <c r="BI195" s="62">
        <f ca="1">AVERAGE(OFFSET($BH$3,0,0,'Données projet'!$E$11+1,1))-AVERAGE(OFFSET($H$3,0,0,'Données projet'!$E$11+1,1))</f>
        <v>475.58735584427552</v>
      </c>
      <c r="BJ195" s="62">
        <f t="shared" si="146"/>
        <v>294.51413339056131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4.9658410716801891E-14</v>
      </c>
      <c r="CA195" s="14">
        <f t="shared" si="170"/>
        <v>8.0934058173791862E-13</v>
      </c>
      <c r="CB195" s="22">
        <f t="shared" si="171"/>
        <v>1.4960899118586383E-12</v>
      </c>
      <c r="CC195" s="62">
        <f t="shared" si="119"/>
        <v>290.62305686207338</v>
      </c>
      <c r="CD195" s="62">
        <f ca="1">AVERAGE(OFFSET($CC$3,0,0,'Données projet'!$E$12+1,1))-AVERAGE(OFFSET($H$3,0,0,'Données projet'!$E$12+1,1))</f>
        <v>344.32696811748974</v>
      </c>
      <c r="CE195" s="62">
        <f t="shared" si="148"/>
        <v>411.51927518440766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0.11705455939647534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0.11705455939647534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473.14533251757302</v>
      </c>
      <c r="CZ195" s="62">
        <f t="shared" si="150"/>
        <v>299.82031908667142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2.6876236549294972E-2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2.6876236549294972E-2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89.751456703373435</v>
      </c>
      <c r="DU195" s="62">
        <f t="shared" si="152"/>
        <v>433.35713950666889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2.6820984254569509</v>
      </c>
      <c r="EB195" s="23">
        <f>EXP(-LN(2)/25)*EB194+(1-EXP(-LN(2)/25))/(LN(2)/25)*Calculateur!DW195*Calculateur!DY195*VLOOKUP('Données projet'!$B$14,Paramètres!$A$1:$I$89,3,0)*0.475*44/12</f>
        <v>0.20036534864972499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2.8824637741066761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204.71144247550794</v>
      </c>
      <c r="EP195" s="62">
        <f t="shared" si="154"/>
        <v>409.91012463636184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3.9941875791697532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1.1000879445020151E-22</v>
      </c>
      <c r="EY195" s="24">
        <f t="shared" si="181"/>
        <v>3.9941875791697532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69.260833689655968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2.8000000000000003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10.266666666666667</v>
      </c>
      <c r="H196" s="70">
        <f t="shared" ref="H196:H203" si="192">(B196+E196+F196)*44/12+(C196+D196)*0.475*44/12</f>
        <v>188.90666666666664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1.5961632016114892E-13</v>
      </c>
      <c r="P196" s="14">
        <f t="shared" si="141"/>
        <v>2.2708641912150958E-12</v>
      </c>
      <c r="Q196" s="22">
        <f t="shared" si="162"/>
        <v>4.2330868906469593E-12</v>
      </c>
      <c r="R196" s="62">
        <f t="shared" si="191"/>
        <v>290.67007409958205</v>
      </c>
      <c r="S196" s="62">
        <f ca="1">AVERAGE(OFFSET($R$3,0,0,'Données projet'!$E$9+1,1))-AVERAGE(OFFSET($H$3,0,0,'Données projet'!$E$9+1,1))</f>
        <v>349.50936264852089</v>
      </c>
      <c r="T196" s="62">
        <f t="shared" si="142"/>
        <v>260.52733851266106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2">
        <f t="shared" ref="AM196:AM203" si="193">AL196+(AD196+AE196)*44/12</f>
        <v>290.67007409958103</v>
      </c>
      <c r="AN196" s="62">
        <f ca="1">AVERAGE(OFFSET($AM$3,0,0,'Données projet'!$E$10+1,1))-AVERAGE(OFFSET($H$3,0,0,'Données projet'!$E$10+1,1))</f>
        <v>447.04988989014134</v>
      </c>
      <c r="AO196" s="62">
        <f t="shared" si="144"/>
        <v>278.04061554501783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1.2414602679200469E-13</v>
      </c>
      <c r="BF196" s="14">
        <f t="shared" si="167"/>
        <v>1.8186582995804361E-12</v>
      </c>
      <c r="BG196" s="22">
        <f t="shared" si="168"/>
        <v>3.3837175350986671E-12</v>
      </c>
      <c r="BH196" s="62">
        <f t="shared" ref="BH196:BH203" si="194">BG196+(AY196+AZ196)*44/12</f>
        <v>290.67007409958126</v>
      </c>
      <c r="BI196" s="62">
        <f ca="1">AVERAGE(OFFSET($BH$3,0,0,'Données projet'!$E$11+1,1))-AVERAGE(OFFSET($H$3,0,0,'Données projet'!$E$11+1,1))</f>
        <v>475.58735584427552</v>
      </c>
      <c r="BJ196" s="62">
        <f t="shared" si="146"/>
        <v>294.51413339056131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4.9658410716801891E-14</v>
      </c>
      <c r="CA196" s="14">
        <f t="shared" si="170"/>
        <v>8.0934058173791862E-13</v>
      </c>
      <c r="CB196" s="22">
        <f t="shared" si="171"/>
        <v>1.4960899118586383E-12</v>
      </c>
      <c r="CC196" s="62">
        <f t="shared" ref="CC196:CC203" si="195">CB196+(BT196+BU196)*44/12</f>
        <v>290.67007409957932</v>
      </c>
      <c r="CD196" s="62">
        <f ca="1">AVERAGE(OFFSET($CC$3,0,0,'Données projet'!$E$12+1,1))-AVERAGE(OFFSET($H$3,0,0,'Données projet'!$E$12+1,1))</f>
        <v>344.32696811748974</v>
      </c>
      <c r="CE196" s="62">
        <f t="shared" si="148"/>
        <v>411.51927518440766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0.11385369631414698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0.11385369631414698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473.14533251757302</v>
      </c>
      <c r="CZ196" s="62">
        <f t="shared" si="150"/>
        <v>299.82031908667142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2.6141304447494646E-2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2.6141304447494646E-2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89.751456703373435</v>
      </c>
      <c r="DU196" s="62">
        <f t="shared" si="152"/>
        <v>433.35713950666889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2.6295041112522459</v>
      </c>
      <c r="EB196" s="23">
        <f>EXP(-LN(2)/25)*EB195+(1-EXP(-LN(2)/25))/(LN(2)/25)*Calculateur!DW196*Calculateur!DY196*VLOOKUP('Données projet'!$B$14,Paramètres!$A$1:$I$89,3,0)*0.475*44/12</f>
        <v>0.19488634765414253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2.8243904589063886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204.71144247550794</v>
      </c>
      <c r="EP196" s="62">
        <f t="shared" si="154"/>
        <v>409.91012463636184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3.9158639969561015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7.7787964545894522E-23</v>
      </c>
      <c r="EY196" s="24">
        <f t="shared" si="181"/>
        <v>3.9158639969561015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69.27365657261214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2.8000000000000003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10.266666666666667</v>
      </c>
      <c r="H197" s="70">
        <f t="shared" si="192"/>
        <v>188.90666666666664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1.5961632016114892E-13</v>
      </c>
      <c r="P197" s="14">
        <f t="shared" ref="P197:P203" si="203">EXP(-1.0587+0.8836*LN(O197)+0.284)</f>
        <v>2.2708641912150958E-12</v>
      </c>
      <c r="Q197" s="22">
        <f t="shared" si="162"/>
        <v>4.2330868906469593E-12</v>
      </c>
      <c r="R197" s="62">
        <f t="shared" si="191"/>
        <v>290.7162756931321</v>
      </c>
      <c r="S197" s="62">
        <f ca="1">AVERAGE(OFFSET($R$3,0,0,'Données projet'!$E$9+1,1))-AVERAGE(OFFSET($H$3,0,0,'Données projet'!$E$9+1,1))</f>
        <v>349.50936264852089</v>
      </c>
      <c r="T197" s="62">
        <f t="shared" ref="T197:T203" si="204">$T$3</f>
        <v>260.52733851266106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2">
        <f t="shared" si="193"/>
        <v>290.71627569313108</v>
      </c>
      <c r="AN197" s="62">
        <f ca="1">AVERAGE(OFFSET($AM$3,0,0,'Données projet'!$E$10+1,1))-AVERAGE(OFFSET($H$3,0,0,'Données projet'!$E$10+1,1))</f>
        <v>447.04988989014134</v>
      </c>
      <c r="AO197" s="62">
        <f t="shared" ref="AO197:AO203" si="205">$AO$3</f>
        <v>278.04061554501783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1.2414602679200469E-13</v>
      </c>
      <c r="BF197" s="14">
        <f t="shared" si="167"/>
        <v>1.8186582995804361E-12</v>
      </c>
      <c r="BG197" s="22">
        <f t="shared" si="168"/>
        <v>3.3837175350986671E-12</v>
      </c>
      <c r="BH197" s="62">
        <f t="shared" si="194"/>
        <v>290.71627569313131</v>
      </c>
      <c r="BI197" s="62">
        <f ca="1">AVERAGE(OFFSET($BH$3,0,0,'Données projet'!$E$11+1,1))-AVERAGE(OFFSET($H$3,0,0,'Données projet'!$E$11+1,1))</f>
        <v>475.58735584427552</v>
      </c>
      <c r="BJ197" s="62">
        <f t="shared" ref="BJ197:BJ203" si="206">$BJ$3</f>
        <v>294.51413339056131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4.9658410716801891E-14</v>
      </c>
      <c r="CA197" s="14">
        <f t="shared" si="170"/>
        <v>8.0934058173791862E-13</v>
      </c>
      <c r="CB197" s="22">
        <f t="shared" si="171"/>
        <v>1.4960899118586383E-12</v>
      </c>
      <c r="CC197" s="62">
        <f t="shared" si="195"/>
        <v>290.71627569312938</v>
      </c>
      <c r="CD197" s="62">
        <f ca="1">AVERAGE(OFFSET($CC$3,0,0,'Données projet'!$E$12+1,1))-AVERAGE(OFFSET($H$3,0,0,'Données projet'!$E$12+1,1))</f>
        <v>344.32696811748974</v>
      </c>
      <c r="CE197" s="62">
        <f t="shared" ref="CE197:CE203" si="207">$CE$3</f>
        <v>411.51927518440766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0.11074036100113095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0.11074036100113095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473.14533251757302</v>
      </c>
      <c r="CZ197" s="62">
        <f t="shared" ref="CZ197:CZ203" si="208">$CZ$3</f>
        <v>299.82031908667142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2.5426469102666452E-2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2.5426469102666452E-2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89.751456703373435</v>
      </c>
      <c r="DU197" s="62">
        <f t="shared" ref="DU197:DU203" si="209">$DU$3</f>
        <v>433.35713950666889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2.5779411394697314</v>
      </c>
      <c r="EB197" s="23">
        <f>EXP(-LN(2)/25)*EB196+(1-EXP(-LN(2)/25))/(LN(2)/25)*Calculateur!DW197*Calculateur!DY197*VLOOKUP('Données projet'!$B$14,Paramètres!$A$1:$I$89,3,0)*0.475*44/12</f>
        <v>0.18955717022891241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2.7674983096986439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204.71144247550794</v>
      </c>
      <c r="EP197" s="62">
        <f t="shared" ref="EP197:EP203" si="210">$EP$3</f>
        <v>409.91012463636184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3.8390762924169914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5.5004397225100753E-23</v>
      </c>
      <c r="EY197" s="24">
        <f t="shared" si="181"/>
        <v>3.8390762924169914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69.28625700721669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2.8000000000000003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10.266666666666667</v>
      </c>
      <c r="H198" s="70">
        <f t="shared" si="192"/>
        <v>188.90666666666664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1.5961632016114892E-13</v>
      </c>
      <c r="P198" s="14">
        <f t="shared" si="203"/>
        <v>2.2708641912150958E-12</v>
      </c>
      <c r="Q198" s="22">
        <f t="shared" si="162"/>
        <v>4.2330868906469593E-12</v>
      </c>
      <c r="R198" s="62">
        <f t="shared" si="191"/>
        <v>290.76167579232521</v>
      </c>
      <c r="S198" s="62">
        <f ca="1">AVERAGE(OFFSET($R$3,0,0,'Données projet'!$E$9+1,1))-AVERAGE(OFFSET($H$3,0,0,'Données projet'!$E$9+1,1))</f>
        <v>349.50936264852089</v>
      </c>
      <c r="T198" s="62">
        <f t="shared" si="204"/>
        <v>260.52733851266106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2">
        <f t="shared" si="193"/>
        <v>290.76167579232418</v>
      </c>
      <c r="AN198" s="62">
        <f ca="1">AVERAGE(OFFSET($AM$3,0,0,'Données projet'!$E$10+1,1))-AVERAGE(OFFSET($H$3,0,0,'Données projet'!$E$10+1,1))</f>
        <v>447.04988989014134</v>
      </c>
      <c r="AO198" s="62">
        <f t="shared" si="205"/>
        <v>278.04061554501783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1.2414602679200469E-13</v>
      </c>
      <c r="BF198" s="14">
        <f t="shared" si="167"/>
        <v>1.8186582995804361E-12</v>
      </c>
      <c r="BG198" s="22">
        <f t="shared" si="168"/>
        <v>3.3837175350986671E-12</v>
      </c>
      <c r="BH198" s="62">
        <f t="shared" si="194"/>
        <v>290.76167579232441</v>
      </c>
      <c r="BI198" s="62">
        <f ca="1">AVERAGE(OFFSET($BH$3,0,0,'Données projet'!$E$11+1,1))-AVERAGE(OFFSET($H$3,0,0,'Données projet'!$E$11+1,1))</f>
        <v>475.58735584427552</v>
      </c>
      <c r="BJ198" s="62">
        <f t="shared" si="206"/>
        <v>294.51413339056131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4.9658410716801891E-14</v>
      </c>
      <c r="CA198" s="14">
        <f t="shared" si="170"/>
        <v>8.0934058173791862E-13</v>
      </c>
      <c r="CB198" s="22">
        <f t="shared" si="171"/>
        <v>1.4960899118586383E-12</v>
      </c>
      <c r="CC198" s="62">
        <f t="shared" si="195"/>
        <v>290.76167579232248</v>
      </c>
      <c r="CD198" s="62">
        <f ca="1">AVERAGE(OFFSET($CC$3,0,0,'Données projet'!$E$12+1,1))-AVERAGE(OFFSET($H$3,0,0,'Données projet'!$E$12+1,1))</f>
        <v>344.32696811748974</v>
      </c>
      <c r="CE198" s="62">
        <f t="shared" si="207"/>
        <v>411.51927518440766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0.10771216000597254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0.10771216000597254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473.14533251757302</v>
      </c>
      <c r="CZ198" s="62">
        <f t="shared" si="208"/>
        <v>299.82031908667142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2.4731180967934141E-2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2.4731180967934141E-2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89.751456703373435</v>
      </c>
      <c r="DU198" s="62">
        <f t="shared" si="209"/>
        <v>433.35713950666889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2.5273892861135643</v>
      </c>
      <c r="EB198" s="23">
        <f>EXP(-LN(2)/25)*EB197+(1-EXP(-LN(2)/25))/(LN(2)/25)*Calculateur!DW198*Calculateur!DY198*VLOOKUP('Données projet'!$B$14,Paramètres!$A$1:$I$89,3,0)*0.475*44/12</f>
        <v>0.18437371944062447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2.7117630055541886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204.71144247550794</v>
      </c>
      <c r="EP198" s="62">
        <f t="shared" si="210"/>
        <v>409.91012463636184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3.7637943479280183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3.8893982272947261E-23</v>
      </c>
      <c r="EY198" s="24">
        <f t="shared" si="181"/>
        <v>3.7637943479280183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69.298638852451191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2.8000000000000003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10.266666666666667</v>
      </c>
      <c r="H199" s="70">
        <f t="shared" si="192"/>
        <v>188.90666666666664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1.5961632016114892E-13</v>
      </c>
      <c r="P199" s="14">
        <f t="shared" si="203"/>
        <v>2.2708641912150958E-12</v>
      </c>
      <c r="Q199" s="22">
        <f t="shared" si="162"/>
        <v>4.2330868906469593E-12</v>
      </c>
      <c r="R199" s="62">
        <f t="shared" si="191"/>
        <v>290.80628830129689</v>
      </c>
      <c r="S199" s="62">
        <f ca="1">AVERAGE(OFFSET($R$3,0,0,'Données projet'!$E$9+1,1))-AVERAGE(OFFSET($H$3,0,0,'Données projet'!$E$9+1,1))</f>
        <v>349.50936264852089</v>
      </c>
      <c r="T199" s="62">
        <f t="shared" si="204"/>
        <v>260.52733851266106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2">
        <f t="shared" si="193"/>
        <v>290.80628830129587</v>
      </c>
      <c r="AN199" s="62">
        <f ca="1">AVERAGE(OFFSET($AM$3,0,0,'Données projet'!$E$10+1,1))-AVERAGE(OFFSET($H$3,0,0,'Données projet'!$E$10+1,1))</f>
        <v>447.04988989014134</v>
      </c>
      <c r="AO199" s="62">
        <f t="shared" si="205"/>
        <v>278.04061554501783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1.2414602679200469E-13</v>
      </c>
      <c r="BF199" s="14">
        <f t="shared" si="167"/>
        <v>1.8186582995804361E-12</v>
      </c>
      <c r="BG199" s="22">
        <f t="shared" si="168"/>
        <v>3.3837175350986671E-12</v>
      </c>
      <c r="BH199" s="62">
        <f t="shared" si="194"/>
        <v>290.80628830129609</v>
      </c>
      <c r="BI199" s="62">
        <f ca="1">AVERAGE(OFFSET($BH$3,0,0,'Données projet'!$E$11+1,1))-AVERAGE(OFFSET($H$3,0,0,'Données projet'!$E$11+1,1))</f>
        <v>475.58735584427552</v>
      </c>
      <c r="BJ199" s="62">
        <f t="shared" si="206"/>
        <v>294.51413339056131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4.9658410716801891E-14</v>
      </c>
      <c r="CA199" s="14">
        <f t="shared" si="170"/>
        <v>8.0934058173791862E-13</v>
      </c>
      <c r="CB199" s="22">
        <f t="shared" si="171"/>
        <v>1.4960899118586383E-12</v>
      </c>
      <c r="CC199" s="62">
        <f t="shared" si="195"/>
        <v>290.80628830129416</v>
      </c>
      <c r="CD199" s="62">
        <f ca="1">AVERAGE(OFFSET($CC$3,0,0,'Données projet'!$E$12+1,1))-AVERAGE(OFFSET($H$3,0,0,'Données projet'!$E$12+1,1))</f>
        <v>344.32696811748974</v>
      </c>
      <c r="CE199" s="62">
        <f t="shared" si="207"/>
        <v>411.51927518440766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0.10476676532627291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0.10476676532627291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473.14533251757302</v>
      </c>
      <c r="CZ199" s="62">
        <f t="shared" si="208"/>
        <v>299.82031908667142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2.4054905523809698E-2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2.4054905523809698E-2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89.751456703373435</v>
      </c>
      <c r="DU199" s="62">
        <f t="shared" si="209"/>
        <v>433.35713950666889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2.477828723768126</v>
      </c>
      <c r="EB199" s="23">
        <f>EXP(-LN(2)/25)*EB198+(1-EXP(-LN(2)/25))/(LN(2)/25)*Calculateur!DW199*Calculateur!DY199*VLOOKUP('Données projet'!$B$14,Paramètres!$A$1:$I$89,3,0)*0.475*44/12</f>
        <v>0.17933201038672808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2.657160734154854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204.71144247550794</v>
      </c>
      <c r="EP199" s="62">
        <f t="shared" si="210"/>
        <v>409.91012463636184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3.6899886364530219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2.7502198612550377E-23</v>
      </c>
      <c r="EY199" s="24">
        <f t="shared" si="181"/>
        <v>3.6899886364530219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69.310805900352548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2.8000000000000003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10.266666666666667</v>
      </c>
      <c r="H200" s="70">
        <f t="shared" si="192"/>
        <v>188.90666666666664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1.5961632016114892E-13</v>
      </c>
      <c r="P200" s="14">
        <f t="shared" si="203"/>
        <v>2.2708641912150958E-12</v>
      </c>
      <c r="Q200" s="22">
        <f t="shared" si="162"/>
        <v>4.2330868906469593E-12</v>
      </c>
      <c r="R200" s="62">
        <f t="shared" si="191"/>
        <v>290.85012688297644</v>
      </c>
      <c r="S200" s="62">
        <f ca="1">AVERAGE(OFFSET($R$3,0,0,'Données projet'!$E$9+1,1))-AVERAGE(OFFSET($H$3,0,0,'Données projet'!$E$9+1,1))</f>
        <v>349.50936264852089</v>
      </c>
      <c r="T200" s="62">
        <f t="shared" si="204"/>
        <v>260.52733851266106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2">
        <f t="shared" si="193"/>
        <v>290.85012688297542</v>
      </c>
      <c r="AN200" s="62">
        <f ca="1">AVERAGE(OFFSET($AM$3,0,0,'Données projet'!$E$10+1,1))-AVERAGE(OFFSET($H$3,0,0,'Données projet'!$E$10+1,1))</f>
        <v>447.04988989014134</v>
      </c>
      <c r="AO200" s="62">
        <f t="shared" si="205"/>
        <v>278.04061554501783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1.2414602679200469E-13</v>
      </c>
      <c r="BF200" s="14">
        <f t="shared" si="167"/>
        <v>1.8186582995804361E-12</v>
      </c>
      <c r="BG200" s="22">
        <f t="shared" si="168"/>
        <v>3.3837175350986671E-12</v>
      </c>
      <c r="BH200" s="62">
        <f t="shared" si="194"/>
        <v>290.85012688297564</v>
      </c>
      <c r="BI200" s="62">
        <f ca="1">AVERAGE(OFFSET($BH$3,0,0,'Données projet'!$E$11+1,1))-AVERAGE(OFFSET($H$3,0,0,'Données projet'!$E$11+1,1))</f>
        <v>475.58735584427552</v>
      </c>
      <c r="BJ200" s="62">
        <f t="shared" si="206"/>
        <v>294.51413339056131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4.9658410716801891E-14</v>
      </c>
      <c r="CA200" s="14">
        <f t="shared" si="170"/>
        <v>8.0934058173791862E-13</v>
      </c>
      <c r="CB200" s="22">
        <f t="shared" si="171"/>
        <v>1.4960899118586383E-12</v>
      </c>
      <c r="CC200" s="62">
        <f t="shared" si="195"/>
        <v>290.85012688297371</v>
      </c>
      <c r="CD200" s="62">
        <f ca="1">AVERAGE(OFFSET($CC$3,0,0,'Données projet'!$E$12+1,1))-AVERAGE(OFFSET($H$3,0,0,'Données projet'!$E$12+1,1))</f>
        <v>344.32696811748974</v>
      </c>
      <c r="CE200" s="62">
        <f t="shared" si="207"/>
        <v>411.51927518440766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0.10190191261898124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0.10190191261898124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473.14533251757302</v>
      </c>
      <c r="CZ200" s="62">
        <f t="shared" si="208"/>
        <v>299.82031908667142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2.3397122867268617E-2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2.3397122867268617E-2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89.751456703373435</v>
      </c>
      <c r="DU200" s="62">
        <f t="shared" si="209"/>
        <v>433.35713950666889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2.4292400138213237</v>
      </c>
      <c r="EB200" s="23">
        <f>EXP(-LN(2)/25)*EB199+(1-EXP(-LN(2)/25))/(LN(2)/25)*Calculateur!DW200*Calculateur!DY200*VLOOKUP('Données projet'!$B$14,Paramètres!$A$1:$I$89,3,0)*0.475*44/12</f>
        <v>0.17442816713204246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2.6036681809533659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204.71144247550794</v>
      </c>
      <c r="EP200" s="62">
        <f t="shared" si="210"/>
        <v>409.91012463636184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3.6176302099630111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1.944699113647363E-23</v>
      </c>
      <c r="EY200" s="24">
        <f t="shared" si="181"/>
        <v>3.6176302099630111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69.322761877174244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2.8000000000000003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10.266666666666667</v>
      </c>
      <c r="H201" s="70">
        <f t="shared" si="192"/>
        <v>188.90666666666664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1.5961632016114892E-13</v>
      </c>
      <c r="P201" s="14">
        <f t="shared" si="203"/>
        <v>2.2708641912150958E-12</v>
      </c>
      <c r="Q201" s="22">
        <f t="shared" si="162"/>
        <v>4.2330868906469593E-12</v>
      </c>
      <c r="R201" s="62">
        <f t="shared" si="191"/>
        <v>290.89320496327224</v>
      </c>
      <c r="S201" s="62">
        <f ca="1">AVERAGE(OFFSET($R$3,0,0,'Données projet'!$E$9+1,1))-AVERAGE(OFFSET($H$3,0,0,'Données projet'!$E$9+1,1))</f>
        <v>349.50936264852089</v>
      </c>
      <c r="T201" s="62">
        <f t="shared" si="204"/>
        <v>260.52733851266106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2">
        <f t="shared" si="193"/>
        <v>290.89320496327122</v>
      </c>
      <c r="AN201" s="62">
        <f ca="1">AVERAGE(OFFSET($AM$3,0,0,'Données projet'!$E$10+1,1))-AVERAGE(OFFSET($H$3,0,0,'Données projet'!$E$10+1,1))</f>
        <v>447.04988989014134</v>
      </c>
      <c r="AO201" s="62">
        <f t="shared" si="205"/>
        <v>278.04061554501783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1.2414602679200469E-13</v>
      </c>
      <c r="BF201" s="14">
        <f t="shared" si="167"/>
        <v>1.8186582995804361E-12</v>
      </c>
      <c r="BG201" s="22">
        <f t="shared" si="168"/>
        <v>3.3837175350986671E-12</v>
      </c>
      <c r="BH201" s="62">
        <f t="shared" si="194"/>
        <v>290.89320496327144</v>
      </c>
      <c r="BI201" s="62">
        <f ca="1">AVERAGE(OFFSET($BH$3,0,0,'Données projet'!$E$11+1,1))-AVERAGE(OFFSET($H$3,0,0,'Données projet'!$E$11+1,1))</f>
        <v>475.58735584427552</v>
      </c>
      <c r="BJ201" s="62">
        <f t="shared" si="206"/>
        <v>294.51413339056131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4.9658410716801891E-14</v>
      </c>
      <c r="CA201" s="14">
        <f t="shared" si="170"/>
        <v>8.0934058173791862E-13</v>
      </c>
      <c r="CB201" s="22">
        <f t="shared" si="171"/>
        <v>1.4960899118586383E-12</v>
      </c>
      <c r="CC201" s="62">
        <f t="shared" si="195"/>
        <v>290.89320496326951</v>
      </c>
      <c r="CD201" s="62">
        <f ca="1">AVERAGE(OFFSET($CC$3,0,0,'Données projet'!$E$12+1,1))-AVERAGE(OFFSET($H$3,0,0,'Données projet'!$E$12+1,1))</f>
        <v>344.32696811748974</v>
      </c>
      <c r="CE201" s="62">
        <f t="shared" si="207"/>
        <v>411.51927518440766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9.911539945962651E-2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9.911539945962651E-2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473.14533251757302</v>
      </c>
      <c r="CZ201" s="62">
        <f t="shared" si="208"/>
        <v>299.82031908667142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2.275732731206194E-2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2.275732731206194E-2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89.751456703373435</v>
      </c>
      <c r="DU201" s="62">
        <f t="shared" si="209"/>
        <v>433.35713950666889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2.3816040988403913</v>
      </c>
      <c r="EB201" s="23">
        <f>EXP(-LN(2)/25)*EB200+(1-EXP(-LN(2)/25))/(LN(2)/25)*Calculateur!DW201*Calculateur!DY201*VLOOKUP('Données projet'!$B$14,Paramètres!$A$1:$I$89,3,0)*0.475*44/12</f>
        <v>0.16965841972903811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2.5512625185694295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204.71144247550794</v>
      </c>
      <c r="EP201" s="62">
        <f t="shared" si="210"/>
        <v>409.91012463636184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3.5466906880821871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1.3751099306275188E-23</v>
      </c>
      <c r="EY201" s="24">
        <f t="shared" si="181"/>
        <v>3.5466906880821871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69.334510444527652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2.8000000000000003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10.266666666666667</v>
      </c>
      <c r="H202" s="70">
        <f t="shared" si="192"/>
        <v>188.90666666666664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1.5961632016114892E-13</v>
      </c>
      <c r="P202" s="14">
        <f t="shared" si="203"/>
        <v>2.2708641912150958E-12</v>
      </c>
      <c r="Q202" s="22">
        <f t="shared" si="162"/>
        <v>4.2330868906469593E-12</v>
      </c>
      <c r="R202" s="62">
        <f t="shared" si="191"/>
        <v>290.93553573518312</v>
      </c>
      <c r="S202" s="62">
        <f ca="1">AVERAGE(OFFSET($R$3,0,0,'Données projet'!$E$9+1,1))-AVERAGE(OFFSET($H$3,0,0,'Données projet'!$E$9+1,1))</f>
        <v>349.50936264852089</v>
      </c>
      <c r="T202" s="62">
        <f t="shared" si="204"/>
        <v>260.52733851266106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2">
        <f t="shared" si="193"/>
        <v>290.9355357351821</v>
      </c>
      <c r="AN202" s="62">
        <f ca="1">AVERAGE(OFFSET($AM$3,0,0,'Données projet'!$E$10+1,1))-AVERAGE(OFFSET($H$3,0,0,'Données projet'!$E$10+1,1))</f>
        <v>447.04988989014134</v>
      </c>
      <c r="AO202" s="62">
        <f t="shared" si="205"/>
        <v>278.04061554501783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1.2414602679200469E-13</v>
      </c>
      <c r="BF202" s="14">
        <f t="shared" si="167"/>
        <v>1.8186582995804361E-12</v>
      </c>
      <c r="BG202" s="22">
        <f t="shared" si="168"/>
        <v>3.3837175350986671E-12</v>
      </c>
      <c r="BH202" s="62">
        <f t="shared" si="194"/>
        <v>290.93553573518233</v>
      </c>
      <c r="BI202" s="62">
        <f ca="1">AVERAGE(OFFSET($BH$3,0,0,'Données projet'!$E$11+1,1))-AVERAGE(OFFSET($H$3,0,0,'Données projet'!$E$11+1,1))</f>
        <v>475.58735584427552</v>
      </c>
      <c r="BJ202" s="62">
        <f t="shared" si="206"/>
        <v>294.51413339056131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4.9658410716801891E-14</v>
      </c>
      <c r="CA202" s="14">
        <f t="shared" si="170"/>
        <v>8.0934058173791862E-13</v>
      </c>
      <c r="CB202" s="22">
        <f t="shared" si="171"/>
        <v>1.4960899118586383E-12</v>
      </c>
      <c r="CC202" s="62">
        <f t="shared" si="195"/>
        <v>290.93553573518039</v>
      </c>
      <c r="CD202" s="62">
        <f ca="1">AVERAGE(OFFSET($CC$3,0,0,'Données projet'!$E$12+1,1))-AVERAGE(OFFSET($H$3,0,0,'Données projet'!$E$12+1,1))</f>
        <v>344.32696811748974</v>
      </c>
      <c r="CE202" s="62">
        <f t="shared" si="207"/>
        <v>411.51927518440766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9.6405083649150694E-2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9.6405083649150694E-2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473.14533251757302</v>
      </c>
      <c r="CZ202" s="62">
        <f t="shared" si="208"/>
        <v>299.82031908667142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2.2135026999957775E-2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2.2135026999957775E-2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89.751456703373435</v>
      </c>
      <c r="DU202" s="62">
        <f t="shared" si="209"/>
        <v>433.35713950666889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2.3349022950971956</v>
      </c>
      <c r="EB202" s="23">
        <f>EXP(-LN(2)/25)*EB201+(1-EXP(-LN(2)/25))/(LN(2)/25)*Calculateur!DW202*Calculateur!DY202*VLOOKUP('Données projet'!$B$14,Paramètres!$A$1:$I$89,3,0)*0.475*44/12</f>
        <v>0.16501910131959904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2.4999213964167946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204.71144247550794</v>
      </c>
      <c r="EP202" s="62">
        <f t="shared" si="210"/>
        <v>409.91012463636184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3.47714224695661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9.7234955682368152E-24</v>
      </c>
      <c r="EY202" s="24">
        <f t="shared" si="181"/>
        <v>3.47714224695661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69.346055200503343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2.8000000000000003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48.72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10.266666666666667</v>
      </c>
      <c r="H203" s="70">
        <f t="shared" si="192"/>
        <v>188.90666666666664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1.5961632016114892E-13</v>
      </c>
      <c r="P203" s="14">
        <f t="shared" si="203"/>
        <v>2.2708641912150958E-12</v>
      </c>
      <c r="Q203" s="22">
        <f t="shared" si="162"/>
        <v>4.2330868906469593E-12</v>
      </c>
      <c r="R203" s="62">
        <f t="shared" si="191"/>
        <v>290.97713216283881</v>
      </c>
      <c r="S203" s="62">
        <f ca="1">AVERAGE(OFFSET($R$3,0,0,'Données projet'!$E$9+1,1))-AVERAGE(OFFSET($H$3,0,0,'Données projet'!$E$9+1,1))</f>
        <v>349.50936264852089</v>
      </c>
      <c r="T203" s="62">
        <f t="shared" si="204"/>
        <v>260.52733851266106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2">
        <f t="shared" si="193"/>
        <v>290.97713216283779</v>
      </c>
      <c r="AN203" s="62">
        <f ca="1">AVERAGE(OFFSET($AM$3,0,0,'Données projet'!$E$10+1,1))-AVERAGE(OFFSET($H$3,0,0,'Données projet'!$E$10+1,1))</f>
        <v>447.04988989014134</v>
      </c>
      <c r="AO203" s="62">
        <f t="shared" si="205"/>
        <v>278.04061554501783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1.2414602679200469E-13</v>
      </c>
      <c r="BF203" s="14">
        <f t="shared" si="167"/>
        <v>1.8186582995804361E-12</v>
      </c>
      <c r="BG203" s="22">
        <f t="shared" si="168"/>
        <v>3.3837175350986671E-12</v>
      </c>
      <c r="BH203" s="62">
        <f t="shared" si="194"/>
        <v>290.97713216283802</v>
      </c>
      <c r="BI203" s="62">
        <f ca="1">AVERAGE(OFFSET($BH$3,0,0,'Données projet'!$E$11+1,1))-AVERAGE(OFFSET($H$3,0,0,'Données projet'!$E$11+1,1))</f>
        <v>475.58735584427552</v>
      </c>
      <c r="BJ203" s="62">
        <f t="shared" si="206"/>
        <v>294.51413339056131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4.9658410716801891E-14</v>
      </c>
      <c r="CA203" s="14">
        <f t="shared" si="170"/>
        <v>8.0934058173791862E-13</v>
      </c>
      <c r="CB203" s="22">
        <f t="shared" si="171"/>
        <v>1.4960899118586383E-12</v>
      </c>
      <c r="CC203" s="62">
        <f t="shared" si="195"/>
        <v>290.97713216283609</v>
      </c>
      <c r="CD203" s="62">
        <f ca="1">AVERAGE(OFFSET($CC$3,0,0,'Données projet'!$E$12+1,1))-AVERAGE(OFFSET($H$3,0,0,'Données projet'!$E$12+1,1))</f>
        <v>344.32696811748974</v>
      </c>
      <c r="CE203" s="62">
        <f t="shared" si="207"/>
        <v>411.51927518440766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9.3768881567041662E-2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9.3768881567041662E-2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473.14533251757302</v>
      </c>
      <c r="CZ203" s="62">
        <f t="shared" si="208"/>
        <v>299.82031908667142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2.152974352261345E-2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2.152974352261345E-2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89.751456703373435</v>
      </c>
      <c r="DU203" s="62">
        <f t="shared" si="209"/>
        <v>433.35713950666889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2.2891162852401163</v>
      </c>
      <c r="EB203" s="23">
        <f>EXP(-LN(2)/25)*EB202+(1-EXP(-LN(2)/25))/(LN(2)/25)*Calculateur!DW203*Calculateur!DY203*VLOOKUP('Données projet'!$B$14,Paramètres!$A$1:$I$89,3,0)*0.475*44/12</f>
        <v>0.16050664531603723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2.4496229305561537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204.71144247550794</v>
      </c>
      <c r="EP203" s="62">
        <f t="shared" si="210"/>
        <v>409.91012463636184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3.408957608341145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6.8755496531375942E-24</v>
      </c>
      <c r="EY203" s="24">
        <f t="shared" si="181"/>
        <v>3.408957608341145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69.357399680773071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1.1921598380198544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1.185906184594963</v>
      </c>
      <c r="BV205" s="88">
        <f>EXP(LN('Données projet'!B114)/'Données projet'!A114)</f>
        <v>1.3467943429205997</v>
      </c>
      <c r="CQ205" s="88">
        <f>EXP(LN('Données projet'!B140)/'Données projet'!A140)</f>
        <v>1.2392705892426346</v>
      </c>
      <c r="DL205" s="88">
        <f>EXP(LN('Données projet'!B166)/'Données projet'!A166)</f>
        <v>1.4044973807741585</v>
      </c>
      <c r="EG205" s="88">
        <f>EXP(LN('Données projet'!B192)/'Données projet'!A192)</f>
        <v>1.4261938757879591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1" workbookViewId="0">
      <selection activeCell="C59" sqref="C59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N12" sqref="N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0.36399999999999999</v>
      </c>
      <c r="C6" s="156">
        <f ca="1">IF(OR('Données projet'!B9="",'Données projet'!C9="",'Données projet'!C9=0%),0,Calculateur!S3)</f>
        <v>349.50936264852089</v>
      </c>
      <c r="D6" s="156">
        <f>IF(OR('Données projet'!B9="",'Données projet'!C9="",'Données projet'!C9=0%),0,Calculateur!T3)</f>
        <v>260.52733851266106</v>
      </c>
      <c r="E6" s="156">
        <f ca="1">MIN(C6,D6)</f>
        <v>260.52733851266106</v>
      </c>
      <c r="F6" s="156">
        <f ca="1">E6*B6</f>
        <v>94.831951218608623</v>
      </c>
      <c r="G6" s="156">
        <f ca="1">F6*(100%-'Données projet'!$C$24)*(100%-'Données projet'!$C$25)*(100%-'Données projet'!$C$26)*(100%-'Données projet'!$C$27)</f>
        <v>85.348756096747763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85.348756096747763</v>
      </c>
      <c r="M6" s="25">
        <f ca="1">L6/B6</f>
        <v>234.47460466139495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0.36399999999999999</v>
      </c>
      <c r="C7" s="156">
        <f ca="1">IF(OR('Données projet'!B10="",'Données projet'!C10="",'Données projet'!C10=0%),0,Calculateur!AN3)</f>
        <v>447.04988989014134</v>
      </c>
      <c r="D7" s="156">
        <f>IF(OR('Données projet'!B10="",'Données projet'!C10="",'Données projet'!C10=0%),0,Calculateur!AO3)</f>
        <v>278.04061554501783</v>
      </c>
      <c r="E7" s="156">
        <f t="shared" ref="E7:E15" ca="1" si="0">MIN(C7,D7)</f>
        <v>278.04061554501783</v>
      </c>
      <c r="F7" s="156">
        <f t="shared" ref="F7:F15" ca="1" si="1">E7*B7</f>
        <v>101.20678405838649</v>
      </c>
      <c r="G7" s="156">
        <f ca="1">F7*(100%-'Données projet'!$C$24)*(100%-'Données projet'!$C$25)*(100%-'Données projet'!$C$26)*(100%-'Données projet'!$C$27)</f>
        <v>91.086105652547843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2.6389999999999998</v>
      </c>
      <c r="K7" s="160">
        <f>J7*(100%-'Données projet'!$C$24)*(100%-'Données projet'!$C$25)*(100%-'Données projet'!$C$26)*(100%-'Données projet'!$C$27)</f>
        <v>2.3750999999999998</v>
      </c>
      <c r="L7" s="161">
        <f t="shared" ref="L7:L15" ca="1" si="2">G7+I7+K7</f>
        <v>93.461205652547847</v>
      </c>
      <c r="M7" s="25">
        <f ca="1">L7/B7</f>
        <v>256.76155399051606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Chêne-liège</v>
      </c>
      <c r="B8" s="163">
        <f>'Données projet'!D11</f>
        <v>9.0999999999999998E-2</v>
      </c>
      <c r="C8" s="156">
        <f ca="1">IF(OR('Données projet'!B11="",'Données projet'!C11="",'Données projet'!C11=0%),0,Calculateur!BI3)</f>
        <v>475.58735584427552</v>
      </c>
      <c r="D8" s="156">
        <f>IF(OR('Données projet'!B11="",'Données projet'!C11="",'Données projet'!C11=0%),0,Calculateur!BJ3)</f>
        <v>294.51413339056131</v>
      </c>
      <c r="E8" s="156">
        <f t="shared" ca="1" si="0"/>
        <v>294.51413339056131</v>
      </c>
      <c r="F8" s="156">
        <f t="shared" ca="1" si="1"/>
        <v>26.800786138541078</v>
      </c>
      <c r="G8" s="156">
        <f ca="1">F8*(100%-'Données projet'!$C$24)*(100%-'Données projet'!$C$25)*(100%-'Données projet'!$C$26)*(100%-'Données projet'!$C$27)</f>
        <v>24.120707524686971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0.65974999999999995</v>
      </c>
      <c r="K8" s="160">
        <f>J8*(100%-'Données projet'!$C$24)*(100%-'Données projet'!$C$25)*(100%-'Données projet'!$C$26)*(100%-'Données projet'!$C$27)</f>
        <v>0.59377499999999994</v>
      </c>
      <c r="L8" s="161">
        <f t="shared" ca="1" si="2"/>
        <v>24.714482524686971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rouge d'Amérique</v>
      </c>
      <c r="B9" s="163">
        <f>'Données projet'!D12</f>
        <v>1.274</v>
      </c>
      <c r="C9" s="156">
        <f ca="1">IF(OR('Données projet'!B12="",'Données projet'!C12="",'Données projet'!C12=0%),0,Calculateur!CD3)</f>
        <v>344.32696811748974</v>
      </c>
      <c r="D9" s="156">
        <f>IF(OR('Données projet'!B12="",'Données projet'!C12="",'Données projet'!C12=0%),0,Calculateur!CE3)</f>
        <v>411.51927518440766</v>
      </c>
      <c r="E9" s="156">
        <f t="shared" ca="1" si="0"/>
        <v>344.32696811748974</v>
      </c>
      <c r="F9" s="156">
        <f t="shared" ca="1" si="1"/>
        <v>438.67255738168194</v>
      </c>
      <c r="G9" s="156">
        <f ca="1">F9*(100%-'Données projet'!$C$24)*(100%-'Données projet'!$C$25)*(100%-'Données projet'!$C$26)*(100%-'Données projet'!$C$27)</f>
        <v>394.80530164351376</v>
      </c>
      <c r="H9" s="164">
        <f>IF(OR('Données projet'!B12="",'Données projet'!C12="",'Données projet'!C12=0%),0,AVERAGE(Calculateur!$CN$3:$CN$33)*B9)</f>
        <v>1.1375605595090859</v>
      </c>
      <c r="I9" s="158">
        <f>H9*(100%-'Données projet'!$C$24)*(100%-'Données projet'!$C$25)*(100%-'Données projet'!$C$26)*(100%-'Données projet'!$C$27)</f>
        <v>1.0238045035581773</v>
      </c>
      <c r="J9" s="159">
        <f>IF(OR('Données projet'!B12="",'Données projet'!C12="",'Données projet'!C12=0%),0,SUM(Calculateur!$CG$3:$CG$33)*VLOOKUP('Données projet'!$B$12,Paramètres!$A$1:$I$89,9,0)*B9)</f>
        <v>48.411999999999999</v>
      </c>
      <c r="K9" s="160">
        <f>J9*(100%-'Données projet'!$C$24)*(100%-'Données projet'!$C$25)*(100%-'Données projet'!$C$26)*(100%-'Données projet'!$C$27)</f>
        <v>43.570799999999998</v>
      </c>
      <c r="L9" s="161">
        <f t="shared" ca="1" si="2"/>
        <v>439.39990614707193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sessile</v>
      </c>
      <c r="B10" s="163">
        <f>'Données projet'!D13</f>
        <v>2.4569999999999999</v>
      </c>
      <c r="C10" s="156">
        <f ca="1">IF(OR('Données projet'!B13="",'Données projet'!C13="",'Données projet'!C13=0%),0,Calculateur!CY3)</f>
        <v>473.14533251757302</v>
      </c>
      <c r="D10" s="156">
        <f>IF(OR('Données projet'!B13="",'Données projet'!C13="",'Données projet'!C13=0%),0,Calculateur!CZ3)</f>
        <v>299.82031908667142</v>
      </c>
      <c r="E10" s="156">
        <f t="shared" ca="1" si="0"/>
        <v>299.82031908667142</v>
      </c>
      <c r="F10" s="156">
        <f t="shared" ca="1" si="1"/>
        <v>736.65852399595167</v>
      </c>
      <c r="G10" s="156">
        <f ca="1">F10*(100%-'Données projet'!$C$24)*(100%-'Données projet'!$C$25)*(100%-'Données projet'!$C$26)*(100%-'Données projet'!$C$27)</f>
        <v>662.99267159635656</v>
      </c>
      <c r="H10" s="164">
        <f>IF(OR('Données projet'!B13="",'Données projet'!C13="",'Données projet'!C13=0%),0,AVERAGE(Calculateur!$DI$3:$DI$33)*B10)</f>
        <v>0.19014560401745562</v>
      </c>
      <c r="I10" s="158">
        <f>H10*(100%-'Données projet'!$C$24)*(100%-'Données projet'!$C$25)*(100%-'Données projet'!$C$26)*(100%-'Données projet'!$C$27)</f>
        <v>0.17113104361571005</v>
      </c>
      <c r="J10" s="159">
        <f>IF(OR('Données projet'!B13="",'Données projet'!C13="",'Données projet'!C13=0%),0,SUM(Calculateur!$DB$3:$DB$33)*VLOOKUP('Données projet'!$B$13,Paramètres!$A$1:$I$89,9,0)*B10)</f>
        <v>38.083500000000001</v>
      </c>
      <c r="K10" s="160">
        <f>J10*(100%-'Données projet'!$C$24)*(100%-'Données projet'!$C$25)*(100%-'Données projet'!$C$26)*(100%-'Données projet'!$C$27)</f>
        <v>34.275150000000004</v>
      </c>
      <c r="L10" s="161">
        <f t="shared" ca="1" si="2"/>
        <v>697.43895263997229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Peuplier Taro</v>
      </c>
      <c r="B11" s="163">
        <f>'Données projet'!D14</f>
        <v>1.0919999999999999</v>
      </c>
      <c r="C11" s="156">
        <f ca="1">IF(OR('Données projet'!B14="",'Données projet'!C14="",'Données projet'!C14=0%),0,Calculateur!DT3)</f>
        <v>89.751456703373435</v>
      </c>
      <c r="D11" s="156">
        <f>IF(OR('Données projet'!B14="",'Données projet'!C14="",'Données projet'!C14=0%),0,Calculateur!DU3)</f>
        <v>433.35713950666889</v>
      </c>
      <c r="E11" s="156">
        <f t="shared" ca="1" si="0"/>
        <v>89.751456703373435</v>
      </c>
      <c r="F11" s="156">
        <f t="shared" ca="1" si="1"/>
        <v>98.008590720083774</v>
      </c>
      <c r="G11" s="156">
        <f ca="1">F11*(100%-'Données projet'!$C$24)*(100%-'Données projet'!$C$25)*(100%-'Données projet'!$C$26)*(100%-'Données projet'!$C$27)</f>
        <v>88.207731648075395</v>
      </c>
      <c r="H11" s="164">
        <f>IF(OR('Données projet'!B14="",'Données projet'!C14="",'Données projet'!C14=0%),0,AVERAGE(Calculateur!$ED$3:$ED$33)*B11)</f>
        <v>47.961129809851791</v>
      </c>
      <c r="I11" s="158">
        <f>H11*(100%-'Données projet'!$C$24)*(100%-'Données projet'!$C$25)*(100%-'Données projet'!$C$26)*(100%-'Données projet'!$C$27)</f>
        <v>43.165016828866612</v>
      </c>
      <c r="J11" s="159">
        <f>IF(OR('Données projet'!B14="",'Données projet'!C14="",'Données projet'!C14=0%),0,SUM(Calculateur!$DW$3:$DW$33)*VLOOKUP('Données projet'!$B$14,Paramètres!$A$1:$I$89,9,0)*B11)</f>
        <v>362.17271999999997</v>
      </c>
      <c r="K11" s="160">
        <f>J11*(100%-'Données projet'!$C$24)*(100%-'Données projet'!$C$25)*(100%-'Données projet'!$C$26)*(100%-'Données projet'!$C$27)</f>
        <v>325.95544799999999</v>
      </c>
      <c r="L11" s="161">
        <f t="shared" ca="1" si="2"/>
        <v>457.32819647694203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Pin taeda</v>
      </c>
      <c r="B12" s="163">
        <f>'Données projet'!D15</f>
        <v>3.4579999999999997</v>
      </c>
      <c r="C12" s="156">
        <f ca="1">IF(OR('Données projet'!B15="",'Données projet'!C15="",'Données projet'!C15=0%),0,Calculateur!EO3)</f>
        <v>204.71144247550794</v>
      </c>
      <c r="D12" s="156">
        <f>IF(OR('Données projet'!B15="",'Données projet'!C15="",'Données projet'!C15=0%),0,Calculateur!EP3)</f>
        <v>409.91012463636184</v>
      </c>
      <c r="E12" s="156">
        <f t="shared" ca="1" si="0"/>
        <v>204.71144247550794</v>
      </c>
      <c r="F12" s="156">
        <f t="shared" ca="1" si="1"/>
        <v>707.89216808030642</v>
      </c>
      <c r="G12" s="156">
        <f ca="1">F12*(100%-'Données projet'!$C$24)*(100%-'Données projet'!$C$25)*(100%-'Données projet'!$C$26)*(100%-'Données projet'!$C$27)</f>
        <v>637.10295127227585</v>
      </c>
      <c r="H12" s="164">
        <f>IF(OR('Données projet'!B15="",'Données projet'!C15="",'Données projet'!C15=0%),0,AVERAGE(Calculateur!$EY$3:$EY$33)*B12)</f>
        <v>33.487209703314058</v>
      </c>
      <c r="I12" s="158">
        <f>H12*(100%-'Données projet'!$C$24)*(100%-'Données projet'!$C$25)*(100%-'Données projet'!$C$26)*(100%-'Données projet'!$C$27)</f>
        <v>30.138488732982651</v>
      </c>
      <c r="J12" s="159">
        <f>IF(OR('Données projet'!B15="",'Données projet'!C15="",'Données projet'!C15=0%),0,SUM(Calculateur!$ER$3:$ER$33)*VLOOKUP('Données projet'!$B$15,Paramètres!$A$1:$I$89,9,0)*B12)</f>
        <v>178.43279999999999</v>
      </c>
      <c r="K12" s="160">
        <f>J12*(100%-'Données projet'!$C$24)*(100%-'Données projet'!$C$25)*(100%-'Données projet'!$C$26)*(100%-'Données projet'!$C$27)</f>
        <v>160.58951999999999</v>
      </c>
      <c r="L12" s="161">
        <f t="shared" ca="1" si="2"/>
        <v>827.83096000525848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2204.0713615935601</v>
      </c>
      <c r="G16" s="175">
        <f t="shared" ca="1" si="3"/>
        <v>1983.6642254342041</v>
      </c>
      <c r="H16" s="176">
        <f t="shared" si="3"/>
        <v>82.776045676692391</v>
      </c>
      <c r="I16" s="176">
        <f t="shared" si="3"/>
        <v>74.498441109023148</v>
      </c>
      <c r="J16" s="177">
        <f t="shared" si="3"/>
        <v>630.39976999999999</v>
      </c>
      <c r="K16" s="177">
        <f t="shared" si="3"/>
        <v>567.35979299999997</v>
      </c>
      <c r="L16" s="178">
        <f t="shared" ca="1" si="3"/>
        <v>2625.5224595432273</v>
      </c>
      <c r="M16" s="25">
        <f ca="1">L16/6.42</f>
        <v>408.95988466405413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Chêne-liège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sessile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Peuplier Taro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Pin taeda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7" zoomScale="90" zoomScaleNormal="90" workbookViewId="0">
      <selection activeCell="I20" sqref="I20: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1518.3913682475427</v>
      </c>
      <c r="U10" s="190">
        <f>'Données projet'!D9</f>
        <v>0.36399999999999999</v>
      </c>
      <c r="V10" s="189">
        <f>U10*T10</f>
        <v>552.69445804210557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534.7393993298042</v>
      </c>
      <c r="U11" s="190">
        <f>'Données projet'!D10</f>
        <v>0.36399999999999999</v>
      </c>
      <c r="V11" s="189">
        <f t="shared" ref="V11" si="0">U11*T11</f>
        <v>194.64514135604873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Chêne-liège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432.98314738241652</v>
      </c>
      <c r="U12" s="190">
        <f>'Données projet'!D11</f>
        <v>9.0999999999999998E-2</v>
      </c>
      <c r="V12" s="189">
        <f t="shared" ref="V12:V19" si="1">U12*T12</f>
        <v>39.401466411799902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rouge d'Amérique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1763.8631548071935</v>
      </c>
      <c r="U13" s="190">
        <f>'Données projet'!D12</f>
        <v>1.274</v>
      </c>
      <c r="V13" s="189">
        <f t="shared" si="1"/>
        <v>2247.1616592243645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sessile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910.11277300185668</v>
      </c>
      <c r="U14" s="190">
        <f>'Données projet'!D13</f>
        <v>2.4569999999999999</v>
      </c>
      <c r="V14" s="189">
        <f t="shared" si="1"/>
        <v>2236.1470832655618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Peuplier Taro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7618.1398056673306</v>
      </c>
      <c r="U15" s="190">
        <f>'Données projet'!D14</f>
        <v>1.0919999999999999</v>
      </c>
      <c r="V15" s="189">
        <f t="shared" si="1"/>
        <v>8319.0086677887248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>Pin taeda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4804.3688276751818</v>
      </c>
      <c r="U16" s="190">
        <f>'Données projet'!D15</f>
        <v>3.4579999999999997</v>
      </c>
      <c r="V16" s="189">
        <f t="shared" si="1"/>
        <v>16613.507406100776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37116/9.1</f>
        <v>4078.6813186813188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600+2060</f>
        <v>2660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600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-38883.018636256711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42</v>
      </c>
      <c r="B25" s="193">
        <f>'Données projet'!D38</f>
        <v>182</v>
      </c>
      <c r="C25" s="206">
        <v>15</v>
      </c>
      <c r="D25" s="194">
        <f t="shared" si="2"/>
        <v>2730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-38883.018636256711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43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100</v>
      </c>
      <c r="C27" s="206">
        <v>18</v>
      </c>
      <c r="D27" s="194">
        <f t="shared" si="2"/>
        <v>1800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79</v>
      </c>
      <c r="C29" s="206">
        <v>20</v>
      </c>
      <c r="D29" s="194">
        <f t="shared" si="2"/>
        <v>1580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57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</v>
      </c>
      <c r="C31" s="206">
        <v>25</v>
      </c>
      <c r="D31" s="194">
        <f t="shared" si="2"/>
        <v>1975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64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71</v>
      </c>
      <c r="B33" s="193">
        <f>'Données projet'!D46</f>
        <v>91</v>
      </c>
      <c r="C33" s="206">
        <v>30</v>
      </c>
      <c r="D33" s="194">
        <f t="shared" si="2"/>
        <v>2730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79</v>
      </c>
      <c r="B35" s="193">
        <f>'Données projet'!D48</f>
        <v>88</v>
      </c>
      <c r="C35" s="206">
        <v>35</v>
      </c>
      <c r="D35" s="194">
        <f t="shared" si="2"/>
        <v>3080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87</v>
      </c>
      <c r="B37" s="193">
        <f>'Données projet'!D50</f>
        <v>89</v>
      </c>
      <c r="C37" s="206">
        <v>35</v>
      </c>
      <c r="D37" s="194">
        <f t="shared" si="2"/>
        <v>3115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88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94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95</v>
      </c>
      <c r="B40" s="193">
        <f>'Données projet'!D53</f>
        <v>269</v>
      </c>
      <c r="C40" s="206">
        <v>40</v>
      </c>
      <c r="D40" s="194">
        <f t="shared" si="2"/>
        <v>10760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96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105</v>
      </c>
      <c r="B42" s="193">
        <f>'Données projet'!D55</f>
        <v>357</v>
      </c>
      <c r="C42" s="206">
        <v>50</v>
      </c>
      <c r="D42" s="194">
        <f t="shared" si="2"/>
        <v>17850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20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92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Chêne-liège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92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92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92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92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92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92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92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92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92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92">
        <v>20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92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92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92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92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92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92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92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92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92">
        <v>50</v>
      </c>
      <c r="D103" s="191">
        <f t="shared" si="6"/>
        <v>900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92">
        <v>50</v>
      </c>
      <c r="D104" s="191">
        <f t="shared" si="6"/>
        <v>14200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21</v>
      </c>
      <c r="C116" s="292">
        <v>5</v>
      </c>
      <c r="D116" s="191">
        <f>B116*C116</f>
        <v>105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43</v>
      </c>
      <c r="C117" s="292">
        <v>7</v>
      </c>
      <c r="D117" s="191">
        <f t="shared" ref="D117:D135" si="8">B117*C117</f>
        <v>301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44</v>
      </c>
      <c r="C118" s="292">
        <v>9</v>
      </c>
      <c r="D118" s="191">
        <f t="shared" si="8"/>
        <v>396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44</v>
      </c>
      <c r="C119" s="292">
        <v>9</v>
      </c>
      <c r="D119" s="191">
        <f t="shared" si="8"/>
        <v>396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42</v>
      </c>
      <c r="C120" s="292">
        <v>9</v>
      </c>
      <c r="D120" s="191">
        <f t="shared" si="8"/>
        <v>378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39</v>
      </c>
      <c r="C121" s="292">
        <v>14</v>
      </c>
      <c r="D121" s="191">
        <f t="shared" si="8"/>
        <v>546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36</v>
      </c>
      <c r="C122" s="292">
        <v>14</v>
      </c>
      <c r="D122" s="191">
        <f t="shared" si="8"/>
        <v>504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33</v>
      </c>
      <c r="C123" s="292">
        <v>14</v>
      </c>
      <c r="D123" s="191">
        <f t="shared" si="8"/>
        <v>462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29</v>
      </c>
      <c r="C124" s="292">
        <v>20</v>
      </c>
      <c r="D124" s="191">
        <f t="shared" si="8"/>
        <v>580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26</v>
      </c>
      <c r="C125" s="292">
        <v>25</v>
      </c>
      <c r="D125" s="191">
        <f t="shared" si="8"/>
        <v>650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23</v>
      </c>
      <c r="C126" s="292">
        <v>30</v>
      </c>
      <c r="D126" s="191">
        <f t="shared" si="8"/>
        <v>690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249</v>
      </c>
      <c r="C127" s="292">
        <v>80</v>
      </c>
      <c r="D127" s="191">
        <f t="shared" si="8"/>
        <v>19920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sessile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6</v>
      </c>
      <c r="C147" s="292">
        <v>4</v>
      </c>
      <c r="D147" s="194">
        <f>B147*C147</f>
        <v>24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28</v>
      </c>
      <c r="C148" s="292">
        <v>8</v>
      </c>
      <c r="D148" s="194">
        <f t="shared" ref="D148:D166" si="10">B148*C148</f>
        <v>224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28</v>
      </c>
      <c r="C149" s="292">
        <v>10</v>
      </c>
      <c r="D149" s="194">
        <f t="shared" si="10"/>
        <v>280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28</v>
      </c>
      <c r="C150" s="292">
        <v>10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28</v>
      </c>
      <c r="C151" s="292">
        <v>10</v>
      </c>
      <c r="D151" s="194">
        <f t="shared" si="10"/>
        <v>280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28</v>
      </c>
      <c r="C152" s="292">
        <v>10</v>
      </c>
      <c r="D152" s="194">
        <f t="shared" si="10"/>
        <v>280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28</v>
      </c>
      <c r="C153" s="292">
        <v>15</v>
      </c>
      <c r="D153" s="194">
        <f t="shared" si="10"/>
        <v>420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28</v>
      </c>
      <c r="C154" s="292">
        <v>15</v>
      </c>
      <c r="D154" s="194">
        <f t="shared" si="10"/>
        <v>420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28</v>
      </c>
      <c r="C155" s="292">
        <v>15</v>
      </c>
      <c r="D155" s="194">
        <f t="shared" si="10"/>
        <v>420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28</v>
      </c>
      <c r="C156" s="292">
        <v>20</v>
      </c>
      <c r="D156" s="194">
        <f t="shared" si="10"/>
        <v>560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28</v>
      </c>
      <c r="C157" s="292">
        <v>20</v>
      </c>
      <c r="D157" s="194">
        <f t="shared" si="10"/>
        <v>560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28</v>
      </c>
      <c r="C158" s="292">
        <v>20</v>
      </c>
      <c r="D158" s="194">
        <f t="shared" si="10"/>
        <v>560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28</v>
      </c>
      <c r="C159" s="292">
        <v>20</v>
      </c>
      <c r="D159" s="194">
        <f t="shared" si="10"/>
        <v>560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7">
        <f>'Données projet'!D153</f>
        <v>28</v>
      </c>
      <c r="C160" s="292">
        <v>20</v>
      </c>
      <c r="D160" s="194">
        <f t="shared" si="10"/>
        <v>560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7">
        <f>'Données projet'!D154</f>
        <v>28</v>
      </c>
      <c r="C161" s="292">
        <v>30</v>
      </c>
      <c r="D161" s="194">
        <f t="shared" si="10"/>
        <v>840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7">
        <f>'Données projet'!D155</f>
        <v>28</v>
      </c>
      <c r="C162" s="292">
        <v>30</v>
      </c>
      <c r="D162" s="194">
        <f t="shared" si="10"/>
        <v>840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27</v>
      </c>
      <c r="C163" s="292">
        <v>40</v>
      </c>
      <c r="D163" s="194">
        <f t="shared" si="10"/>
        <v>1080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7">
        <f>'Données projet'!D157</f>
        <v>26</v>
      </c>
      <c r="C164" s="292">
        <v>50</v>
      </c>
      <c r="D164" s="194">
        <f t="shared" si="10"/>
        <v>1300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25</v>
      </c>
      <c r="C165" s="292">
        <v>70</v>
      </c>
      <c r="D165" s="194">
        <f t="shared" si="10"/>
        <v>1750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115</v>
      </c>
      <c r="B166" s="187">
        <f>'Données projet'!D159</f>
        <v>330</v>
      </c>
      <c r="C166" s="292">
        <v>150</v>
      </c>
      <c r="D166" s="194">
        <f t="shared" si="10"/>
        <v>49500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Peuplier Taro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17</v>
      </c>
      <c r="B178" s="193">
        <f>'Données projet'!D166</f>
        <v>322</v>
      </c>
      <c r="C178" s="206">
        <v>50</v>
      </c>
      <c r="D178" s="191">
        <f>B178*C178</f>
        <v>16100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Pin taeda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13</v>
      </c>
      <c r="B209" s="193">
        <f>'Données projet'!D192</f>
        <v>28</v>
      </c>
      <c r="C209" s="206">
        <v>15</v>
      </c>
      <c r="D209" s="191">
        <f>B209*C209</f>
        <v>420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18</v>
      </c>
      <c r="B210" s="193">
        <f>'Données projet'!D193</f>
        <v>40</v>
      </c>
      <c r="C210" s="206">
        <v>20</v>
      </c>
      <c r="D210" s="191">
        <f t="shared" ref="D210:D228" si="12">B210*C210</f>
        <v>800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23</v>
      </c>
      <c r="B211" s="193">
        <f>'Données projet'!D194</f>
        <v>52</v>
      </c>
      <c r="C211" s="206">
        <v>30</v>
      </c>
      <c r="D211" s="191">
        <f t="shared" si="12"/>
        <v>1560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34</v>
      </c>
      <c r="B213" s="193">
        <f>'Données projet'!D196</f>
        <v>325</v>
      </c>
      <c r="C213" s="206">
        <v>50</v>
      </c>
      <c r="D213" s="191">
        <f t="shared" si="12"/>
        <v>16250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2025-06-03T12:46:36Z</dcterms:modified>
</cp:coreProperties>
</file>