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érigord\V_SAINTE TERRE (33) Quattrocchi Edouard\Dossier déposé 12052025\"/>
    </mc:Choice>
  </mc:AlternateContent>
  <xr:revisionPtr revIDLastSave="0" documentId="13_ncr:1_{ACDE71A2-D80F-47A3-81E7-17F958133AD9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" i="6" l="1"/>
  <c r="I22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BR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FS18" i="2"/>
  <c r="EW18" i="2"/>
  <c r="EA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HG22" i="2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H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C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A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C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FS113" i="2"/>
  <c r="EC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EX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HI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H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Y154" i="2" l="1"/>
  <c r="EA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FS156" i="2"/>
  <c r="EB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CN156" i="2"/>
  <c r="EB157" i="2"/>
  <c r="EA157" i="2"/>
  <c r="ED157" i="2" s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ED159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EX161" i="2"/>
  <c r="EB161" i="2"/>
  <c r="EA161" i="2"/>
  <c r="ED160" i="2"/>
  <c r="AB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Y161" i="2"/>
  <c r="DI161" i="2"/>
  <c r="EC162" i="2"/>
  <c r="EB162" i="2"/>
  <c r="HH162" i="2"/>
  <c r="HG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A163" i="2"/>
  <c r="EV163" i="2"/>
  <c r="HI163" i="2"/>
  <c r="FS163" i="2"/>
  <c r="EC163" i="2"/>
  <c r="ED163" i="2" s="1"/>
  <c r="EX163" i="2"/>
  <c r="DH163" i="2"/>
  <c r="EW163" i="2"/>
  <c r="EY163" i="2" s="1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R164" i="2" l="1"/>
  <c r="EX164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EC166" i="2"/>
  <c r="CN165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EY166" i="2"/>
  <c r="EA167" i="2"/>
  <c r="DG167" i="2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C168" i="2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B172" i="2"/>
  <c r="HG172" i="2"/>
  <c r="EW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J172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B175" i="2" l="1"/>
  <c r="AA175" i="2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EW177" i="2"/>
  <c r="EC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W178" i="2"/>
  <c r="EB178" i="2"/>
  <c r="EA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H179" i="2" l="1"/>
  <c r="EV179" i="2"/>
  <c r="DF179" i="2"/>
  <c r="EA179" i="2"/>
  <c r="HG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FS181" i="2" l="1"/>
  <c r="EW181" i="2"/>
  <c r="ED180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EC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V185" i="2" l="1"/>
  <c r="EY184" i="2"/>
  <c r="EW185" i="2"/>
  <c r="EB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W186" i="2"/>
  <c r="EB186" i="2"/>
  <c r="HH186" i="2"/>
  <c r="FR186" i="2"/>
  <c r="EA186" i="2"/>
  <c r="HG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EC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AA189" i="2"/>
  <c r="EB189" i="2"/>
  <c r="HH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ED190" i="2"/>
  <c r="HH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W192" i="2"/>
  <c r="HG192" i="2"/>
  <c r="EA192" i="2"/>
  <c r="HI192" i="2"/>
  <c r="EC192" i="2"/>
  <c r="EV192" i="2"/>
  <c r="HH192" i="2"/>
  <c r="EB192" i="2"/>
  <c r="ED192" i="2" s="1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Y192" i="2" l="1"/>
  <c r="EA193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B194" i="2" l="1"/>
  <c r="EA194" i="2"/>
  <c r="ED193" i="2"/>
  <c r="CN193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Y194" i="2" l="1"/>
  <c r="ED194" i="2"/>
  <c r="EA195" i="2"/>
  <c r="DH195" i="2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Y196" i="2" l="1"/>
  <c r="AA197" i="2"/>
  <c r="EC197" i="2"/>
  <c r="EA197" i="2"/>
  <c r="EX197" i="2"/>
  <c r="EB197" i="2"/>
  <c r="ED197" i="2" s="1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V198" i="2" l="1"/>
  <c r="EW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W199" i="2" l="1"/>
  <c r="EB199" i="2"/>
  <c r="EA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FS201" i="2" l="1"/>
  <c r="DI200" i="2"/>
  <c r="EB201" i="2"/>
  <c r="ED200" i="2"/>
  <c r="EA201" i="2"/>
  <c r="HH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FS202" i="2"/>
  <c r="FZ6" i="2"/>
  <c r="EW202" i="2"/>
  <c r="FR202" i="2"/>
  <c r="HH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DN103" i="2" a="1"/>
  <c r="DN103" i="2" s="1"/>
  <c r="DN114" i="2" a="1"/>
  <c r="DN114" i="2" s="1"/>
  <c r="CS77" i="2" a="1"/>
  <c r="CS77" i="2" s="1"/>
  <c r="CS161" i="2" a="1"/>
  <c r="CS161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14" i="2" a="1"/>
  <c r="FD14" i="2" s="1"/>
  <c r="FD64" i="2" a="1"/>
  <c r="FD64" i="2" s="1"/>
  <c r="FD43" i="2" a="1"/>
  <c r="FD43" i="2" s="1"/>
  <c r="FD131" i="2" a="1"/>
  <c r="FD131" i="2" s="1"/>
  <c r="FD137" i="2" a="1"/>
  <c r="FD137" i="2" s="1"/>
  <c r="FD160" i="2" a="1"/>
  <c r="FD160" i="2" s="1"/>
  <c r="FD19" i="2" a="1"/>
  <c r="FD19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CS72" i="2" a="1"/>
  <c r="CS72" i="2" s="1"/>
  <c r="FD82" i="2" a="1"/>
  <c r="FD82" i="2" s="1"/>
  <c r="DN187" i="2" a="1"/>
  <c r="DN187" i="2" s="1"/>
  <c r="HJ202" i="2"/>
  <c r="AX200" i="2"/>
  <c r="EI166" i="2" l="1" a="1"/>
  <c r="EI166" i="2" s="1"/>
  <c r="EI198" i="2" a="1"/>
  <c r="EI198" i="2" s="1"/>
  <c r="FD48" i="2" a="1"/>
  <c r="FD48" i="2" s="1"/>
  <c r="FD189" i="2" a="1"/>
  <c r="FD189" i="2" s="1"/>
  <c r="FD188" i="2" a="1"/>
  <c r="FD188" i="2" s="1"/>
  <c r="FD187" i="2" a="1"/>
  <c r="FD187" i="2" s="1"/>
  <c r="FD194" i="2" a="1"/>
  <c r="FD194" i="2" s="1"/>
  <c r="FD44" i="2" a="1"/>
  <c r="FD44" i="2" s="1"/>
  <c r="FD60" i="2" a="1"/>
  <c r="FD60" i="2" s="1"/>
  <c r="FD159" i="2" a="1"/>
  <c r="FD159" i="2" s="1"/>
  <c r="FD107" i="2" a="1"/>
  <c r="FD107" i="2" s="1"/>
  <c r="FD167" i="2" a="1"/>
  <c r="FD167" i="2" s="1"/>
  <c r="FS203" i="2"/>
  <c r="FD59" i="2" a="1"/>
  <c r="FD59" i="2" s="1"/>
  <c r="FD144" i="2" a="1"/>
  <c r="FD144" i="2" s="1"/>
  <c r="FD21" i="2" a="1"/>
  <c r="FD21" i="2" s="1"/>
  <c r="AH199" i="2" a="1"/>
  <c r="AH199" i="2" s="1"/>
  <c r="CS105" i="2" a="1"/>
  <c r="CS105" i="2" s="1"/>
  <c r="CS120" i="2" a="1"/>
  <c r="CS120" i="2" s="1"/>
  <c r="CS134" i="2" a="1"/>
  <c r="CS134" i="2" s="1"/>
  <c r="CS185" i="2" a="1"/>
  <c r="CS185" i="2" s="1"/>
  <c r="CS129" i="2" a="1"/>
  <c r="CS129" i="2" s="1"/>
  <c r="CS24" i="2" a="1"/>
  <c r="CS24" i="2" s="1"/>
  <c r="CS52" i="2" a="1"/>
  <c r="CS52" i="2" s="1"/>
  <c r="CS137" i="2" a="1"/>
  <c r="CS137" i="2" s="1"/>
  <c r="CS66" i="2" a="1"/>
  <c r="CS66" i="2" s="1"/>
  <c r="CS116" i="2" a="1"/>
  <c r="CS116" i="2" s="1"/>
  <c r="BX107" i="2" a="1"/>
  <c r="BX107" i="2" s="1"/>
  <c r="AH19" i="2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T203" i="2" l="1"/>
  <c r="EY203" i="2"/>
  <c r="ED203" i="2"/>
  <c r="DI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M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<sst xmlns="http://schemas.openxmlformats.org/spreadsheetml/2006/main" count="1177" uniqueCount="327">
  <si>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</si>
  <si>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</si>
  <si>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</si>
  <si>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</si>
  <si>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</si>
  <si>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</si>
  <si>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</si>
  <si>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</si>
  <si>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</si>
  <si>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</si>
  <si>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</si>
  <si>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</si>
  <si>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</si>
  <si>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</si>
  <si>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</si>
  <si>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</si>
  <si>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</si>
  <si>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</si>
  <si>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</si>
  <si>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</si>
  <si>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</si>
  <si>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</si>
  <si>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</si>
  <si>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</si>
  <si>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</si>
  <si>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</si>
  <si>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</si>
  <si>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</si>
  <si>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</si>
  <si>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</si>
  <si>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</si>
  <si>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</si>
  <si>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</si>
  <si>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</si>
  <si>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</si>
  <si>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</si>
  <si>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</si>
  <si>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</si>
  <si>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</si>
  <si>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</si>
  <si>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</si>
  <si>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</si>
  <si>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</si>
  <si>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</si>
  <si>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</si>
  <si>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</si>
  <si>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</si>
  <si>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</si>
  <si>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</si>
  <si>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</si>
  <si>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</si>
  <si>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</si>
  <si>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</si>
  <si>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</si>
  <si>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</si>
  <si>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</si>
  <si>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</si>
  <si>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</si>
  <si>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</si>
  <si>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</si>
  <si>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</si>
  <si>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</si>
  <si>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</si>
  <si>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</si>
  <si>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</si>
  <si>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</si>
  <si>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</si>
  <si>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</si>
  <si>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</si>
  <si>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</si>
  <si>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</si>
  <si>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</si>
  <si>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</si>
  <si>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</si>
  <si>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</si>
  <si>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</si>
  <si>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</si>
  <si>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</si>
  <si>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</si>
  <si>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</si>
  <si>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</si>
  <si>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</si>
  <si>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</si>
  <si>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</si>
  <si>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</si>
  <si>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</si>
  <si>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</si>
  <si>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</si>
  <si>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</si>
  <si>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</si>
  <si>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</si>
  <si>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</si>
  <si>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</si>
  <si>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</si>
  <si>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</si>
  <si>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</si>
  <si>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</si>
  <si>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</si>
  <si>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</si>
  <si>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</si>
  <si>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</si>
  <si>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</si>
  <si>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</si>
  <si>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</si>
  <si>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</si>
  <si>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</si>
  <si>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</si>
  <si>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</si>
  <si>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</si>
  <si>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</si>
  <si>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</si>
  <si>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</si>
  <si>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</si>
  <si>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</si>
  <si>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</si>
  <si>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</si>
  <si>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</si>
  <si>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</si>
  <si>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</si>
  <si>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</si>
  <si>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</si>
  <si>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</si>
  <si>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</si>
  <si>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</si>
  <si>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</si>
  <si>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</si>
  <si>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</si>
  <si>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</si>
  <si>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</si>
  <si>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</si>
  <si>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</si>
  <si>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</si>
  <si>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</si>
  <si>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</si>
  <si>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</si>
  <si>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</si>
  <si>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</si>
  <si>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</si>
  <si>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</si>
  <si>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</si>
  <si>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</si>
  <si>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</si>
  <si>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</si>
  <si>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</si>
  <si>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</si>
  <si>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</si>
  <si>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</si>
  <si>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</si>
  <si>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</si>
  <si>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</si>
  <si>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</si>
  <si>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</si>
  <si>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</si>
  <si>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</si>
  <si>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</si>
  <si>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</si>
  <si>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</si>
  <si>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</si>
  <si>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</si>
  <si>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</si>
  <si>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</si>
  <si>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</si>
  <si>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</si>
  <si>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</si>
  <si>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</si>
  <si>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</si>
  <si>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</si>
  <si>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</si>
  <si>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</si>
  <si>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</si>
  <si>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</si>
  <si>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</si>
  <si>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</si>
  <si>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</si>
  <si>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</si>
  <si>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</si>
  <si>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</si>
  <si>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</si>
  <si>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</si>
  <si>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</si>
  <si>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</si>
  <si>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</si>
  <si>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</si>
  <si>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</si>
  <si>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</si>
  <si>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</si>
  <si>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</si>
  <si>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</si>
  <si>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</si>
  <si>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</si>
  <si>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</si>
  <si>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</si>
  <si>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</si>
  <si>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</si>
  <si>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</si>
  <si>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</si>
  <si>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</si>
  <si>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</si>
  <si>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</si>
  <si>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</si>
  <si>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</si>
  <si>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</si>
  <si>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</si>
  <si>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</si>
  <si>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</si>
  <si>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</si>
  <si>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</si>
  <si>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</si>
  <si>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</si>
  <si>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</si>
  <si>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</si>
  <si>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</si>
  <si>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</si>
  <si>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</si>
  <si>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</si>
  <si>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</si>
  <si>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</si>
  <si>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</si>
  <si>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</si>
  <si>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</si>
  <si>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</si>
  <si>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</si>
  <si>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</si>
  <si>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</si>
  <si>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</si>
  <si>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</si>
  <si>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</si>
  <si>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</si>
  <si>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</si>
  <si>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</si>
  <si>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</si>
  <si>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</si>
  <si>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</si>
  <si>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</si>
  <si>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</si>
  <si>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</si>
  <si>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</si>
  <si>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</si>
  <si>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</si>
  <si>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</si>
  <si>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</si>
  <si>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</si>
  <si>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</si>
  <si>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</si>
  <si>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</si>
  <si>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</si>
  <si>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</si>
  <si>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</si>
  <si>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</si>
  <si>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</si>
  <si>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</si>
  <si>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</si>
  <si>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</si>
  <si>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</si>
  <si>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</si>
  <si>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</si>
  <si>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</si>
  <si>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</si>
  <si>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</si>
  <si>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</si>
  <si>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</si>
  <si>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</si>
  <si>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</si>
  <si>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</si>
  <si>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</si>
  <si>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</si>
  <si>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</si>
  <si>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</si>
  <si>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</si>
  <si>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</si>
  <si>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</si>
  <si>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</si>
  <si>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</si>
  <si>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</si>
  <si>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</si>
  <si>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</si>
  <si>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</si>
  <si>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</si>
  <si>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</si>
  <si>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</si>
  <si>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</si>
  <si>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</si>
  <si>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</si>
  <si>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</si>
  <si>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</si>
  <si>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</si>
  <si>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</si>
  <si>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</si>
  <si>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</si>
  <si>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</si>
  <si>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</si>
  <si>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</si>
  <si>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</si>
  <si>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</si>
  <si>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</si>
  <si>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</si>
  <si>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</si>
  <si>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</si>
  <si>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</si>
  <si>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</si>
  <si>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</si>
  <si>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</si>
  <si>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</si>
  <si>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</si>
  <si>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</si>
  <si>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</si>
  <si>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</si>
  <si>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</si>
  <si>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</si>
  <si>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</si>
  <si>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</si>
  <si>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</si>
  <si>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</si>
  <si>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</si>
  <si>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</si>
  <si>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</si>
  <si>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</si>
  <si>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</si>
  <si>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</si>
  <si>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</si>
  <si>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</si>
  <si>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</si>
  <si>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</si>
  <si>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</si>
  <si>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moncalvo</t>
  </si>
  <si>
    <t>alisier torminal</t>
  </si>
  <si>
    <t>cormier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</si>
</sst>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4.5603227029592857</c:v>
                </c:pt>
                <c:pt idx="2">
                  <c:v>9.0132952331201093</c:v>
                </c:pt>
                <c:pt idx="3">
                  <c:v>17.838817144878906</c:v>
                </c:pt>
                <c:pt idx="4">
                  <c:v>35.352605371028027</c:v>
                </c:pt>
                <c:pt idx="5">
                  <c:v>70.149974013263474</c:v>
                </c:pt>
                <c:pt idx="6">
                  <c:v>86.557695432218452</c:v>
                </c:pt>
                <c:pt idx="7">
                  <c:v>114.79386073387418</c:v>
                </c:pt>
                <c:pt idx="8">
                  <c:v>142.85889776559074</c:v>
                </c:pt>
                <c:pt idx="9">
                  <c:v>170.79137460696464</c:v>
                </c:pt>
                <c:pt idx="10">
                  <c:v>198.61608801133966</c:v>
                </c:pt>
                <c:pt idx="11">
                  <c:v>170.79137460696464</c:v>
                </c:pt>
                <c:pt idx="12">
                  <c:v>197.83360065109466</c:v>
                </c:pt>
                <c:pt idx="13">
                  <c:v>224.78996180947172</c:v>
                </c:pt>
                <c:pt idx="14">
                  <c:v>251.67220666437959</c:v>
                </c:pt>
                <c:pt idx="15">
                  <c:v>278.48936400091264</c:v>
                </c:pt>
                <c:pt idx="16">
                  <c:v>258.28507230454863</c:v>
                </c:pt>
                <c:pt idx="17">
                  <c:v>282.75904421972086</c:v>
                </c:pt>
                <c:pt idx="18">
                  <c:v>307.18556432776853</c:v>
                </c:pt>
                <c:pt idx="19">
                  <c:v>331.56893409573678</c:v>
                </c:pt>
                <c:pt idx="20">
                  <c:v>355.91277070439497</c:v>
                </c:pt>
                <c:pt idx="21">
                  <c:v>341.23373557401311</c:v>
                </c:pt>
                <c:pt idx="22">
                  <c:v>361.31746248867267</c:v>
                </c:pt>
                <c:pt idx="23">
                  <c:v>381.37678831502052</c:v>
                </c:pt>
                <c:pt idx="24">
                  <c:v>401.41317632821421</c:v>
                </c:pt>
                <c:pt idx="25">
                  <c:v>421.42793186976093</c:v>
                </c:pt>
                <c:pt idx="26">
                  <c:v>411.03827995947972</c:v>
                </c:pt>
                <c:pt idx="27">
                  <c:v>427.58215058986383</c:v>
                </c:pt>
                <c:pt idx="28">
                  <c:v>444.11226191866245</c:v>
                </c:pt>
                <c:pt idx="29">
                  <c:v>460.62919798538474</c:v>
                </c:pt>
                <c:pt idx="30">
                  <c:v>477.13349754486762</c:v>
                </c:pt>
                <c:pt idx="31">
                  <c:v>469.45861841140714</c:v>
                </c:pt>
                <c:pt idx="32">
                  <c:v>482.88793138455003</c:v>
                </c:pt>
                <c:pt idx="33">
                  <c:v>496.30931275327697</c:v>
                </c:pt>
                <c:pt idx="34">
                  <c:v>509.72300718239177</c:v>
                </c:pt>
                <c:pt idx="35">
                  <c:v>523.12924541243819</c:v>
                </c:pt>
                <c:pt idx="36">
                  <c:v>517.76763064124987</c:v>
                </c:pt>
                <c:pt idx="37">
                  <c:v>529.6382221432558</c:v>
                </c:pt>
                <c:pt idx="38">
                  <c:v>541.50321514452014</c:v>
                </c:pt>
                <c:pt idx="39">
                  <c:v>553.36274958383854</c:v>
                </c:pt>
                <c:pt idx="40">
                  <c:v>565.21695891368074</c:v>
                </c:pt>
                <c:pt idx="41">
                  <c:v>563.30534449457025</c:v>
                </c:pt>
                <c:pt idx="42">
                  <c:v>574.77301329675208</c:v>
                </c:pt>
                <c:pt idx="43">
                  <c:v>586.23590668718805</c:v>
                </c:pt>
                <c:pt idx="44">
                  <c:v>597.6941311815882</c:v>
                </c:pt>
                <c:pt idx="45">
                  <c:v>609.14778887966042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1.9917885718064035</c:v>
                </c:pt>
                <c:pt idx="2">
                  <c:v>2.7250503942842159</c:v>
                </c:pt>
                <c:pt idx="3">
                  <c:v>3.7294092638447744</c:v>
                </c:pt>
                <c:pt idx="4">
                  <c:v>5.1054947729236408</c:v>
                </c:pt>
                <c:pt idx="5">
                  <c:v>6.991428751090992</c:v>
                </c:pt>
                <c:pt idx="6">
                  <c:v>9.5768420513980637</c:v>
                </c:pt>
                <c:pt idx="7">
                  <c:v>13.122148164271342</c:v>
                </c:pt>
                <c:pt idx="8">
                  <c:v>17.985050838957459</c:v>
                </c:pt>
                <c:pt idx="9">
                  <c:v>24.657008480842048</c:v>
                </c:pt>
                <c:pt idx="10">
                  <c:v>33.813405500894241</c:v>
                </c:pt>
                <c:pt idx="11">
                  <c:v>46.382596768590759</c:v>
                </c:pt>
                <c:pt idx="12">
                  <c:v>63.640943119505124</c:v>
                </c:pt>
                <c:pt idx="13">
                  <c:v>87.343646659905289</c:v>
                </c:pt>
                <c:pt idx="14">
                  <c:v>119.90490473022085</c:v>
                </c:pt>
                <c:pt idx="15">
                  <c:v>164.64601770304122</c:v>
                </c:pt>
                <c:pt idx="16">
                  <c:v>226.1371422372483</c:v>
                </c:pt>
                <c:pt idx="17">
                  <c:v>310.66811519165458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1.8152707201372671</c:v>
                </c:pt>
                <c:pt idx="2">
                  <c:v>2.4833194287771465</c:v>
                </c:pt>
                <c:pt idx="3">
                  <c:v>3.3982751061208885</c:v>
                </c:pt>
                <c:pt idx="4">
                  <c:v>4.6517604319886514</c:v>
                </c:pt>
                <c:pt idx="5">
                  <c:v>6.3695249908400697</c:v>
                </c:pt>
                <c:pt idx="6">
                  <c:v>8.7242006085075179</c:v>
                </c:pt>
                <c:pt idx="7">
                  <c:v>11.952839296109182</c:v>
                </c:pt>
                <c:pt idx="8">
                  <c:v>16.381032233136107</c:v>
                </c:pt>
                <c:pt idx="9">
                  <c:v>22.456086273197496</c:v>
                </c:pt>
                <c:pt idx="10">
                  <c:v>30.792668754530023</c:v>
                </c:pt>
                <c:pt idx="11">
                  <c:v>42.235618989192922</c:v>
                </c:pt>
                <c:pt idx="12">
                  <c:v>57.946399559147856</c:v>
                </c:pt>
                <c:pt idx="13">
                  <c:v>79.522107152487521</c:v>
                </c:pt>
                <c:pt idx="14">
                  <c:v>109.15933595975076</c:v>
                </c:pt>
                <c:pt idx="15">
                  <c:v>149.87983827352025</c:v>
                </c:pt>
                <c:pt idx="16">
                  <c:v>205.84134221892202</c:v>
                </c:pt>
                <c:pt idx="17">
                  <c:v>282.76573536815431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1.8162870001657685</c:v>
                </c:pt>
                <c:pt idx="2">
                  <c:v>2.5083413175790272</c:v>
                </c:pt>
                <c:pt idx="3">
                  <c:v>3.4652274759125241</c:v>
                </c:pt>
                <c:pt idx="4">
                  <c:v>4.7887012101515198</c:v>
                </c:pt>
                <c:pt idx="5">
                  <c:v>6.61976326804814</c:v>
                </c:pt>
                <c:pt idx="6">
                  <c:v>9.1538481638201432</c:v>
                </c:pt>
                <c:pt idx="7">
                  <c:v>12.661910146222157</c:v>
                </c:pt>
                <c:pt idx="8">
                  <c:v>17.519702720246038</c:v>
                </c:pt>
                <c:pt idx="9">
                  <c:v>24.248444604367389</c:v>
                </c:pt>
                <c:pt idx="10">
                  <c:v>33.571312411833993</c:v>
                </c:pt>
                <c:pt idx="11">
                  <c:v>46.491936219627313</c:v>
                </c:pt>
                <c:pt idx="12">
                  <c:v>64.403490206911343</c:v>
                </c:pt>
                <c:pt idx="13">
                  <c:v>89.240333732437151</c:v>
                </c:pt>
                <c:pt idx="14">
                  <c:v>123.68884062722582</c:v>
                </c:pt>
                <c:pt idx="15">
                  <c:v>171.4805745500696</c:v>
                </c:pt>
                <c:pt idx="16">
                  <c:v>237.80004852247671</c:v>
                </c:pt>
                <c:pt idx="17">
                  <c:v>329.85195430855583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2.9037522468277555</c:v>
                </c:pt>
                <c:pt idx="2">
                  <c:v>3.4224626260555984</c:v>
                </c:pt>
                <c:pt idx="3">
                  <c:v>4.0341711225064261</c:v>
                </c:pt>
                <c:pt idx="4">
                  <c:v>4.7556083934562574</c:v>
                </c:pt>
                <c:pt idx="5">
                  <c:v>5.6065246536535662</c:v>
                </c:pt>
                <c:pt idx="6">
                  <c:v>6.6102362695474293</c:v>
                </c:pt>
                <c:pt idx="7">
                  <c:v>7.7942715687358017</c:v>
                </c:pt>
                <c:pt idx="8">
                  <c:v>9.191133919108875</c:v>
                </c:pt>
                <c:pt idx="9">
                  <c:v>10.839203425146229</c:v>
                </c:pt>
                <c:pt idx="10">
                  <c:v>12.783802483678164</c:v>
                </c:pt>
                <c:pt idx="11">
                  <c:v>15.078455048355044</c:v>
                </c:pt>
                <c:pt idx="12">
                  <c:v>17.786374901512989</c:v>
                </c:pt>
                <c:pt idx="13">
                  <c:v>20.98222467844068</c:v>
                </c:pt>
                <c:pt idx="14">
                  <c:v>24.754195014928442</c:v>
                </c:pt>
                <c:pt idx="15">
                  <c:v>29.206462210639497</c:v>
                </c:pt>
                <c:pt idx="16">
                  <c:v>34.462093474205787</c:v>
                </c:pt>
                <c:pt idx="17">
                  <c:v>40.666481443935886</c:v>
                </c:pt>
                <c:pt idx="18">
                  <c:v>47.991404619190043</c:v>
                </c:pt>
                <c:pt idx="19">
                  <c:v>56.639828016263273</c:v>
                </c:pt>
                <c:pt idx="20">
                  <c:v>66.851579281450668</c:v>
                </c:pt>
                <c:pt idx="21">
                  <c:v>78.910060247626788</c:v>
                </c:pt>
                <c:pt idx="22">
                  <c:v>93.150183213270694</c:v>
                </c:pt>
                <c:pt idx="23">
                  <c:v>109.96775588799703</c:v>
                </c:pt>
                <c:pt idx="24">
                  <c:v>129.83057997320486</c:v>
                </c:pt>
                <c:pt idx="25">
                  <c:v>153.29157689885758</c:v>
                </c:pt>
                <c:pt idx="26">
                  <c:v>151.18742647916039</c:v>
                </c:pt>
                <c:pt idx="27">
                  <c:v>165.90240656060988</c:v>
                </c:pt>
                <c:pt idx="28">
                  <c:v>180.58657218998462</c:v>
                </c:pt>
                <c:pt idx="29">
                  <c:v>195.24278318241954</c:v>
                </c:pt>
                <c:pt idx="30">
                  <c:v>209.87343438827483</c:v>
                </c:pt>
                <c:pt idx="31">
                  <c:v>182.26293388859065</c:v>
                </c:pt>
                <c:pt idx="32">
                  <c:v>198.58910688128836</c:v>
                </c:pt>
                <c:pt idx="33">
                  <c:v>214.88414831813785</c:v>
                </c:pt>
                <c:pt idx="34">
                  <c:v>231.15075177059677</c:v>
                </c:pt>
                <c:pt idx="35">
                  <c:v>247.39120044621504</c:v>
                </c:pt>
                <c:pt idx="36">
                  <c:v>221.14376696934883</c:v>
                </c:pt>
                <c:pt idx="37">
                  <c:v>238.64946815456815</c:v>
                </c:pt>
                <c:pt idx="38">
                  <c:v>256.1259217726236</c:v>
                </c:pt>
                <c:pt idx="39">
                  <c:v>273.5754042390106</c:v>
                </c:pt>
                <c:pt idx="40">
                  <c:v>290.99987776518356</c:v>
                </c:pt>
                <c:pt idx="41">
                  <c:v>264.85390518195555</c:v>
                </c:pt>
                <c:pt idx="42">
                  <c:v>282.29065500591173</c:v>
                </c:pt>
                <c:pt idx="43">
                  <c:v>299.70327852559689</c:v>
                </c:pt>
                <c:pt idx="44">
                  <c:v>317.09337448903148</c:v>
                </c:pt>
                <c:pt idx="45">
                  <c:v>334.46235196533502</c:v>
                </c:pt>
                <c:pt idx="46">
                  <c:v>308.40105034381344</c:v>
                </c:pt>
                <c:pt idx="47">
                  <c:v>325.78042147316609</c:v>
                </c:pt>
                <c:pt idx="48">
                  <c:v>343.13931760637462</c:v>
                </c:pt>
                <c:pt idx="49">
                  <c:v>360.47892004811712</c:v>
                </c:pt>
                <c:pt idx="50">
                  <c:v>377.80028720100813</c:v>
                </c:pt>
                <c:pt idx="51">
                  <c:v>350.98574721103279</c:v>
                </c:pt>
                <c:pt idx="52">
                  <c:v>367.49209034996039</c:v>
                </c:pt>
                <c:pt idx="53">
                  <c:v>383.98225493635573</c:v>
                </c:pt>
                <c:pt idx="54">
                  <c:v>400.45703338613862</c:v>
                </c:pt>
                <c:pt idx="55">
                  <c:v>416.9171476106103</c:v>
                </c:pt>
                <c:pt idx="56">
                  <c:v>388.92626989048904</c:v>
                </c:pt>
                <c:pt idx="57">
                  <c:v>404.16181319978608</c:v>
                </c:pt>
                <c:pt idx="58">
                  <c:v>419.38494151279912</c:v>
                </c:pt>
                <c:pt idx="59">
                  <c:v>434.59616884181315</c:v>
                </c:pt>
                <c:pt idx="60">
                  <c:v>449.7959702900439</c:v>
                </c:pt>
                <c:pt idx="61">
                  <c:v>421.4411973426366</c:v>
                </c:pt>
                <c:pt idx="62">
                  <c:v>436.23993334519031</c:v>
                </c:pt>
                <c:pt idx="63">
                  <c:v>451.02789946978191</c:v>
                </c:pt>
                <c:pt idx="64">
                  <c:v>465.80549848090777</c:v>
                </c:pt>
                <c:pt idx="65">
                  <c:v>480.57310550984772</c:v>
                </c:pt>
                <c:pt idx="66">
                  <c:v>451.43852652349568</c:v>
                </c:pt>
                <c:pt idx="67">
                  <c:v>465.39514621826999</c:v>
                </c:pt>
                <c:pt idx="68">
                  <c:v>479.34284452811465</c:v>
                </c:pt>
                <c:pt idx="69">
                  <c:v>493.281917555973</c:v>
                </c:pt>
                <c:pt idx="70">
                  <c:v>507.21264330953483</c:v>
                </c:pt>
                <c:pt idx="71">
                  <c:v>477.29226026061082</c:v>
                </c:pt>
                <c:pt idx="72">
                  <c:v>490.41279965323224</c:v>
                </c:pt>
                <c:pt idx="73">
                  <c:v>503.52589560029656</c:v>
                </c:pt>
                <c:pt idx="74">
                  <c:v>516.63176922361095</c:v>
                </c:pt>
                <c:pt idx="75">
                  <c:v>529.73062951367604</c:v>
                </c:pt>
                <c:pt idx="76">
                  <c:v>499.01909440359304</c:v>
                </c:pt>
                <c:pt idx="77">
                  <c:v>511.30836546390066</c:v>
                </c:pt>
                <c:pt idx="78">
                  <c:v>523.59139917298626</c:v>
                </c:pt>
                <c:pt idx="79">
                  <c:v>535.86836245112806</c:v>
                </c:pt>
                <c:pt idx="80">
                  <c:v>548.13941394784217</c:v>
                </c:pt>
                <c:pt idx="81">
                  <c:v>516.63176922361095</c:v>
                </c:pt>
                <c:pt idx="82">
                  <c:v>528.09364865532655</c:v>
                </c:pt>
                <c:pt idx="83">
                  <c:v>539.5502916245631</c:v>
                </c:pt>
                <c:pt idx="84">
                  <c:v>551.00182497913715</c:v>
                </c:pt>
                <c:pt idx="85">
                  <c:v>562.44836986503856</c:v>
                </c:pt>
                <c:pt idx="86">
                  <c:v>530.54907998965166</c:v>
                </c:pt>
                <c:pt idx="87">
                  <c:v>541.59557948037639</c:v>
                </c:pt>
                <c:pt idx="88">
                  <c:v>552.63734833627166</c:v>
                </c:pt>
                <c:pt idx="89">
                  <c:v>563.67449438861013</c:v>
                </c:pt>
                <c:pt idx="90">
                  <c:v>574.7071209020188</c:v>
                </c:pt>
                <c:pt idx="91">
                  <c:v>542.00461756313427</c:v>
                </c:pt>
                <c:pt idx="92">
                  <c:v>552.22847702156628</c:v>
                </c:pt>
                <c:pt idx="93">
                  <c:v>562.44836986503822</c:v>
                </c:pt>
                <c:pt idx="94">
                  <c:v>572.66437832506858</c:v>
                </c:pt>
                <c:pt idx="95">
                  <c:v>582.87658146020192</c:v>
                </c:pt>
                <c:pt idx="96">
                  <c:v>549.77511567616205</c:v>
                </c:pt>
                <c:pt idx="97">
                  <c:v>559.58719489109524</c:v>
                </c:pt>
                <c:pt idx="98">
                  <c:v>569.39567336006587</c:v>
                </c:pt>
                <c:pt idx="99">
                  <c:v>579.20062185262486</c:v>
                </c:pt>
                <c:pt idx="100">
                  <c:v>589.00210854701288</c:v>
                </c:pt>
                <c:pt idx="101">
                  <c:v>555.09044325536786</c:v>
                </c:pt>
                <c:pt idx="102">
                  <c:v>564.08319015797485</c:v>
                </c:pt>
                <c:pt idx="103">
                  <c:v>573.07293899689466</c:v>
                </c:pt>
                <c:pt idx="104">
                  <c:v>582.05974343549485</c:v>
                </c:pt>
                <c:pt idx="105">
                  <c:v>591.04365534487874</c:v>
                </c:pt>
                <c:pt idx="106">
                  <c:v>558.76966014701395</c:v>
                </c:pt>
                <c:pt idx="107">
                  <c:v>567.35253375731543</c:v>
                </c:pt>
                <c:pt idx="108">
                  <c:v>575.9326936477363</c:v>
                </c:pt>
                <c:pt idx="109">
                  <c:v>584.51018595042069</c:v>
                </c:pt>
                <c:pt idx="110">
                  <c:v>593.08505533307027</c:v>
                </c:pt>
                <c:pt idx="111">
                  <c:v>562.03964926820106</c:v>
                </c:pt>
                <c:pt idx="112">
                  <c:v>569.80428287631264</c:v>
                </c:pt>
                <c:pt idx="113">
                  <c:v>577.56670598332937</c:v>
                </c:pt>
                <c:pt idx="114">
                  <c:v>585.32695249209939</c:v>
                </c:pt>
                <c:pt idx="115">
                  <c:v>593.0850553330705</c:v>
                </c:pt>
                <c:pt idx="116">
                  <c:v>563.67449438861001</c:v>
                </c:pt>
                <c:pt idx="117">
                  <c:v>571.03007470686327</c:v>
                </c:pt>
                <c:pt idx="118">
                  <c:v>578.38367595679733</c:v>
                </c:pt>
                <c:pt idx="119">
                  <c:v>585.73532685368616</c:v>
                </c:pt>
                <c:pt idx="120">
                  <c:v>593.0850553330705</c:v>
                </c:pt>
                <c:pt idx="121">
                  <c:v>3.036919790734272E-12</c:v>
                </c:pt>
                <c:pt idx="122">
                  <c:v>3.036919790734272E-12</c:v>
                </c:pt>
                <c:pt idx="123">
                  <c:v>3.036919790734272E-12</c:v>
                </c:pt>
                <c:pt idx="124">
                  <c:v>3.036919790734272E-12</c:v>
                </c:pt>
                <c:pt idx="125">
                  <c:v>3.036919790734272E-12</c:v>
                </c:pt>
                <c:pt idx="126">
                  <c:v>3.036919790734272E-12</c:v>
                </c:pt>
                <c:pt idx="127">
                  <c:v>3.036919790734272E-12</c:v>
                </c:pt>
                <c:pt idx="128">
                  <c:v>3.036919790734272E-12</c:v>
                </c:pt>
                <c:pt idx="129">
                  <c:v>3.036919790734272E-12</c:v>
                </c:pt>
                <c:pt idx="130">
                  <c:v>3.036919790734272E-12</c:v>
                </c:pt>
                <c:pt idx="131">
                  <c:v>3.036919790734272E-12</c:v>
                </c:pt>
                <c:pt idx="132">
                  <c:v>3.036919790734272E-12</c:v>
                </c:pt>
                <c:pt idx="133">
                  <c:v>3.036919790734272E-12</c:v>
                </c:pt>
                <c:pt idx="134">
                  <c:v>3.036919790734272E-12</c:v>
                </c:pt>
                <c:pt idx="135">
                  <c:v>3.036919790734272E-12</c:v>
                </c:pt>
                <c:pt idx="136">
                  <c:v>3.036919790734272E-12</c:v>
                </c:pt>
                <c:pt idx="137">
                  <c:v>3.036919790734272E-12</c:v>
                </c:pt>
                <c:pt idx="138">
                  <c:v>3.036919790734272E-12</c:v>
                </c:pt>
                <c:pt idx="139">
                  <c:v>3.036919790734272E-12</c:v>
                </c:pt>
                <c:pt idx="140">
                  <c:v>3.036919790734272E-12</c:v>
                </c:pt>
                <c:pt idx="141">
                  <c:v>3.036919790734272E-12</c:v>
                </c:pt>
                <c:pt idx="142">
                  <c:v>3.036919790734272E-12</c:v>
                </c:pt>
                <c:pt idx="143">
                  <c:v>3.036919790734272E-12</c:v>
                </c:pt>
                <c:pt idx="144">
                  <c:v>3.036919790734272E-12</c:v>
                </c:pt>
                <c:pt idx="145">
                  <c:v>3.036919790734272E-12</c:v>
                </c:pt>
                <c:pt idx="146">
                  <c:v>3.036919790734272E-12</c:v>
                </c:pt>
                <c:pt idx="147">
                  <c:v>3.036919790734272E-12</c:v>
                </c:pt>
                <c:pt idx="148">
                  <c:v>3.036919790734272E-12</c:v>
                </c:pt>
                <c:pt idx="149">
                  <c:v>3.036919790734272E-12</c:v>
                </c:pt>
                <c:pt idx="150">
                  <c:v>3.036919790734272E-12</c:v>
                </c:pt>
                <c:pt idx="151">
                  <c:v>3.036919790734272E-12</c:v>
                </c:pt>
                <c:pt idx="152">
                  <c:v>3.036919790734272E-12</c:v>
                </c:pt>
                <c:pt idx="153">
                  <c:v>3.036919790734272E-12</c:v>
                </c:pt>
                <c:pt idx="154">
                  <c:v>3.036919790734272E-12</c:v>
                </c:pt>
                <c:pt idx="155">
                  <c:v>3.036919790734272E-12</c:v>
                </c:pt>
                <c:pt idx="156">
                  <c:v>3.036919790734272E-12</c:v>
                </c:pt>
                <c:pt idx="157">
                  <c:v>3.036919790734272E-12</c:v>
                </c:pt>
                <c:pt idx="158">
                  <c:v>3.036919790734272E-12</c:v>
                </c:pt>
                <c:pt idx="159">
                  <c:v>3.036919790734272E-12</c:v>
                </c:pt>
                <c:pt idx="160">
                  <c:v>3.036919790734272E-12</c:v>
                </c:pt>
                <c:pt idx="161">
                  <c:v>3.036919790734272E-12</c:v>
                </c:pt>
                <c:pt idx="162">
                  <c:v>3.036919790734272E-12</c:v>
                </c:pt>
                <c:pt idx="163">
                  <c:v>3.036919790734272E-12</c:v>
                </c:pt>
                <c:pt idx="164">
                  <c:v>3.036919790734272E-12</c:v>
                </c:pt>
                <c:pt idx="165">
                  <c:v>3.036919790734272E-12</c:v>
                </c:pt>
                <c:pt idx="166">
                  <c:v>3.036919790734272E-12</c:v>
                </c:pt>
                <c:pt idx="167">
                  <c:v>3.036919790734272E-12</c:v>
                </c:pt>
                <c:pt idx="168">
                  <c:v>3.036919790734272E-12</c:v>
                </c:pt>
                <c:pt idx="169">
                  <c:v>3.036919790734272E-12</c:v>
                </c:pt>
                <c:pt idx="170">
                  <c:v>3.036919790734272E-12</c:v>
                </c:pt>
                <c:pt idx="171">
                  <c:v>3.036919790734272E-12</c:v>
                </c:pt>
                <c:pt idx="172">
                  <c:v>3.036919790734272E-12</c:v>
                </c:pt>
                <c:pt idx="173">
                  <c:v>3.036919790734272E-12</c:v>
                </c:pt>
                <c:pt idx="174">
                  <c:v>3.036919790734272E-12</c:v>
                </c:pt>
                <c:pt idx="175">
                  <c:v>3.036919790734272E-12</c:v>
                </c:pt>
                <c:pt idx="176">
                  <c:v>3.036919790734272E-12</c:v>
                </c:pt>
                <c:pt idx="177">
                  <c:v>3.036919790734272E-12</c:v>
                </c:pt>
                <c:pt idx="178">
                  <c:v>3.036919790734272E-12</c:v>
                </c:pt>
                <c:pt idx="179">
                  <c:v>3.036919790734272E-12</c:v>
                </c:pt>
                <c:pt idx="180">
                  <c:v>3.036919790734272E-12</c:v>
                </c:pt>
                <c:pt idx="181">
                  <c:v>3.036919790734272E-12</c:v>
                </c:pt>
                <c:pt idx="182">
                  <c:v>3.036919790734272E-12</c:v>
                </c:pt>
                <c:pt idx="183">
                  <c:v>3.036919790734272E-12</c:v>
                </c:pt>
                <c:pt idx="184">
                  <c:v>3.036919790734272E-12</c:v>
                </c:pt>
                <c:pt idx="185">
                  <c:v>3.036919790734272E-12</c:v>
                </c:pt>
                <c:pt idx="186">
                  <c:v>3.036919790734272E-12</c:v>
                </c:pt>
                <c:pt idx="187">
                  <c:v>3.036919790734272E-12</c:v>
                </c:pt>
                <c:pt idx="188">
                  <c:v>3.036919790734272E-12</c:v>
                </c:pt>
                <c:pt idx="189">
                  <c:v>3.036919790734272E-12</c:v>
                </c:pt>
                <c:pt idx="190">
                  <c:v>3.036919790734272E-12</c:v>
                </c:pt>
                <c:pt idx="191">
                  <c:v>3.036919790734272E-12</c:v>
                </c:pt>
                <c:pt idx="192">
                  <c:v>3.036919790734272E-12</c:v>
                </c:pt>
                <c:pt idx="193">
                  <c:v>3.036919790734272E-12</c:v>
                </c:pt>
                <c:pt idx="194">
                  <c:v>3.036919790734272E-12</c:v>
                </c:pt>
                <c:pt idx="195">
                  <c:v>3.036919790734272E-12</c:v>
                </c:pt>
                <c:pt idx="196">
                  <c:v>3.036919790734272E-12</c:v>
                </c:pt>
                <c:pt idx="197">
                  <c:v>3.036919790734272E-12</c:v>
                </c:pt>
                <c:pt idx="198">
                  <c:v>3.036919790734272E-12</c:v>
                </c:pt>
                <c:pt idx="199">
                  <c:v>3.036919790734272E-12</c:v>
                </c:pt>
                <c:pt idx="200">
                  <c:v>3.036919790734272E-12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3.2191176688638401</c:v>
                </c:pt>
                <c:pt idx="2">
                  <c:v>3.7943632511158056</c:v>
                </c:pt>
                <c:pt idx="3">
                  <c:v>4.472776840401564</c:v>
                </c:pt>
                <c:pt idx="4">
                  <c:v>5.272924397329418</c:v>
                </c:pt>
                <c:pt idx="5">
                  <c:v>6.2167236355155167</c:v>
                </c:pt>
                <c:pt idx="6">
                  <c:v>7.3300509098137594</c:v>
                </c:pt>
                <c:pt idx="7">
                  <c:v>8.6434582908746549</c:v>
                </c:pt>
                <c:pt idx="8">
                  <c:v>10.193020881419196</c:v>
                </c:pt>
                <c:pt idx="9">
                  <c:v>12.021338088288688</c:v>
                </c:pt>
                <c:pt idx="10">
                  <c:v>14.178716891836169</c:v>
                </c:pt>
                <c:pt idx="11">
                  <c:v>16.724570273054812</c:v>
                </c:pt>
                <c:pt idx="12">
                  <c:v>19.729070013961937</c:v>
                </c:pt>
                <c:pt idx="13">
                  <c:v>23.275100249744593</c:v>
                </c:pt>
                <c:pt idx="14">
                  <c:v>27.460566625084624</c:v>
                </c:pt>
                <c:pt idx="15">
                  <c:v>32.401125932258417</c:v>
                </c:pt>
                <c:pt idx="16">
                  <c:v>38.233412969521595</c:v>
                </c:pt>
                <c:pt idx="17">
                  <c:v>45.118855391664084</c:v>
                </c:pt>
                <c:pt idx="18">
                  <c:v>53.248183929035058</c:v>
                </c:pt>
                <c:pt idx="19">
                  <c:v>62.846764998608485</c:v>
                </c:pt>
                <c:pt idx="20">
                  <c:v>74.180905979318311</c:v>
                </c:pt>
                <c:pt idx="21">
                  <c:v>87.565310935137987</c:v>
                </c:pt>
                <c:pt idx="22">
                  <c:v>103.371897125985</c:v>
                </c:pt>
                <c:pt idx="23">
                  <c:v>122.04022117521025</c:v>
                </c:pt>
                <c:pt idx="24">
                  <c:v>144.08980936036588</c:v>
                </c:pt>
                <c:pt idx="25">
                  <c:v>170.13474046014426</c:v>
                </c:pt>
                <c:pt idx="26">
                  <c:v>167.79880331835713</c:v>
                </c:pt>
                <c:pt idx="27">
                  <c:v>184.1348953873202</c:v>
                </c:pt>
                <c:pt idx="28">
                  <c:v>200.43711831314488</c:v>
                </c:pt>
                <c:pt idx="29">
                  <c:v>216.70861540949173</c:v>
                </c:pt>
                <c:pt idx="30">
                  <c:v>232.95201893246733</c:v>
                </c:pt>
                <c:pt idx="31">
                  <c:v>202.29821956743049</c:v>
                </c:pt>
                <c:pt idx="32">
                  <c:v>220.42378380631877</c:v>
                </c:pt>
                <c:pt idx="33">
                  <c:v>238.51513036323777</c:v>
                </c:pt>
                <c:pt idx="34">
                  <c:v>256.57521982814194</c:v>
                </c:pt>
                <c:pt idx="35">
                  <c:v>274.606561746978</c:v>
                </c:pt>
                <c:pt idx="36">
                  <c:v>245.46487179097767</c:v>
                </c:pt>
                <c:pt idx="37">
                  <c:v>264.90081208016204</c:v>
                </c:pt>
                <c:pt idx="38">
                  <c:v>284.30460543918775</c:v>
                </c:pt>
                <c:pt idx="39">
                  <c:v>303.67875394863921</c:v>
                </c:pt>
                <c:pt idx="40">
                  <c:v>323.02541433745813</c:v>
                </c:pt>
                <c:pt idx="41">
                  <c:v>293.99524327269938</c:v>
                </c:pt>
                <c:pt idx="42">
                  <c:v>313.35539693038533</c:v>
                </c:pt>
                <c:pt idx="43">
                  <c:v>332.68903260064207</c:v>
                </c:pt>
                <c:pt idx="44">
                  <c:v>351.99790751820501</c:v>
                </c:pt>
                <c:pt idx="45">
                  <c:v>371.28357043570503</c:v>
                </c:pt>
                <c:pt idx="46">
                  <c:v>342.34646391464634</c:v>
                </c:pt>
                <c:pt idx="47">
                  <c:v>361.64355082638082</c:v>
                </c:pt>
                <c:pt idx="48">
                  <c:v>380.91813301943733</c:v>
                </c:pt>
                <c:pt idx="49">
                  <c:v>400.17150890331305</c:v>
                </c:pt>
                <c:pt idx="50">
                  <c:v>419.40484180194306</c:v>
                </c:pt>
                <c:pt idx="51">
                  <c:v>389.63054763275704</c:v>
                </c:pt>
                <c:pt idx="52">
                  <c:v>407.9587823175745</c:v>
                </c:pt>
                <c:pt idx="53">
                  <c:v>426.26923464137013</c:v>
                </c:pt>
                <c:pt idx="54">
                  <c:v>444.5627755736532</c:v>
                </c:pt>
                <c:pt idx="55">
                  <c:v>462.8401985900677</c:v>
                </c:pt>
                <c:pt idx="56">
                  <c:v>431.75903510913213</c:v>
                </c:pt>
                <c:pt idx="57">
                  <c:v>448.6765741879388</c:v>
                </c:pt>
                <c:pt idx="58">
                  <c:v>465.58046754995058</c:v>
                </c:pt>
                <c:pt idx="59">
                  <c:v>482.47128016239793</c:v>
                </c:pt>
                <c:pt idx="60">
                  <c:v>499.34953422631764</c:v>
                </c:pt>
                <c:pt idx="61">
                  <c:v>467.86376222658572</c:v>
                </c:pt>
                <c:pt idx="62">
                  <c:v>484.2965528039129</c:v>
                </c:pt>
                <c:pt idx="63">
                  <c:v>500.71750586625234</c:v>
                </c:pt>
                <c:pt idx="64">
                  <c:v>517.12706410485578</c:v>
                </c:pt>
                <c:pt idx="65">
                  <c:v>533.52563983843004</c:v>
                </c:pt>
                <c:pt idx="66">
                  <c:v>501.17347881997563</c:v>
                </c:pt>
                <c:pt idx="67">
                  <c:v>516.6713931827336</c:v>
                </c:pt>
                <c:pt idx="68">
                  <c:v>532.15950176791534</c:v>
                </c:pt>
                <c:pt idx="69">
                  <c:v>547.63813003167195</c:v>
                </c:pt>
                <c:pt idx="70">
                  <c:v>563.10758354108668</c:v>
                </c:pt>
                <c:pt idx="71">
                  <c:v>529.88244088560589</c:v>
                </c:pt>
                <c:pt idx="72">
                  <c:v>544.45211339932041</c:v>
                </c:pt>
                <c:pt idx="73">
                  <c:v>559.01360458557178</c:v>
                </c:pt>
                <c:pt idx="74">
                  <c:v>573.56715748636259</c:v>
                </c:pt>
                <c:pt idx="75">
                  <c:v>588.11300180979151</c:v>
                </c:pt>
                <c:pt idx="76">
                  <c:v>554.00899936215046</c:v>
                </c:pt>
                <c:pt idx="77">
                  <c:v>567.6557190157306</c:v>
                </c:pt>
                <c:pt idx="78">
                  <c:v>581.29558299844439</c:v>
                </c:pt>
                <c:pt idx="79">
                  <c:v>594.92877477767286</c:v>
                </c:pt>
                <c:pt idx="80">
                  <c:v>608.55546873013782</c:v>
                </c:pt>
                <c:pt idx="81">
                  <c:v>573.5671574863627</c:v>
                </c:pt>
                <c:pt idx="82">
                  <c:v>586.29518528801793</c:v>
                </c:pt>
                <c:pt idx="83">
                  <c:v>599.01745752741897</c:v>
                </c:pt>
                <c:pt idx="84">
                  <c:v>611.73411362703052</c:v>
                </c:pt>
                <c:pt idx="85">
                  <c:v>624.44528674225819</c:v>
                </c:pt>
                <c:pt idx="86">
                  <c:v>589.02186615684775</c:v>
                </c:pt>
                <c:pt idx="87">
                  <c:v>601.28869695539152</c:v>
                </c:pt>
                <c:pt idx="88">
                  <c:v>613.55032816291907</c:v>
                </c:pt>
                <c:pt idx="89">
                  <c:v>625.80687830020759</c:v>
                </c:pt>
                <c:pt idx="90">
                  <c:v>638.05846086868894</c:v>
                </c:pt>
                <c:pt idx="91">
                  <c:v>601.74292342066133</c:v>
                </c:pt>
                <c:pt idx="92">
                  <c:v>613.0962849977135</c:v>
                </c:pt>
                <c:pt idx="93">
                  <c:v>624.44528674225796</c:v>
                </c:pt>
                <c:pt idx="94">
                  <c:v>635.79001903756932</c:v>
                </c:pt>
                <c:pt idx="95">
                  <c:v>647.1305687794046</c:v>
                </c:pt>
                <c:pt idx="96">
                  <c:v>610.37187931946244</c:v>
                </c:pt>
                <c:pt idx="97">
                  <c:v>621.268000435266</c:v>
                </c:pt>
                <c:pt idx="98">
                  <c:v>632.16016385679939</c:v>
                </c:pt>
                <c:pt idx="99">
                  <c:v>643.04844736912457</c:v>
                </c:pt>
                <c:pt idx="100">
                  <c:v>653.93292590911108</c:v>
                </c:pt>
                <c:pt idx="101">
                  <c:v>616.27444100355149</c:v>
                </c:pt>
                <c:pt idx="102">
                  <c:v>626.260728517953</c:v>
                </c:pt>
                <c:pt idx="103">
                  <c:v>636.24372076531824</c:v>
                </c:pt>
                <c:pt idx="104">
                  <c:v>646.22347672875924</c:v>
                </c:pt>
                <c:pt idx="105">
                  <c:v>656.2000534214535</c:v>
                </c:pt>
                <c:pt idx="106">
                  <c:v>620.36014259822412</c:v>
                </c:pt>
                <c:pt idx="107">
                  <c:v>629.89128564201053</c:v>
                </c:pt>
                <c:pt idx="108">
                  <c:v>639.41944595007112</c:v>
                </c:pt>
                <c:pt idx="109">
                  <c:v>648.94467422771106</c:v>
                </c:pt>
                <c:pt idx="110">
                  <c:v>658.46701957061964</c:v>
                </c:pt>
                <c:pt idx="111">
                  <c:v>623.99140923584901</c:v>
                </c:pt>
                <c:pt idx="112">
                  <c:v>632.61391927100306</c:v>
                </c:pt>
                <c:pt idx="113">
                  <c:v>641.23399967418345</c:v>
                </c:pt>
                <c:pt idx="114">
                  <c:v>649.85168770908911</c:v>
                </c:pt>
                <c:pt idx="115">
                  <c:v>658.46701957061975</c:v>
                </c:pt>
                <c:pt idx="116">
                  <c:v>625.80687830020759</c:v>
                </c:pt>
                <c:pt idx="117">
                  <c:v>633.97514515548448</c:v>
                </c:pt>
                <c:pt idx="118">
                  <c:v>642.14123675390374</c:v>
                </c:pt>
                <c:pt idx="119">
                  <c:v>650.30518465733564</c:v>
                </c:pt>
                <c:pt idx="120">
                  <c:v>658.46701957062021</c:v>
                </c:pt>
                <c:pt idx="121">
                  <c:v>3.3406123864501612E-12</c:v>
                </c:pt>
                <c:pt idx="122">
                  <c:v>3.3406123864501612E-12</c:v>
                </c:pt>
                <c:pt idx="123">
                  <c:v>3.3406123864501612E-12</c:v>
                </c:pt>
                <c:pt idx="124">
                  <c:v>3.3406123864501612E-12</c:v>
                </c:pt>
                <c:pt idx="125">
                  <c:v>3.3406123864501612E-12</c:v>
                </c:pt>
                <c:pt idx="126">
                  <c:v>3.3406123864501612E-12</c:v>
                </c:pt>
                <c:pt idx="127">
                  <c:v>3.3406123864501612E-12</c:v>
                </c:pt>
                <c:pt idx="128">
                  <c:v>3.3406123864501612E-12</c:v>
                </c:pt>
                <c:pt idx="129">
                  <c:v>3.3406123864501612E-12</c:v>
                </c:pt>
                <c:pt idx="130">
                  <c:v>3.3406123864501612E-12</c:v>
                </c:pt>
                <c:pt idx="131">
                  <c:v>3.3406123864501612E-12</c:v>
                </c:pt>
                <c:pt idx="132">
                  <c:v>3.3406123864501612E-12</c:v>
                </c:pt>
                <c:pt idx="133">
                  <c:v>3.3406123864501612E-12</c:v>
                </c:pt>
                <c:pt idx="134">
                  <c:v>3.3406123864501612E-12</c:v>
                </c:pt>
                <c:pt idx="135">
                  <c:v>3.3406123864501612E-12</c:v>
                </c:pt>
                <c:pt idx="136">
                  <c:v>3.3406123864501612E-12</c:v>
                </c:pt>
                <c:pt idx="137">
                  <c:v>3.3406123864501612E-12</c:v>
                </c:pt>
                <c:pt idx="138">
                  <c:v>3.3406123864501612E-12</c:v>
                </c:pt>
                <c:pt idx="139">
                  <c:v>3.3406123864501612E-12</c:v>
                </c:pt>
                <c:pt idx="140">
                  <c:v>3.3406123864501612E-12</c:v>
                </c:pt>
                <c:pt idx="141">
                  <c:v>3.3406123864501612E-12</c:v>
                </c:pt>
                <c:pt idx="142">
                  <c:v>3.3406123864501612E-12</c:v>
                </c:pt>
                <c:pt idx="143">
                  <c:v>3.3406123864501612E-12</c:v>
                </c:pt>
                <c:pt idx="144">
                  <c:v>3.3406123864501612E-12</c:v>
                </c:pt>
                <c:pt idx="145">
                  <c:v>3.3406123864501612E-12</c:v>
                </c:pt>
                <c:pt idx="146">
                  <c:v>3.3406123864501612E-12</c:v>
                </c:pt>
                <c:pt idx="147">
                  <c:v>3.3406123864501612E-12</c:v>
                </c:pt>
                <c:pt idx="148">
                  <c:v>3.3406123864501612E-12</c:v>
                </c:pt>
                <c:pt idx="149">
                  <c:v>3.3406123864501612E-12</c:v>
                </c:pt>
                <c:pt idx="150">
                  <c:v>3.3406123864501612E-12</c:v>
                </c:pt>
                <c:pt idx="151">
                  <c:v>3.3406123864501612E-12</c:v>
                </c:pt>
                <c:pt idx="152">
                  <c:v>3.3406123864501612E-12</c:v>
                </c:pt>
                <c:pt idx="153">
                  <c:v>3.3406123864501612E-12</c:v>
                </c:pt>
                <c:pt idx="154">
                  <c:v>3.3406123864501612E-12</c:v>
                </c:pt>
                <c:pt idx="155">
                  <c:v>3.3406123864501612E-12</c:v>
                </c:pt>
                <c:pt idx="156">
                  <c:v>3.3406123864501612E-12</c:v>
                </c:pt>
                <c:pt idx="157">
                  <c:v>3.3406123864501612E-12</c:v>
                </c:pt>
                <c:pt idx="158">
                  <c:v>3.3406123864501612E-12</c:v>
                </c:pt>
                <c:pt idx="159">
                  <c:v>3.3406123864501612E-12</c:v>
                </c:pt>
                <c:pt idx="160">
                  <c:v>3.3406123864501612E-12</c:v>
                </c:pt>
                <c:pt idx="161">
                  <c:v>3.3406123864501612E-12</c:v>
                </c:pt>
                <c:pt idx="162">
                  <c:v>3.3406123864501612E-12</c:v>
                </c:pt>
                <c:pt idx="163">
                  <c:v>3.3406123864501612E-12</c:v>
                </c:pt>
                <c:pt idx="164">
                  <c:v>3.3406123864501612E-12</c:v>
                </c:pt>
                <c:pt idx="165">
                  <c:v>3.3406123864501612E-12</c:v>
                </c:pt>
                <c:pt idx="166">
                  <c:v>3.3406123864501612E-12</c:v>
                </c:pt>
                <c:pt idx="167">
                  <c:v>3.3406123864501612E-12</c:v>
                </c:pt>
                <c:pt idx="168">
                  <c:v>3.3406123864501612E-12</c:v>
                </c:pt>
                <c:pt idx="169">
                  <c:v>3.3406123864501612E-12</c:v>
                </c:pt>
                <c:pt idx="170">
                  <c:v>3.3406123864501612E-12</c:v>
                </c:pt>
                <c:pt idx="171">
                  <c:v>3.3406123864501612E-12</c:v>
                </c:pt>
                <c:pt idx="172">
                  <c:v>3.3406123864501612E-12</c:v>
                </c:pt>
                <c:pt idx="173">
                  <c:v>3.3406123864501612E-12</c:v>
                </c:pt>
                <c:pt idx="174">
                  <c:v>3.3406123864501612E-12</c:v>
                </c:pt>
                <c:pt idx="175">
                  <c:v>3.3406123864501612E-12</c:v>
                </c:pt>
                <c:pt idx="176">
                  <c:v>3.3406123864501612E-12</c:v>
                </c:pt>
                <c:pt idx="177">
                  <c:v>3.3406123864501612E-12</c:v>
                </c:pt>
                <c:pt idx="178">
                  <c:v>3.3406123864501612E-12</c:v>
                </c:pt>
                <c:pt idx="179">
                  <c:v>3.3406123864501612E-12</c:v>
                </c:pt>
                <c:pt idx="180">
                  <c:v>3.3406123864501612E-12</c:v>
                </c:pt>
                <c:pt idx="181">
                  <c:v>3.3406123864501612E-12</c:v>
                </c:pt>
                <c:pt idx="182">
                  <c:v>3.3406123864501612E-12</c:v>
                </c:pt>
                <c:pt idx="183">
                  <c:v>3.3406123864501612E-12</c:v>
                </c:pt>
                <c:pt idx="184">
                  <c:v>3.3406123864501612E-12</c:v>
                </c:pt>
                <c:pt idx="185">
                  <c:v>3.3406123864501612E-12</c:v>
                </c:pt>
                <c:pt idx="186">
                  <c:v>3.3406123864501612E-12</c:v>
                </c:pt>
                <c:pt idx="187">
                  <c:v>3.3406123864501612E-12</c:v>
                </c:pt>
                <c:pt idx="188">
                  <c:v>3.3406123864501612E-12</c:v>
                </c:pt>
                <c:pt idx="189">
                  <c:v>3.3406123864501612E-12</c:v>
                </c:pt>
                <c:pt idx="190">
                  <c:v>3.3406123864501612E-12</c:v>
                </c:pt>
                <c:pt idx="191">
                  <c:v>3.3406123864501612E-12</c:v>
                </c:pt>
                <c:pt idx="192">
                  <c:v>3.3406123864501612E-12</c:v>
                </c:pt>
                <c:pt idx="193">
                  <c:v>3.3406123864501612E-12</c:v>
                </c:pt>
                <c:pt idx="194">
                  <c:v>3.3406123864501612E-12</c:v>
                </c:pt>
                <c:pt idx="195">
                  <c:v>3.3406123864501612E-12</c:v>
                </c:pt>
                <c:pt idx="196">
                  <c:v>3.3406123864501612E-12</c:v>
                </c:pt>
                <c:pt idx="197">
                  <c:v>3.3406123864501612E-12</c:v>
                </c:pt>
                <c:pt idx="198">
                  <c:v>3.3406123864501612E-12</c:v>
                </c:pt>
                <c:pt idx="199">
                  <c:v>3.3406123864501612E-12</c:v>
                </c:pt>
                <c:pt idx="200">
                  <c:v>3.3406123864501612E-12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22" sqref="C22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10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44</v>
      </c>
      <c r="C9" s="35">
        <v>0.154</v>
      </c>
      <c r="D9" s="36">
        <f t="shared" ref="D9:D18" si="0">C9*$C$5</f>
        <v>1.54</v>
      </c>
      <c r="E9" s="37">
        <v>45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0.15</v>
      </c>
      <c r="D10" s="36">
        <f t="shared" si="0"/>
        <v>1.5</v>
      </c>
      <c r="E10" s="37">
        <v>30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138</v>
      </c>
      <c r="C11" s="35">
        <v>0.17</v>
      </c>
      <c r="D11" s="36">
        <f t="shared" si="0"/>
        <v>1.7000000000000002</v>
      </c>
      <c r="E11" s="37">
        <v>30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113</v>
      </c>
      <c r="C12" s="35">
        <v>0.159</v>
      </c>
      <c r="D12" s="36">
        <f t="shared" si="0"/>
        <v>1.59</v>
      </c>
      <c r="E12" s="37">
        <v>17</v>
      </c>
      <c r="F12" s="38" t="str">
        <f t="array" ref="F12">IF(E12="","",IF(INDEX(A:A,MAX(IF(ISNUMBER($A$114:$A$133),ROW($A$114:$A$133),"")))&lt;&gt;E12,"Corrigez : révolution incorrecte","OK"))</f>
        <v>OK</v>
      </c>
      <c r="G12" s="25" t="s">
        <v>324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112</v>
      </c>
      <c r="C13" s="35">
        <v>0.157</v>
      </c>
      <c r="D13" s="36">
        <f t="shared" si="0"/>
        <v>1.57</v>
      </c>
      <c r="E13" s="37">
        <v>17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 t="s">
        <v>128</v>
      </c>
      <c r="C14" s="35">
        <v>0.16800000000000001</v>
      </c>
      <c r="D14" s="36">
        <f t="shared" si="0"/>
        <v>1.6800000000000002</v>
      </c>
      <c r="E14" s="37">
        <v>17</v>
      </c>
      <c r="F14" s="38" t="str">
        <f t="array" ref="F14">IF(E14="","",IF(INDEX(A:A,MAX(IF(ISNUMBER($A$166:$A$185),ROW($A$166:$A$185),"")))&lt;&gt;E14,"Corrigez : révolution incorrecte","OK"))</f>
        <v>OK</v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 t="s">
        <v>325</v>
      </c>
      <c r="C15" s="35">
        <v>1.4E-2</v>
      </c>
      <c r="D15" s="36">
        <f t="shared" si="0"/>
        <v>0.14000000000000001</v>
      </c>
      <c r="E15" s="37">
        <v>120</v>
      </c>
      <c r="F15" s="38" t="str">
        <f t="array" ref="F15">IF(E15="","",IF(INDEX(A:A,MAX(IF(ISNUMBER($A$192:$A$211),ROW($A$192:$A$211),"")))&lt;&gt;E15,"Corrigez : révolution incorrecte","OK"))</f>
        <v>OK</v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 t="s">
        <v>326</v>
      </c>
      <c r="C16" s="35">
        <v>0.01</v>
      </c>
      <c r="D16" s="36">
        <f t="shared" si="0"/>
        <v>0.1</v>
      </c>
      <c r="E16" s="37">
        <v>120</v>
      </c>
      <c r="F16" s="38" t="str">
        <f t="array" ref="F16">IF(E16="","",IF(INDEX(A:A,MAX(IF(ISNUMBER($A$218:$A$237),ROW($A$218:$A$237),"")))&lt;&gt;E16,"Corrigez : révolution incorrecte","OK"))</f>
        <v>OK</v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0.9820000000000001</v>
      </c>
      <c r="D19" s="41">
        <f>SUM(D9:D18)</f>
        <v>9.82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Robinier faux-acacia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5</v>
      </c>
      <c r="B36" s="63">
        <v>34</v>
      </c>
      <c r="C36" s="63">
        <v>1</v>
      </c>
      <c r="D36" s="63">
        <v>6</v>
      </c>
      <c r="E36" s="54"/>
      <c r="F36" s="54"/>
      <c r="G36" s="54"/>
      <c r="H36" s="54">
        <v>1</v>
      </c>
      <c r="I36" s="52">
        <f>IFERROR(B36/A36,"")</f>
        <v>6.8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10</v>
      </c>
      <c r="B37" s="63">
        <v>99</v>
      </c>
      <c r="C37" s="63">
        <v>2</v>
      </c>
      <c r="D37" s="63">
        <v>28</v>
      </c>
      <c r="E37" s="54"/>
      <c r="F37" s="54"/>
      <c r="G37" s="54"/>
      <c r="H37" s="54">
        <v>1</v>
      </c>
      <c r="I37" s="56">
        <f t="shared" ref="I37:I55" si="1">IF(A37&lt;&gt;0,(B37-(B36-D36))/(A37-A36),"")</f>
        <v>14.2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15</v>
      </c>
      <c r="B38" s="63">
        <v>140</v>
      </c>
      <c r="C38" s="63">
        <v>3</v>
      </c>
      <c r="D38" s="63">
        <v>23</v>
      </c>
      <c r="E38" s="54">
        <v>0.2</v>
      </c>
      <c r="F38" s="54"/>
      <c r="G38" s="54"/>
      <c r="H38" s="54">
        <v>0.8</v>
      </c>
      <c r="I38" s="56">
        <f t="shared" si="1"/>
        <v>13.8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20</v>
      </c>
      <c r="B39" s="63">
        <v>180</v>
      </c>
      <c r="C39" s="63">
        <v>4</v>
      </c>
      <c r="D39" s="63">
        <v>18</v>
      </c>
      <c r="E39" s="54">
        <v>0.8</v>
      </c>
      <c r="F39" s="54"/>
      <c r="G39" s="54"/>
      <c r="H39" s="54">
        <v>0.2</v>
      </c>
      <c r="I39" s="52">
        <f t="shared" si="1"/>
        <v>12.6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25</v>
      </c>
      <c r="B40" s="63">
        <v>214</v>
      </c>
      <c r="C40" s="63">
        <v>5</v>
      </c>
      <c r="D40" s="63">
        <v>14</v>
      </c>
      <c r="E40" s="54">
        <v>0.8</v>
      </c>
      <c r="F40" s="54"/>
      <c r="G40" s="54"/>
      <c r="H40" s="54">
        <v>0.2</v>
      </c>
      <c r="I40" s="52">
        <f t="shared" si="1"/>
        <v>10.4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30</v>
      </c>
      <c r="B41" s="63">
        <v>243</v>
      </c>
      <c r="C41" s="63">
        <v>6</v>
      </c>
      <c r="D41" s="63">
        <v>11</v>
      </c>
      <c r="E41" s="54">
        <v>0.9</v>
      </c>
      <c r="F41" s="54"/>
      <c r="G41" s="54"/>
      <c r="H41" s="54">
        <v>0.1</v>
      </c>
      <c r="I41" s="56">
        <f t="shared" si="1"/>
        <v>8.6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35</v>
      </c>
      <c r="B42" s="63">
        <v>267</v>
      </c>
      <c r="C42" s="63">
        <v>7</v>
      </c>
      <c r="D42" s="63">
        <v>9</v>
      </c>
      <c r="E42" s="54"/>
      <c r="F42" s="54"/>
      <c r="G42" s="54"/>
      <c r="H42" s="54"/>
      <c r="I42" s="56">
        <f t="shared" si="1"/>
        <v>7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40</v>
      </c>
      <c r="B43" s="63">
        <v>289</v>
      </c>
      <c r="C43" s="63">
        <v>8</v>
      </c>
      <c r="D43" s="63">
        <v>7</v>
      </c>
      <c r="E43" s="54"/>
      <c r="F43" s="54"/>
      <c r="G43" s="54"/>
      <c r="H43" s="54"/>
      <c r="I43" s="52">
        <f t="shared" si="1"/>
        <v>6.2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45</v>
      </c>
      <c r="B44" s="63">
        <v>312</v>
      </c>
      <c r="C44" s="63">
        <v>9</v>
      </c>
      <c r="D44" s="63">
        <v>312</v>
      </c>
      <c r="E44" s="54"/>
      <c r="F44" s="54"/>
      <c r="G44" s="54"/>
      <c r="H44" s="54"/>
      <c r="I44" s="52">
        <f t="shared" si="1"/>
        <v>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Pin taeda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12</v>
      </c>
      <c r="B88" s="63">
        <v>106</v>
      </c>
      <c r="C88" s="63">
        <v>1</v>
      </c>
      <c r="D88" s="63">
        <v>34</v>
      </c>
      <c r="E88" s="54"/>
      <c r="F88" s="54"/>
      <c r="G88" s="54">
        <v>1</v>
      </c>
      <c r="H88" s="93"/>
      <c r="I88" s="56">
        <f>IFERROR(B88/A88,"")</f>
        <v>8.8333333333333339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17</v>
      </c>
      <c r="B89" s="63">
        <v>176</v>
      </c>
      <c r="C89" s="63">
        <v>2</v>
      </c>
      <c r="D89" s="63">
        <v>43</v>
      </c>
      <c r="E89" s="54">
        <v>0.2</v>
      </c>
      <c r="F89" s="54"/>
      <c r="G89" s="54">
        <v>0.8</v>
      </c>
      <c r="H89" s="93"/>
      <c r="I89" s="56">
        <f t="shared" ref="I89:I107" si="3">IF(A89&lt;&gt;0,(B89-(B88-D88))/(A89-A88),"")</f>
        <v>20.8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22</v>
      </c>
      <c r="B90" s="63">
        <v>232</v>
      </c>
      <c r="C90" s="63">
        <v>3</v>
      </c>
      <c r="D90" s="63">
        <v>56</v>
      </c>
      <c r="E90" s="54">
        <v>0.4</v>
      </c>
      <c r="F90" s="54"/>
      <c r="G90" s="54">
        <v>0.6</v>
      </c>
      <c r="H90" s="93"/>
      <c r="I90" s="56">
        <f t="shared" si="3"/>
        <v>19.8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30</v>
      </c>
      <c r="B91" s="63">
        <v>309</v>
      </c>
      <c r="C91" s="63">
        <v>4</v>
      </c>
      <c r="D91" s="63">
        <v>309</v>
      </c>
      <c r="E91" s="54">
        <v>0.4</v>
      </c>
      <c r="F91" s="54">
        <v>0.4</v>
      </c>
      <c r="G91" s="54">
        <v>0.2</v>
      </c>
      <c r="H91" s="93"/>
      <c r="I91" s="56">
        <f t="shared" si="3"/>
        <v>16.625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Peuplier Lambro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17</v>
      </c>
      <c r="B114" s="63">
        <v>253</v>
      </c>
      <c r="C114" s="53">
        <v>1</v>
      </c>
      <c r="D114" s="63">
        <v>253</v>
      </c>
      <c r="E114" s="54">
        <v>0.8</v>
      </c>
      <c r="F114" s="54">
        <v>0.2</v>
      </c>
      <c r="G114" s="54"/>
      <c r="H114" s="54"/>
      <c r="I114" s="56">
        <f>IFERROR(B114/A114,"")</f>
        <v>14.882352941176471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Peuplier Koster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17</v>
      </c>
      <c r="B140" s="63">
        <v>253</v>
      </c>
      <c r="C140" s="53">
        <v>1</v>
      </c>
      <c r="D140" s="63">
        <v>253</v>
      </c>
      <c r="E140" s="54">
        <v>0.8</v>
      </c>
      <c r="F140" s="54">
        <v>0.2</v>
      </c>
      <c r="G140" s="54"/>
      <c r="H140" s="54"/>
      <c r="I140" s="60">
        <f>IFERROR(B140/A140,"")</f>
        <v>14.882352941176471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>Peuplier Raspalje</v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>
        <v>17</v>
      </c>
      <c r="B166" s="63">
        <v>299</v>
      </c>
      <c r="C166" s="63">
        <v>1</v>
      </c>
      <c r="D166" s="63">
        <v>299</v>
      </c>
      <c r="E166" s="54">
        <v>0.8</v>
      </c>
      <c r="F166" s="54">
        <v>0.2</v>
      </c>
      <c r="G166" s="54"/>
      <c r="H166" s="54"/>
      <c r="I166" s="52">
        <f>IFERROR(B166/A166,"")</f>
        <v>17.588235294117649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>alisier torminal</v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>
        <v>25</v>
      </c>
      <c r="B192" s="63">
        <v>71</v>
      </c>
      <c r="C192" s="63">
        <v>1</v>
      </c>
      <c r="D192" s="63">
        <v>8</v>
      </c>
      <c r="E192" s="54"/>
      <c r="F192" s="54"/>
      <c r="G192" s="54"/>
      <c r="H192" s="54">
        <v>1</v>
      </c>
      <c r="I192" s="52">
        <f>IFERROR(B192/A192,"")</f>
        <v>2.84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>
        <v>30</v>
      </c>
      <c r="B193" s="63">
        <v>98</v>
      </c>
      <c r="C193" s="63">
        <v>2</v>
      </c>
      <c r="D193" s="63">
        <v>21</v>
      </c>
      <c r="E193" s="54"/>
      <c r="F193" s="54"/>
      <c r="G193" s="54"/>
      <c r="H193" s="54">
        <v>1</v>
      </c>
      <c r="I193" s="52">
        <f t="shared" ref="I193:I211" si="7">IF(A193&lt;&gt;0,(B193-(B192-D192))/(A193-A192),"")</f>
        <v>7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>
        <v>35</v>
      </c>
      <c r="B194" s="63">
        <v>116</v>
      </c>
      <c r="C194" s="63">
        <v>3</v>
      </c>
      <c r="D194" s="63">
        <v>21</v>
      </c>
      <c r="E194" s="54"/>
      <c r="F194" s="54"/>
      <c r="G194" s="54"/>
      <c r="H194" s="54"/>
      <c r="I194" s="52">
        <f t="shared" si="7"/>
        <v>7.8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>
        <v>40</v>
      </c>
      <c r="B195" s="63">
        <v>137</v>
      </c>
      <c r="C195" s="63">
        <v>4</v>
      </c>
      <c r="D195" s="63">
        <v>21</v>
      </c>
      <c r="E195" s="54"/>
      <c r="F195" s="54"/>
      <c r="G195" s="54"/>
      <c r="H195" s="54"/>
      <c r="I195" s="52">
        <f t="shared" si="7"/>
        <v>8.4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>
        <v>45</v>
      </c>
      <c r="B196" s="63">
        <v>158</v>
      </c>
      <c r="C196" s="63">
        <v>5</v>
      </c>
      <c r="D196" s="63">
        <v>21</v>
      </c>
      <c r="E196" s="54"/>
      <c r="F196" s="54"/>
      <c r="G196" s="54"/>
      <c r="H196" s="54"/>
      <c r="I196" s="52">
        <f t="shared" si="7"/>
        <v>8.4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>
        <v>50</v>
      </c>
      <c r="B197" s="63">
        <v>179</v>
      </c>
      <c r="C197" s="63">
        <v>6</v>
      </c>
      <c r="D197" s="63">
        <v>21</v>
      </c>
      <c r="E197" s="54"/>
      <c r="F197" s="54"/>
      <c r="G197" s="54"/>
      <c r="H197" s="54"/>
      <c r="I197" s="52">
        <f t="shared" si="7"/>
        <v>8.4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>
        <v>55</v>
      </c>
      <c r="B198" s="63">
        <v>198</v>
      </c>
      <c r="C198" s="63">
        <v>7</v>
      </c>
      <c r="D198" s="63">
        <v>21</v>
      </c>
      <c r="E198" s="54"/>
      <c r="F198" s="54"/>
      <c r="G198" s="54"/>
      <c r="H198" s="54"/>
      <c r="I198" s="52">
        <f t="shared" si="7"/>
        <v>8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>
        <v>60</v>
      </c>
      <c r="B199" s="53">
        <v>214</v>
      </c>
      <c r="C199" s="53">
        <v>8</v>
      </c>
      <c r="D199" s="53">
        <v>21</v>
      </c>
      <c r="E199" s="54"/>
      <c r="F199" s="54"/>
      <c r="G199" s="54"/>
      <c r="H199" s="54"/>
      <c r="I199" s="52">
        <f t="shared" si="7"/>
        <v>7.4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>
        <v>65</v>
      </c>
      <c r="B200" s="53">
        <v>229</v>
      </c>
      <c r="C200" s="53">
        <v>9</v>
      </c>
      <c r="D200" s="53">
        <v>21</v>
      </c>
      <c r="E200" s="54"/>
      <c r="F200" s="54"/>
      <c r="G200" s="54"/>
      <c r="H200" s="54"/>
      <c r="I200" s="52">
        <f t="shared" si="7"/>
        <v>7.2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>
        <v>70</v>
      </c>
      <c r="B201" s="53">
        <v>242</v>
      </c>
      <c r="C201" s="53">
        <v>10</v>
      </c>
      <c r="D201" s="53">
        <v>21</v>
      </c>
      <c r="E201" s="54"/>
      <c r="F201" s="54"/>
      <c r="G201" s="54"/>
      <c r="H201" s="54"/>
      <c r="I201" s="52">
        <f t="shared" si="7"/>
        <v>6.8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>
        <v>75</v>
      </c>
      <c r="B202" s="53">
        <v>253</v>
      </c>
      <c r="C202" s="53">
        <v>11</v>
      </c>
      <c r="D202" s="53">
        <v>21</v>
      </c>
      <c r="E202" s="54"/>
      <c r="F202" s="54"/>
      <c r="G202" s="54"/>
      <c r="H202" s="54"/>
      <c r="I202" s="52">
        <f t="shared" si="7"/>
        <v>6.4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>
        <v>80</v>
      </c>
      <c r="B203" s="53">
        <v>262</v>
      </c>
      <c r="C203" s="53">
        <v>12</v>
      </c>
      <c r="D203" s="53">
        <v>21</v>
      </c>
      <c r="E203" s="54"/>
      <c r="F203" s="54"/>
      <c r="G203" s="54"/>
      <c r="H203" s="54"/>
      <c r="I203" s="52">
        <f t="shared" si="7"/>
        <v>6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>
        <v>85</v>
      </c>
      <c r="B204" s="53">
        <v>269</v>
      </c>
      <c r="C204" s="53">
        <v>13</v>
      </c>
      <c r="D204" s="53">
        <v>21</v>
      </c>
      <c r="E204" s="54"/>
      <c r="F204" s="54"/>
      <c r="G204" s="54"/>
      <c r="H204" s="54"/>
      <c r="I204" s="52">
        <f t="shared" si="7"/>
        <v>5.6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>
        <v>90</v>
      </c>
      <c r="B205" s="53">
        <v>275</v>
      </c>
      <c r="C205" s="53">
        <v>14</v>
      </c>
      <c r="D205" s="53">
        <v>21</v>
      </c>
      <c r="E205" s="54"/>
      <c r="F205" s="54"/>
      <c r="G205" s="54"/>
      <c r="H205" s="54"/>
      <c r="I205" s="52">
        <f t="shared" si="7"/>
        <v>5.4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>
        <v>95</v>
      </c>
      <c r="B206" s="53">
        <v>279</v>
      </c>
      <c r="C206" s="53">
        <v>15</v>
      </c>
      <c r="D206" s="53">
        <v>21</v>
      </c>
      <c r="E206" s="54"/>
      <c r="F206" s="54"/>
      <c r="G206" s="54"/>
      <c r="H206" s="54"/>
      <c r="I206" s="52">
        <f t="shared" si="7"/>
        <v>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>
        <v>100</v>
      </c>
      <c r="B207" s="53">
        <v>282</v>
      </c>
      <c r="C207" s="53">
        <v>16</v>
      </c>
      <c r="D207" s="53">
        <v>21</v>
      </c>
      <c r="E207" s="54"/>
      <c r="F207" s="54"/>
      <c r="G207" s="54"/>
      <c r="H207" s="54"/>
      <c r="I207" s="52">
        <f t="shared" si="7"/>
        <v>4.8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>
        <v>105</v>
      </c>
      <c r="B208" s="53">
        <v>283</v>
      </c>
      <c r="C208" s="53">
        <v>17</v>
      </c>
      <c r="D208" s="53">
        <v>20</v>
      </c>
      <c r="E208" s="54"/>
      <c r="F208" s="54"/>
      <c r="G208" s="54"/>
      <c r="H208" s="54"/>
      <c r="I208" s="52">
        <f t="shared" si="7"/>
        <v>4.4000000000000004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>
        <v>110</v>
      </c>
      <c r="B209" s="53">
        <v>284</v>
      </c>
      <c r="C209" s="53">
        <v>18</v>
      </c>
      <c r="D209" s="53">
        <v>19</v>
      </c>
      <c r="E209" s="54"/>
      <c r="F209" s="54"/>
      <c r="G209" s="54"/>
      <c r="H209" s="54"/>
      <c r="I209" s="52">
        <f t="shared" si="7"/>
        <v>4.2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>
        <v>115</v>
      </c>
      <c r="B210" s="53">
        <v>284</v>
      </c>
      <c r="C210" s="53">
        <v>19</v>
      </c>
      <c r="D210" s="53">
        <v>18</v>
      </c>
      <c r="E210" s="54"/>
      <c r="F210" s="54"/>
      <c r="G210" s="54"/>
      <c r="H210" s="54"/>
      <c r="I210" s="52">
        <f t="shared" si="7"/>
        <v>3.8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>
        <v>120</v>
      </c>
      <c r="B211" s="53">
        <v>284</v>
      </c>
      <c r="C211" s="53">
        <v>20</v>
      </c>
      <c r="D211" s="53">
        <v>284</v>
      </c>
      <c r="E211" s="54"/>
      <c r="F211" s="54"/>
      <c r="G211" s="54"/>
      <c r="H211" s="54"/>
      <c r="I211" s="52">
        <f t="shared" si="7"/>
        <v>3.6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>cormier</v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>
        <v>25</v>
      </c>
      <c r="B218" s="63">
        <v>71</v>
      </c>
      <c r="C218" s="53">
        <v>1</v>
      </c>
      <c r="D218" s="63">
        <v>8</v>
      </c>
      <c r="E218" s="66"/>
      <c r="F218" s="66"/>
      <c r="G218" s="66"/>
      <c r="H218" s="66">
        <v>1</v>
      </c>
      <c r="I218" s="56">
        <f>IFERROR(B218/A218,"")</f>
        <v>2.84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>
        <v>30</v>
      </c>
      <c r="B219" s="63">
        <v>98</v>
      </c>
      <c r="C219" s="53">
        <v>2</v>
      </c>
      <c r="D219" s="63">
        <v>21</v>
      </c>
      <c r="E219" s="66"/>
      <c r="F219" s="66"/>
      <c r="G219" s="66"/>
      <c r="H219" s="66">
        <v>1</v>
      </c>
      <c r="I219" s="56">
        <f t="shared" ref="I219:I237" si="8">IF(A219&lt;&gt;0,(B219-(B218-D218))/(A219-A218),"")</f>
        <v>7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>
        <v>35</v>
      </c>
      <c r="B220" s="63">
        <v>116</v>
      </c>
      <c r="C220" s="53">
        <v>3</v>
      </c>
      <c r="D220" s="63">
        <v>21</v>
      </c>
      <c r="E220" s="66"/>
      <c r="F220" s="66"/>
      <c r="G220" s="66"/>
      <c r="H220" s="66"/>
      <c r="I220" s="56">
        <f t="shared" si="8"/>
        <v>7.8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>
        <v>40</v>
      </c>
      <c r="B221" s="58">
        <v>137</v>
      </c>
      <c r="C221" s="58">
        <v>4</v>
      </c>
      <c r="D221" s="58">
        <v>21</v>
      </c>
      <c r="E221" s="66"/>
      <c r="F221" s="66"/>
      <c r="G221" s="66"/>
      <c r="H221" s="66"/>
      <c r="I221" s="56">
        <f t="shared" si="8"/>
        <v>8.4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>
        <v>45</v>
      </c>
      <c r="B222" s="58">
        <v>158</v>
      </c>
      <c r="C222" s="58">
        <v>5</v>
      </c>
      <c r="D222" s="58">
        <v>21</v>
      </c>
      <c r="E222" s="66"/>
      <c r="F222" s="66"/>
      <c r="G222" s="66"/>
      <c r="H222" s="66"/>
      <c r="I222" s="56">
        <f t="shared" si="8"/>
        <v>8.4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>
        <v>50</v>
      </c>
      <c r="B223" s="58">
        <v>179</v>
      </c>
      <c r="C223" s="58">
        <v>6</v>
      </c>
      <c r="D223" s="58">
        <v>21</v>
      </c>
      <c r="E223" s="66"/>
      <c r="F223" s="66"/>
      <c r="G223" s="66"/>
      <c r="H223" s="66"/>
      <c r="I223" s="56">
        <f t="shared" si="8"/>
        <v>8.4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>
        <v>55</v>
      </c>
      <c r="B224" s="58">
        <v>198</v>
      </c>
      <c r="C224" s="58">
        <v>7</v>
      </c>
      <c r="D224" s="58">
        <v>21</v>
      </c>
      <c r="E224" s="66"/>
      <c r="F224" s="66"/>
      <c r="G224" s="66"/>
      <c r="H224" s="66"/>
      <c r="I224" s="56">
        <f t="shared" si="8"/>
        <v>8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>
        <v>60</v>
      </c>
      <c r="B225" s="58">
        <v>214</v>
      </c>
      <c r="C225" s="58">
        <v>8</v>
      </c>
      <c r="D225" s="58">
        <v>21</v>
      </c>
      <c r="E225" s="66"/>
      <c r="F225" s="66"/>
      <c r="G225" s="66"/>
      <c r="H225" s="66"/>
      <c r="I225" s="56">
        <f t="shared" si="8"/>
        <v>7.4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>
        <v>65</v>
      </c>
      <c r="B226" s="58">
        <v>229</v>
      </c>
      <c r="C226" s="58">
        <v>9</v>
      </c>
      <c r="D226" s="58">
        <v>21</v>
      </c>
      <c r="E226" s="66"/>
      <c r="F226" s="66"/>
      <c r="G226" s="66"/>
      <c r="H226" s="66"/>
      <c r="I226" s="56">
        <f t="shared" si="8"/>
        <v>7.2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>
        <v>70</v>
      </c>
      <c r="B227" s="58">
        <v>242</v>
      </c>
      <c r="C227" s="58">
        <v>10</v>
      </c>
      <c r="D227" s="58">
        <v>21</v>
      </c>
      <c r="E227" s="66"/>
      <c r="F227" s="66"/>
      <c r="G227" s="66"/>
      <c r="H227" s="66"/>
      <c r="I227" s="56">
        <f t="shared" si="8"/>
        <v>6.8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>
        <v>75</v>
      </c>
      <c r="B228" s="58">
        <v>253</v>
      </c>
      <c r="C228" s="58">
        <v>11</v>
      </c>
      <c r="D228" s="58">
        <v>21</v>
      </c>
      <c r="E228" s="66"/>
      <c r="F228" s="66"/>
      <c r="G228" s="66"/>
      <c r="H228" s="66"/>
      <c r="I228" s="56">
        <f t="shared" si="8"/>
        <v>6.4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>
        <v>80</v>
      </c>
      <c r="B229" s="58">
        <v>262</v>
      </c>
      <c r="C229" s="58">
        <v>12</v>
      </c>
      <c r="D229" s="58">
        <v>21</v>
      </c>
      <c r="E229" s="66"/>
      <c r="F229" s="66"/>
      <c r="G229" s="66"/>
      <c r="H229" s="66"/>
      <c r="I229" s="56">
        <f t="shared" si="8"/>
        <v>6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>
        <v>85</v>
      </c>
      <c r="B230" s="58">
        <v>269</v>
      </c>
      <c r="C230" s="58">
        <v>13</v>
      </c>
      <c r="D230" s="58">
        <v>21</v>
      </c>
      <c r="E230" s="67"/>
      <c r="F230" s="67"/>
      <c r="G230" s="67"/>
      <c r="H230" s="67"/>
      <c r="I230" s="56">
        <f t="shared" si="8"/>
        <v>5.6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>
        <v>90</v>
      </c>
      <c r="B231" s="63">
        <v>275</v>
      </c>
      <c r="C231" s="94">
        <v>14</v>
      </c>
      <c r="D231" s="63">
        <v>21</v>
      </c>
      <c r="E231" s="57"/>
      <c r="F231" s="57"/>
      <c r="G231" s="57"/>
      <c r="H231" s="57"/>
      <c r="I231" s="56">
        <f t="shared" si="8"/>
        <v>5.4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>
        <v>95</v>
      </c>
      <c r="B232" s="53">
        <v>279</v>
      </c>
      <c r="C232" s="53">
        <v>15</v>
      </c>
      <c r="D232" s="53">
        <v>21</v>
      </c>
      <c r="E232" s="57"/>
      <c r="F232" s="57"/>
      <c r="G232" s="57"/>
      <c r="H232" s="57"/>
      <c r="I232" s="56">
        <f t="shared" si="8"/>
        <v>5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>
        <v>100</v>
      </c>
      <c r="B233" s="53">
        <v>282</v>
      </c>
      <c r="C233" s="53">
        <v>16</v>
      </c>
      <c r="D233" s="53">
        <v>21</v>
      </c>
      <c r="E233" s="57"/>
      <c r="F233" s="57"/>
      <c r="G233" s="57"/>
      <c r="H233" s="57"/>
      <c r="I233" s="56">
        <f t="shared" si="8"/>
        <v>4.8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>
        <v>105</v>
      </c>
      <c r="B234" s="53">
        <v>283</v>
      </c>
      <c r="C234" s="53">
        <v>17</v>
      </c>
      <c r="D234" s="53">
        <v>20</v>
      </c>
      <c r="E234" s="57"/>
      <c r="F234" s="57"/>
      <c r="G234" s="57"/>
      <c r="H234" s="57"/>
      <c r="I234" s="56">
        <f t="shared" si="8"/>
        <v>4.4000000000000004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>
        <v>110</v>
      </c>
      <c r="B235" s="53">
        <v>284</v>
      </c>
      <c r="C235" s="53">
        <v>18</v>
      </c>
      <c r="D235" s="53">
        <v>19</v>
      </c>
      <c r="E235" s="57"/>
      <c r="F235" s="57"/>
      <c r="G235" s="57"/>
      <c r="H235" s="57"/>
      <c r="I235" s="56">
        <f t="shared" si="8"/>
        <v>4.2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>
        <v>115</v>
      </c>
      <c r="B236" s="53">
        <v>284</v>
      </c>
      <c r="C236" s="53">
        <v>19</v>
      </c>
      <c r="D236" s="53">
        <v>18</v>
      </c>
      <c r="E236" s="57"/>
      <c r="F236" s="57"/>
      <c r="G236" s="57"/>
      <c r="H236" s="57"/>
      <c r="I236" s="56">
        <f t="shared" si="8"/>
        <v>3.8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>
        <v>120</v>
      </c>
      <c r="B237" s="53">
        <v>284</v>
      </c>
      <c r="C237" s="53">
        <v>20</v>
      </c>
      <c r="D237" s="53">
        <v>284</v>
      </c>
      <c r="E237" s="57"/>
      <c r="F237" s="57"/>
      <c r="G237" s="57"/>
      <c r="H237" s="57"/>
      <c r="I237" s="56">
        <f t="shared" si="8"/>
        <v>3.6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B16" sqref="B16:B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0.17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0.83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Robinier faux-acacia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>Pin maritime</v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>Pin taeda</v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>Peuplier Lambro</v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>Peuplier Koster</v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>Peuplier Raspalje</v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>alisier torminal</v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>cormier</v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143.77000000000001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125.43666666666667</v>
      </c>
      <c r="S3" s="62">
        <f ca="1">AVERAGE(OFFSET($R$3,0,0,'Données projet'!$E$9+1,1))-AVERAGE(OFFSET($H$3,0,0,'Données projet'!$E$9+1,1))</f>
        <v>388.8309693898596</v>
      </c>
      <c r="T3" s="62">
        <f>IF('Données projet'!E9&gt;30,$R$33-$H$33,LOOKUP('Données projet'!$E$9,$A$3:$A$203,R3:R203)-LOOKUP('Données projet'!$E$9,$A$3:$A$203,$H$3:$H$203))</f>
        <v>549.06702041234382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125.43666666666667</v>
      </c>
      <c r="AN3" s="62">
        <f ca="1">AVERAGE(OFFSET($AM$3,0,0,'Données projet'!$E$10+1,1))-AVERAGE(OFFSET($H$3,0,0,'Données projet'!$E$10+1,1))</f>
        <v>197.85998851681552</v>
      </c>
      <c r="AO3" s="62">
        <f>IF('Données projet'!E10&gt;30,$AM$33-$H$33,LOOKUP('Données projet'!$E$10,$A$3:$A$203,AM3:AM203)-LOOKUP('Données projet'!$E$10,$A$3:$A$203,$H$3:$H$203))</f>
        <v>474.54844785896239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125.43666666666667</v>
      </c>
      <c r="BI3" s="62">
        <f ca="1">AVERAGE(OFFSET($BH$3,0,0,'Données projet'!$E$11+1,1))-AVERAGE(OFFSET($H$3,0,0,'Données projet'!$E$11+1,1))</f>
        <v>197.85998851681552</v>
      </c>
      <c r="BJ3" s="62">
        <f>IF('Données projet'!E11&gt;30,$BH$33-$H$33,LOOKUP('Données projet'!$E$11,$A$3:$A$203,BH3:BH203)-LOOKUP('Données projet'!$E$11,$A$3:$A$203,$H$3:$H$203))</f>
        <v>474.54844785896239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125.43666666666667</v>
      </c>
      <c r="CD3" s="62">
        <f ca="1">AVERAGE(OFFSET($CC$3,0,0,'Données projet'!$E$12+1,1))-AVERAGE(OFFSET($H$3,0,0,'Données projet'!$E$12+1,1))</f>
        <v>72.97248599808384</v>
      </c>
      <c r="CE3" s="62">
        <f>IF('Données projet'!E12&gt;30,$CC$33-$H$33,LOOKUP('Données projet'!$E$12,$A$3:$A$203,CC3:CC203)-LOOKUP('Données projet'!$E$12,$A$3:$A$203,$H$3:$H$203))</f>
        <v>346.88163654003574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125.43666666666667</v>
      </c>
      <c r="CY3" s="62">
        <f ca="1">AVERAGE(OFFSET($CX$3,0,0,'Données projet'!$E$13+1,1))-AVERAGE(OFFSET($H$3,0,0,'Données projet'!$E$13+1,1))</f>
        <v>67.303283896086128</v>
      </c>
      <c r="CZ3" s="62">
        <f>IF('Données projet'!E13&gt;30,$CX$33-$H$33,LOOKUP('Données projet'!$E$13,$A$3:$A$203,CX3:CX203)-LOOKUP('Données projet'!$E$13,$A$3:$A$203,$H$3:$H$203))</f>
        <v>318.97925671653547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125.43666666666667</v>
      </c>
      <c r="DT3" s="62">
        <f ca="1">AVERAGE(OFFSET($DS$3,0,0,'Données projet'!$E$14+1,1))-AVERAGE(OFFSET($H$3,0,0,'Données projet'!$E$14+1,1))</f>
        <v>75.244137291704476</v>
      </c>
      <c r="DU3" s="62">
        <f>IF('Données projet'!E14&gt;30,$DS$33-$H$33,LOOKUP('Données projet'!$E$14,$A$3:$A$203,DS3:DS203)-LOOKUP('Données projet'!$E$14,$A$3:$A$203,$H$3:$H$203))</f>
        <v>366.065475656937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125.43666666666667</v>
      </c>
      <c r="EO3" s="62">
        <f ca="1">AVERAGE(OFFSET($EN$3,0,0,'Données projet'!$E$15+1,1))-AVERAGE(OFFSET($H$3,0,0,'Données projet'!$E$15+1,1))</f>
        <v>452.74627739105745</v>
      </c>
      <c r="EP3" s="62">
        <f>IF('Données projet'!E15&gt;30,$EN$33-$H$33,LOOKUP('Données projet'!$E$15,$A$3:$A$203,EN3:EN203)-LOOKUP('Données projet'!$E$15,$A$3:$A$203,$H$3:$H$203))</f>
        <v>281.80695725575106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125.43666666666667</v>
      </c>
      <c r="FJ3" s="62">
        <f ca="1">AVERAGE(OFFSET($FI$3,0,0,'Données projet'!$E$16+1,1))-AVERAGE(OFFSET($H$3,0,0,'Données projet'!$E$16+1,1))</f>
        <v>492.72391755143508</v>
      </c>
      <c r="FK3" s="62">
        <f>IF('Données projet'!E16&gt;30,$FI$33-$H$33,LOOKUP('Données projet'!$E$16,$A$3:$A$203,FI3:FI203)-LOOKUP('Données projet'!$E$16,$A$3:$A$203,$H$3:$H$203))</f>
        <v>304.88554179994355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34.21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143.77000000000001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6.8</v>
      </c>
      <c r="N4" s="14">
        <f>IF('Données projet'!$A$36&gt;35,N3+M4-V3,IF(A4&lt;'Données projet'!$A$36,$K$205^A4,IF(A4='Données projet'!$A$36,'Données projet'!$B$36,N3+M4-V3)))</f>
        <v>2.0243974584998852</v>
      </c>
      <c r="O4" s="14">
        <f>N4*VLOOKUP('Données projet'!$B$9,Paramètres!$A$1:$I$89,3,0)*VLOOKUP('Données projet'!$B$9,Paramètres!$A$1:$I$89,5,0)</f>
        <v>1.8316748204506961</v>
      </c>
      <c r="P4" s="14">
        <f>EXP(-1.0587+0.8836*LN(O4)+0.284)</f>
        <v>0.78669228172688432</v>
      </c>
      <c r="Q4" s="22">
        <f t="shared" ref="Q4:Q34" si="2">(O4+P4)*0.475*44/12</f>
        <v>4.5603227029592857</v>
      </c>
      <c r="R4" s="62">
        <f t="shared" si="0"/>
        <v>133.49575870552064</v>
      </c>
      <c r="S4" s="62">
        <f ca="1">AVERAGE(OFFSET($R$3,0,0,'Données projet'!$E$9+1,1))-AVERAGE(OFFSET($H$3,0,0,'Données projet'!$E$9+1,1))</f>
        <v>388.8309693898596</v>
      </c>
      <c r="T4" s="62">
        <f>$T$3</f>
        <v>549.06702041234382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>
        <f>AI4*VLOOKUP('Données projet'!$B$10,Paramètres!$A$1:$I$89,3,0)*VLOOKUP('Données projet'!$B$10,Paramètres!$A$1:$I$89,5,0)</f>
        <v>0.88201642515664225</v>
      </c>
      <c r="AK4" s="14">
        <f>EXP(-1.0587+0.8836*LN(AJ4)+0.284)</f>
        <v>0.4124537465701128</v>
      </c>
      <c r="AL4" s="22">
        <f t="shared" ref="AL4:AL67" si="4">(AJ4+AK4)*0.475*44/12</f>
        <v>2.254535549090765</v>
      </c>
      <c r="AM4" s="62">
        <f t="shared" ref="AM4:AM67" si="5">AL4+(AD4+AE4)*44/12</f>
        <v>131.18997155165212</v>
      </c>
      <c r="AN4" s="62">
        <f ca="1">AVERAGE(OFFSET($AM$3,0,0,'Données projet'!$E$10+1,1))-AVERAGE(OFFSET($H$3,0,0,'Données projet'!$E$10+1,1))</f>
        <v>197.85998851681552</v>
      </c>
      <c r="AO4" s="62">
        <f>$AO$3</f>
        <v>474.54844785896239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8.8333333333333339</v>
      </c>
      <c r="BD4" s="13">
        <f>IF('Données projet'!$A$88&gt;35,BD3+BC4-BL3,IF(A4&lt;'Données projet'!$A$88,$BA$205^A4,IF(A4='Données projet'!$A$88,'Données projet'!$B$88,BD3+BC4-BL3)))</f>
        <v>1.4749438547769935</v>
      </c>
      <c r="BE4" s="14">
        <f>BD4*VLOOKUP('Données projet'!$B$11,Paramètres!$A$1:$I$89,3,0)*VLOOKUP('Données projet'!$B$11,Paramètres!$A$1:$I$89,5,0)</f>
        <v>0.88201642515664225</v>
      </c>
      <c r="BF4" s="14">
        <f>EXP(-1.0587+0.8836*LN(BE4)+0.284)</f>
        <v>0.4124537465701128</v>
      </c>
      <c r="BG4" s="22">
        <f t="shared" ref="BG4:BG67" si="7">(BE4+BF4)*0.475*44/12</f>
        <v>2.254535549090765</v>
      </c>
      <c r="BH4" s="62">
        <f t="shared" ref="BH4:BH67" si="8">BG4+(AY4+AZ4)*44/12</f>
        <v>131.18997155165212</v>
      </c>
      <c r="BI4" s="62">
        <f ca="1">AVERAGE(OFFSET($BH$3,0,0,'Données projet'!$E$11+1,1))-AVERAGE(OFFSET($H$3,0,0,'Données projet'!$E$11+1,1))</f>
        <v>197.85998851681552</v>
      </c>
      <c r="BJ4" s="62">
        <f>$BJ$3</f>
        <v>474.54844785896239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14.882352941176471</v>
      </c>
      <c r="BY4" s="13">
        <f>IF('Données projet'!$A$114&gt;35,BY3+BX4-CG3,IF(A4&lt;'Données projet'!$A$114,$BV$205^A4,IF(A4='Données projet'!$A$114,'Données projet'!$B$114,BY3+BX4-CG3)))</f>
        <v>1.3847138327490534</v>
      </c>
      <c r="BZ4" s="14">
        <f>BY4*VLOOKUP('Données projet'!$B$12,Paramètres!$A$1:$I$89,3,0)*VLOOKUP('Données projet'!$B$12,Paramètres!$A$1:$I$89,5,0)</f>
        <v>0.77549513489277988</v>
      </c>
      <c r="CA4" s="14">
        <f>EXP(-1.0587+0.8836*LN(BZ4)+0.284)</f>
        <v>0.36811552834534655</v>
      </c>
      <c r="CB4" s="22">
        <f t="shared" ref="CB4:CB67" si="10">(BZ4+CA4)*0.475*44/12</f>
        <v>1.9917885718064035</v>
      </c>
      <c r="CC4" s="62">
        <f t="shared" ref="CC4:CC67" si="11">CB4+(BT4+BU4)*44/12</f>
        <v>130.92722457436776</v>
      </c>
      <c r="CD4" s="62">
        <f ca="1">AVERAGE(OFFSET($CC$3,0,0,'Données projet'!$E$12+1,1))-AVERAGE(OFFSET($H$3,0,0,'Données projet'!$E$12+1,1))</f>
        <v>72.97248599808384</v>
      </c>
      <c r="CE4" s="62">
        <f>$CE$3</f>
        <v>346.88163654003574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14.882352941176471</v>
      </c>
      <c r="CT4" s="13">
        <f>IF('Données projet'!$A$140&gt;35,CT3+CS4-DB3,IF(A4&lt;'Données projet'!$A$140,$CQ$205^A4,IF(A4='Données projet'!$A$140,'Données projet'!$B$140,CT3+CS4-DB3)))</f>
        <v>1.3847138327490534</v>
      </c>
      <c r="CU4" s="18">
        <f>CT4*VLOOKUP('Données projet'!$B$13,Paramètres!$A$1:$I$89,3,0)*VLOOKUP('Données projet'!$B$13,Paramètres!$A$1:$I$89,5,0)</f>
        <v>0.70421006678285858</v>
      </c>
      <c r="CV4" s="14">
        <f>EXP(-1.0587+0.8836*LN(CU4)+0.284)</f>
        <v>0.33805063377442396</v>
      </c>
      <c r="CW4" s="22">
        <f t="shared" ref="CW4:CW67" si="13">(CU4+CV4)*0.475*44/12</f>
        <v>1.8152707201372671</v>
      </c>
      <c r="CX4" s="62">
        <f t="shared" ref="CX4:CX67" si="14">CW4+(CO4+CP4)*44/12</f>
        <v>130.75070672269862</v>
      </c>
      <c r="CY4" s="62">
        <f ca="1">AVERAGE(OFFSET($CX$3,0,0,'Données projet'!$E$13+1,1))-AVERAGE(OFFSET($H$3,0,0,'Données projet'!$E$13+1,1))</f>
        <v>67.303283896086128</v>
      </c>
      <c r="CZ4" s="62">
        <f>$CZ$3</f>
        <v>318.97925671653547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17.588235294117649</v>
      </c>
      <c r="DO4" s="13">
        <f>IF('Données projet'!$A$166&gt;35,DO3+DN4-DW3,IF(A4&lt;'Données projet'!$A$166,$DL$205^A4,IF(A4='Données projet'!$A$166,'Données projet'!$B$166,DO3+DN4-DW3)))</f>
        <v>1.3983880916683011</v>
      </c>
      <c r="DP4" s="18">
        <f>DO4*VLOOKUP('Données projet'!$B$14,Paramètres!$A$1:$I$89,3,0)*VLOOKUP('Données projet'!$B$14,Paramètres!$A$1:$I$89,5,0)</f>
        <v>0.70461979162982369</v>
      </c>
      <c r="DQ4" s="14">
        <f>EXP(-1.0587+0.8836*LN(DP4)+0.284)</f>
        <v>0.33822441899167027</v>
      </c>
      <c r="DR4" s="22">
        <f t="shared" ref="DR4:DR67" si="16">(DP4+DQ4)*0.475*44/12</f>
        <v>1.8162870001657685</v>
      </c>
      <c r="DS4" s="62">
        <f t="shared" ref="DS4:DS67" si="17">DR4+(DJ4+DK4)*44/12</f>
        <v>130.75172300272712</v>
      </c>
      <c r="DT4" s="62">
        <f ca="1">AVERAGE(OFFSET($DS$3,0,0,'Données projet'!$E$14+1,1))-AVERAGE(OFFSET($H$3,0,0,'Données projet'!$E$14+1,1))</f>
        <v>75.244137291704476</v>
      </c>
      <c r="DU4" s="62">
        <f>$DU$3</f>
        <v>366.065475656937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2.84</v>
      </c>
      <c r="EJ4" s="13">
        <f>IF('Données projet'!$A$192&gt;35,EJ3+EI4-ER3,IF(A4&lt;'Données projet'!$A$192,$EG$205^A4,IF(A4='Données projet'!$A$192,'Données projet'!$B$192,EJ3+EI4-ER3)))</f>
        <v>1.185906184594963</v>
      </c>
      <c r="EK4" s="18">
        <f>EJ4*VLOOKUP('Données projet'!$B$15,Paramètres!$A$1:$I$89,3,0)*VLOOKUP('Données projet'!$B$15,Paramètres!$A$1:$I$89,5,0)</f>
        <v>1.1470084617402483</v>
      </c>
      <c r="EL4" s="14">
        <f>EXP(-1.0587+0.8836*LN(EK4)+0.284)</f>
        <v>0.52021770868717121</v>
      </c>
      <c r="EM4" s="22">
        <f t="shared" ref="EM4:EM67" si="19">(EK4+EL4)*0.475*44/12</f>
        <v>2.9037522468277555</v>
      </c>
      <c r="EN4" s="62">
        <f t="shared" ref="EN4:EN67" si="20">EM4+(EE4+EF4)*44/12</f>
        <v>131.83918824938911</v>
      </c>
      <c r="EO4" s="62">
        <f ca="1">AVERAGE(OFFSET($EN$3,0,0,'Données projet'!$E$15+1,1))-AVERAGE(OFFSET($H$3,0,0,'Données projet'!$E$15+1,1))</f>
        <v>452.74627739105745</v>
      </c>
      <c r="EP4" s="62">
        <f>$EP$3</f>
        <v>281.80695725575106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2.84</v>
      </c>
      <c r="FE4" s="13">
        <f>IF('Données projet'!$A$218&gt;35,FE3+FD4-FM3,IF(A4&lt;'Données projet'!$A$218,$FB$205^A4,IF(A4='Données projet'!$A$218,'Données projet'!$B$218,FE3+FD4-FM3)))</f>
        <v>1.185906184594963</v>
      </c>
      <c r="FF4" s="18">
        <f>FE4*VLOOKUP('Données projet'!$B$16,Paramètres!$A$1:$I$89,3,0)*VLOOKUP('Données projet'!$B$16,Paramètres!$A$1:$I$89,5,0)</f>
        <v>1.276509417098018</v>
      </c>
      <c r="FG4" s="14">
        <f>EXP(-1.0587+0.8836*LN(FF4)+0.284)</f>
        <v>0.57178780904389981</v>
      </c>
      <c r="FH4" s="22">
        <f t="shared" ref="FH4:FH67" si="22">(FF4+FG4)*0.475*44/12</f>
        <v>3.2191176688638401</v>
      </c>
      <c r="FI4" s="62">
        <f t="shared" ref="FI4:FI67" si="23">FH4+(EZ4+FA4)*44/12</f>
        <v>132.15455367142519</v>
      </c>
      <c r="FJ4" s="62">
        <f ca="1">AVERAGE(OFFSET($FI$3,0,0,'Données projet'!$E$16+1,1))-AVERAGE(OFFSET($H$3,0,0,'Données projet'!$E$16+1,1))</f>
        <v>492.72391755143508</v>
      </c>
      <c r="FK4" s="62">
        <f>$FK$3</f>
        <v>304.88554179994355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34.83087648554703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143.77000000000001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6.8</v>
      </c>
      <c r="N5" s="14">
        <f>IF('Données projet'!$A$36&gt;35,N4+M5-V4,IF(A5&lt;'Données projet'!$A$36,$K$205^A5,IF(A5='Données projet'!$A$36,'Données projet'!$B$36,N4+M5-V4)))</f>
        <v>4.0981850699807945</v>
      </c>
      <c r="O5" s="14">
        <f>N5*VLOOKUP('Données projet'!$B$9,Paramètres!$A$1:$I$89,3,0)*VLOOKUP('Données projet'!$B$9,Paramètres!$A$1:$I$89,5,0)</f>
        <v>3.7080378513186227</v>
      </c>
      <c r="P5" s="14">
        <f t="shared" ref="P5:P68" si="33">EXP(-1.0587+0.8836*LN(O5)+0.284)</f>
        <v>1.4670598901857457</v>
      </c>
      <c r="Q5" s="22">
        <f t="shared" si="2"/>
        <v>9.0132952331201093</v>
      </c>
      <c r="R5" s="62">
        <f t="shared" si="0"/>
        <v>141.40800756875078</v>
      </c>
      <c r="S5" s="62">
        <f ca="1">AVERAGE(OFFSET($R$3,0,0,'Données projet'!$E$9+1,1))-AVERAGE(OFFSET($H$3,0,0,'Données projet'!$E$9+1,1))</f>
        <v>388.8309693898596</v>
      </c>
      <c r="T5" s="62">
        <f t="shared" ref="T5:T68" si="34">$T$3</f>
        <v>549.06702041234382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>
        <f>AI5*VLOOKUP('Données projet'!$B$10,Paramètres!$A$1:$I$89,3,0)*VLOOKUP('Données projet'!$B$10,Paramètres!$A$1:$I$89,5,0)</f>
        <v>1.3009247060971614</v>
      </c>
      <c r="AK5" s="14">
        <f t="shared" ref="AK5:AK68" si="35">EXP(-1.0587+0.8836*LN(AJ5)+0.284)</f>
        <v>0.58144049425293109</v>
      </c>
      <c r="AL5" s="22">
        <f t="shared" si="4"/>
        <v>3.2784527239430776</v>
      </c>
      <c r="AM5" s="62">
        <f t="shared" si="5"/>
        <v>135.67316505957373</v>
      </c>
      <c r="AN5" s="62">
        <f ca="1">AVERAGE(OFFSET($AM$3,0,0,'Données projet'!$E$10+1,1))-AVERAGE(OFFSET($H$3,0,0,'Données projet'!$E$10+1,1))</f>
        <v>197.85998851681552</v>
      </c>
      <c r="AO5" s="62">
        <f t="shared" ref="AO5:AO68" si="36">$AO$3</f>
        <v>474.54844785896239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8.8333333333333339</v>
      </c>
      <c r="BD5" s="13">
        <f>IF('Données projet'!$A$88&gt;35,BD4+BC5-BL4,IF(A5&lt;'Données projet'!$A$88,$BA$205^A5,IF(A5='Données projet'!$A$88,'Données projet'!$B$88,BD4+BC5-BL4)))</f>
        <v>2.1754593747444169</v>
      </c>
      <c r="BE5" s="14">
        <f>BD5*VLOOKUP('Données projet'!$B$11,Paramètres!$A$1:$I$89,3,0)*VLOOKUP('Données projet'!$B$11,Paramètres!$A$1:$I$89,5,0)</f>
        <v>1.3009247060971614</v>
      </c>
      <c r="BF5" s="14">
        <f t="shared" ref="BF5:BF68" si="37">EXP(-1.0587+0.8836*LN(BE5)+0.284)</f>
        <v>0.58144049425293109</v>
      </c>
      <c r="BG5" s="22">
        <f t="shared" si="7"/>
        <v>3.2784527239430776</v>
      </c>
      <c r="BH5" s="62">
        <f t="shared" si="8"/>
        <v>135.67316505957373</v>
      </c>
      <c r="BI5" s="62">
        <f ca="1">AVERAGE(OFFSET($BH$3,0,0,'Données projet'!$E$11+1,1))-AVERAGE(OFFSET($H$3,0,0,'Données projet'!$E$11+1,1))</f>
        <v>197.85998851681552</v>
      </c>
      <c r="BJ5" s="62">
        <f t="shared" ref="BJ5:BJ68" si="38">$BJ$3</f>
        <v>474.54844785896239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14.882352941176471</v>
      </c>
      <c r="BY5" s="13">
        <f>IF('Données projet'!$A$114&gt;35,BY4+BX5-CG4,IF(A5&lt;'Données projet'!$A$114,$BV$205^A5,IF(A5='Données projet'!$A$114,'Données projet'!$B$114,BY4+BX5-CG4)))</f>
        <v>1.9174323986065733</v>
      </c>
      <c r="BZ5" s="14">
        <f>BY5*VLOOKUP('Données projet'!$B$12,Paramètres!$A$1:$I$89,3,0)*VLOOKUP('Données projet'!$B$12,Paramètres!$A$1:$I$89,5,0)</f>
        <v>1.0738388405156254</v>
      </c>
      <c r="CA5" s="14">
        <f t="shared" ref="CA5:CA68" si="39">EXP(-1.0587+0.8836*LN(BZ5)+0.284)</f>
        <v>0.49078339543703464</v>
      </c>
      <c r="CB5" s="22">
        <f t="shared" si="10"/>
        <v>2.7250503942842159</v>
      </c>
      <c r="CC5" s="62">
        <f t="shared" si="11"/>
        <v>135.11976272991487</v>
      </c>
      <c r="CD5" s="62">
        <f ca="1">AVERAGE(OFFSET($CC$3,0,0,'Données projet'!$E$12+1,1))-AVERAGE(OFFSET($H$3,0,0,'Données projet'!$E$12+1,1))</f>
        <v>72.97248599808384</v>
      </c>
      <c r="CE5" s="62">
        <f t="shared" ref="CE5:CE68" si="40">$CE$3</f>
        <v>346.88163654003574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14.882352941176471</v>
      </c>
      <c r="CT5" s="13">
        <f>IF('Données projet'!$A$140&gt;35,CT4+CS5-DB4,IF(A5&lt;'Données projet'!$A$140,$CQ$205^A5,IF(A5='Données projet'!$A$140,'Données projet'!$B$140,CT4+CS5-DB4)))</f>
        <v>1.9174323986065733</v>
      </c>
      <c r="CU5" s="18">
        <f>CT5*VLOOKUP('Données projet'!$B$13,Paramètres!$A$1:$I$89,3,0)*VLOOKUP('Données projet'!$B$13,Paramètres!$A$1:$I$89,5,0)</f>
        <v>0.97512942063535912</v>
      </c>
      <c r="CV5" s="14">
        <f t="shared" ref="CV5:CV68" si="41">EXP(-1.0587+0.8836*LN(CU5)+0.284)</f>
        <v>0.45069991646156721</v>
      </c>
      <c r="CW5" s="22">
        <f t="shared" si="13"/>
        <v>2.4833194287771465</v>
      </c>
      <c r="CX5" s="62">
        <f t="shared" si="14"/>
        <v>134.87803176440781</v>
      </c>
      <c r="CY5" s="62">
        <f ca="1">AVERAGE(OFFSET($CX$3,0,0,'Données projet'!$E$13+1,1))-AVERAGE(OFFSET($H$3,0,0,'Données projet'!$E$13+1,1))</f>
        <v>67.303283896086128</v>
      </c>
      <c r="CZ5" s="62">
        <f t="shared" ref="CZ5:CZ68" si="42">$CZ$3</f>
        <v>318.97925671653547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17.588235294117649</v>
      </c>
      <c r="DO5" s="13">
        <f>IF('Données projet'!$A$166&gt;35,DO4+DN5-DW4,IF(A5&lt;'Données projet'!$A$166,$DL$205^A5,IF(A5='Données projet'!$A$166,'Données projet'!$B$166,DO4+DN5-DW4)))</f>
        <v>1.9554892549197129</v>
      </c>
      <c r="DP5" s="18">
        <f>DO5*VLOOKUP('Données projet'!$B$14,Paramètres!$A$1:$I$89,3,0)*VLOOKUP('Données projet'!$B$14,Paramètres!$A$1:$I$89,5,0)</f>
        <v>0.98533192576894513</v>
      </c>
      <c r="DQ5" s="14">
        <f t="shared" ref="DQ5:DQ68" si="43">EXP(-1.0587+0.8836*LN(DP5)+0.284)</f>
        <v>0.45486404604676439</v>
      </c>
      <c r="DR5" s="22">
        <f t="shared" si="16"/>
        <v>2.5083413175790272</v>
      </c>
      <c r="DS5" s="62">
        <f t="shared" si="17"/>
        <v>134.9030536532097</v>
      </c>
      <c r="DT5" s="62">
        <f ca="1">AVERAGE(OFFSET($DS$3,0,0,'Données projet'!$E$14+1,1))-AVERAGE(OFFSET($H$3,0,0,'Données projet'!$E$14+1,1))</f>
        <v>75.244137291704476</v>
      </c>
      <c r="DU5" s="62">
        <f t="shared" ref="DU5:DU68" si="44">$DU$3</f>
        <v>366.065475656937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2.84</v>
      </c>
      <c r="EJ5" s="13">
        <f>IF('Données projet'!$A$192&gt;35,EJ4+EI5-ER4,IF(A5&lt;'Données projet'!$A$192,$EG$205^A5,IF(A5='Données projet'!$A$192,'Données projet'!$B$192,EJ4+EI5-ER4)))</f>
        <v>1.4063734786605824</v>
      </c>
      <c r="EK5" s="18">
        <f>EJ5*VLOOKUP('Données projet'!$B$15,Paramètres!$A$1:$I$89,3,0)*VLOOKUP('Données projet'!$B$15,Paramètres!$A$1:$I$89,5,0)</f>
        <v>1.3602444285605153</v>
      </c>
      <c r="EL5" s="14">
        <f t="shared" ref="EL5:EL68" si="45">EXP(-1.0587+0.8836*LN(EK5)+0.284)</f>
        <v>0.60480588305035499</v>
      </c>
      <c r="EM5" s="22">
        <f t="shared" si="19"/>
        <v>3.4224626260555984</v>
      </c>
      <c r="EN5" s="62">
        <f t="shared" si="20"/>
        <v>135.81717496168625</v>
      </c>
      <c r="EO5" s="62">
        <f ca="1">AVERAGE(OFFSET($EN$3,0,0,'Données projet'!$E$15+1,1))-AVERAGE(OFFSET($H$3,0,0,'Données projet'!$E$15+1,1))</f>
        <v>452.74627739105745</v>
      </c>
      <c r="EP5" s="62">
        <f t="shared" ref="EP5:EP68" si="46">$EP$3</f>
        <v>281.80695725575106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2.84</v>
      </c>
      <c r="FE5" s="13">
        <f>IF('Données projet'!$A$218&gt;35,FE4+FD5-FM4,IF(A5&lt;'Données projet'!$A$218,$FB$205^A5,IF(A5='Données projet'!$A$218,'Données projet'!$B$218,FE4+FD5-FM4)))</f>
        <v>1.4063734786605824</v>
      </c>
      <c r="FF5" s="18">
        <f>FE5*VLOOKUP('Données projet'!$B$16,Paramètres!$A$1:$I$89,3,0)*VLOOKUP('Données projet'!$B$16,Paramètres!$A$1:$I$89,5,0)</f>
        <v>1.5138204124302508</v>
      </c>
      <c r="FG5" s="14">
        <f t="shared" ref="FG5:FG68" si="47">EXP(-1.0587+0.8836*LN(FF5)+0.284)</f>
        <v>0.6647613585453318</v>
      </c>
      <c r="FH5" s="22">
        <f t="shared" si="22"/>
        <v>3.7943632511158056</v>
      </c>
      <c r="FI5" s="62">
        <f t="shared" si="23"/>
        <v>136.18907558674647</v>
      </c>
      <c r="FJ5" s="62">
        <f ca="1">AVERAGE(OFFSET($FI$3,0,0,'Données projet'!$E$16+1,1))-AVERAGE(OFFSET($H$3,0,0,'Données projet'!$E$16+1,1))</f>
        <v>492.72391755143508</v>
      </c>
      <c r="FK5" s="62">
        <f t="shared" ref="FK5:FK68" si="48">$FK$3</f>
        <v>304.88554179994355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35.4409821521417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143.77000000000001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6.8</v>
      </c>
      <c r="N6" s="14">
        <f>IF('Données projet'!$A$36&gt;35,N5+M6-V5,IF(A6&lt;'Données projet'!$A$36,$K$205^A6,IF(A6='Données projet'!$A$36,'Données projet'!$B$36,N5+M6-V5)))</f>
        <v>8.2963554401312951</v>
      </c>
      <c r="O6" s="14">
        <f>N6*VLOOKUP('Données projet'!$B$9,Paramètres!$A$1:$I$89,3,0)*VLOOKUP('Données projet'!$B$9,Paramètres!$A$1:$I$89,5,0)</f>
        <v>7.5065424022307949</v>
      </c>
      <c r="P6" s="14">
        <f t="shared" si="33"/>
        <v>2.7358406474604431</v>
      </c>
      <c r="Q6" s="22">
        <f t="shared" si="2"/>
        <v>17.838817144878906</v>
      </c>
      <c r="R6" s="62">
        <f t="shared" si="0"/>
        <v>153.65399792605945</v>
      </c>
      <c r="S6" s="62">
        <f ca="1">AVERAGE(OFFSET($R$3,0,0,'Données projet'!$E$9+1,1))-AVERAGE(OFFSET($H$3,0,0,'Données projet'!$E$9+1,1))</f>
        <v>388.8309693898596</v>
      </c>
      <c r="T6" s="62">
        <f t="shared" si="34"/>
        <v>549.06702041234382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>
        <f>AI6*VLOOKUP('Données projet'!$B$10,Paramètres!$A$1:$I$89,3,0)*VLOOKUP('Données projet'!$B$10,Paramètres!$A$1:$I$89,5,0)</f>
        <v>1.9187909007855746</v>
      </c>
      <c r="AK6" s="14">
        <f t="shared" si="35"/>
        <v>0.81966293473739615</v>
      </c>
      <c r="AL6" s="22">
        <f t="shared" si="4"/>
        <v>4.7694737635358404</v>
      </c>
      <c r="AM6" s="62">
        <f t="shared" si="5"/>
        <v>140.58465454471639</v>
      </c>
      <c r="AN6" s="62">
        <f ca="1">AVERAGE(OFFSET($AM$3,0,0,'Données projet'!$E$10+1,1))-AVERAGE(OFFSET($H$3,0,0,'Données projet'!$E$10+1,1))</f>
        <v>197.85998851681552</v>
      </c>
      <c r="AO6" s="62">
        <f t="shared" si="36"/>
        <v>474.54844785896239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8.8333333333333339</v>
      </c>
      <c r="BD6" s="13">
        <f>IF('Données projet'!$A$88&gt;35,BD5+BC6-BL5,IF(A6&lt;'Données projet'!$A$88,$BA$205^A6,IF(A6='Données projet'!$A$88,'Données projet'!$B$88,BD5+BC6-BL5)))</f>
        <v>3.2086804360962784</v>
      </c>
      <c r="BE6" s="14">
        <f>BD6*VLOOKUP('Données projet'!$B$11,Paramètres!$A$1:$I$89,3,0)*VLOOKUP('Données projet'!$B$11,Paramètres!$A$1:$I$89,5,0)</f>
        <v>1.9187909007855746</v>
      </c>
      <c r="BF6" s="14">
        <f t="shared" si="37"/>
        <v>0.81966293473739615</v>
      </c>
      <c r="BG6" s="22">
        <f t="shared" si="7"/>
        <v>4.7694737635358404</v>
      </c>
      <c r="BH6" s="62">
        <f t="shared" si="8"/>
        <v>140.58465454471639</v>
      </c>
      <c r="BI6" s="62">
        <f ca="1">AVERAGE(OFFSET($BH$3,0,0,'Données projet'!$E$11+1,1))-AVERAGE(OFFSET($H$3,0,0,'Données projet'!$E$11+1,1))</f>
        <v>197.85998851681552</v>
      </c>
      <c r="BJ6" s="62">
        <f t="shared" si="38"/>
        <v>474.54844785896239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14.882352941176471</v>
      </c>
      <c r="BY6" s="13">
        <f>IF('Données projet'!$A$114&gt;35,BY5+BX6-CG5,IF(A6&lt;'Données projet'!$A$114,$BV$205^A6,IF(A6='Données projet'!$A$114,'Données projet'!$B$114,BY5+BX6-CG5)))</f>
        <v>2.6550951657117188</v>
      </c>
      <c r="BZ6" s="14">
        <f>BY6*VLOOKUP('Données projet'!$B$12,Paramètres!$A$1:$I$89,3,0)*VLOOKUP('Données projet'!$B$12,Paramètres!$A$1:$I$89,5,0)</f>
        <v>1.4869594966051909</v>
      </c>
      <c r="CA6" s="14">
        <f t="shared" si="39"/>
        <v>0.65432811899946441</v>
      </c>
      <c r="CB6" s="22">
        <f t="shared" si="10"/>
        <v>3.7294092638447744</v>
      </c>
      <c r="CC6" s="62">
        <f t="shared" si="11"/>
        <v>139.54459004502533</v>
      </c>
      <c r="CD6" s="62">
        <f ca="1">AVERAGE(OFFSET($CC$3,0,0,'Données projet'!$E$12+1,1))-AVERAGE(OFFSET($H$3,0,0,'Données projet'!$E$12+1,1))</f>
        <v>72.97248599808384</v>
      </c>
      <c r="CE6" s="62">
        <f t="shared" si="40"/>
        <v>346.88163654003574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14.882352941176471</v>
      </c>
      <c r="CT6" s="13">
        <f>IF('Données projet'!$A$140&gt;35,CT5+CS6-DB5,IF(A6&lt;'Données projet'!$A$140,$CQ$205^A6,IF(A6='Données projet'!$A$140,'Données projet'!$B$140,CT5+CS6-DB5)))</f>
        <v>2.6550951657117188</v>
      </c>
      <c r="CU6" s="18">
        <f>CT6*VLOOKUP('Données projet'!$B$13,Paramètres!$A$1:$I$89,3,0)*VLOOKUP('Données projet'!$B$13,Paramètres!$A$1:$I$89,5,0)</f>
        <v>1.3502751974743519</v>
      </c>
      <c r="CV6" s="14">
        <f t="shared" si="41"/>
        <v>0.60088754288213919</v>
      </c>
      <c r="CW6" s="22">
        <f t="shared" si="13"/>
        <v>3.3982751061208885</v>
      </c>
      <c r="CX6" s="62">
        <f t="shared" si="14"/>
        <v>139.21345588730142</v>
      </c>
      <c r="CY6" s="62">
        <f ca="1">AVERAGE(OFFSET($CX$3,0,0,'Données projet'!$E$13+1,1))-AVERAGE(OFFSET($H$3,0,0,'Données projet'!$E$13+1,1))</f>
        <v>67.303283896086128</v>
      </c>
      <c r="CZ6" s="62">
        <f t="shared" si="42"/>
        <v>318.97925671653547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17.588235294117649</v>
      </c>
      <c r="DO6" s="13">
        <f>IF('Données projet'!$A$166&gt;35,DO5+DN6-DW5,IF(A6&lt;'Données projet'!$A$166,$DL$205^A6,IF(A6='Données projet'!$A$166,'Données projet'!$B$166,DO5+DN6-DW5)))</f>
        <v>2.7345328874650452</v>
      </c>
      <c r="DP6" s="18">
        <f>DO6*VLOOKUP('Données projet'!$B$14,Paramètres!$A$1:$I$89,3,0)*VLOOKUP('Données projet'!$B$14,Paramètres!$A$1:$I$89,5,0)</f>
        <v>1.3778764313358871</v>
      </c>
      <c r="DQ6" s="14">
        <f t="shared" si="43"/>
        <v>0.61172786105407873</v>
      </c>
      <c r="DR6" s="22">
        <f t="shared" si="16"/>
        <v>3.4652274759125241</v>
      </c>
      <c r="DS6" s="62">
        <f t="shared" si="17"/>
        <v>139.28040825709306</v>
      </c>
      <c r="DT6" s="62">
        <f ca="1">AVERAGE(OFFSET($DS$3,0,0,'Données projet'!$E$14+1,1))-AVERAGE(OFFSET($H$3,0,0,'Données projet'!$E$14+1,1))</f>
        <v>75.244137291704476</v>
      </c>
      <c r="DU6" s="62">
        <f t="shared" si="44"/>
        <v>366.065475656937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2.84</v>
      </c>
      <c r="EJ6" s="13">
        <f>IF('Données projet'!$A$192&gt;35,EJ5+EI6-ER5,IF(A6&lt;'Données projet'!$A$192,$EG$205^A6,IF(A6='Données projet'!$A$192,'Données projet'!$B$192,EJ5+EI6-ER5)))</f>
        <v>1.6678270061939169</v>
      </c>
      <c r="EK6" s="18">
        <f>EJ6*VLOOKUP('Données projet'!$B$15,Paramètres!$A$1:$I$89,3,0)*VLOOKUP('Données projet'!$B$15,Paramètres!$A$1:$I$89,5,0)</f>
        <v>1.6131222803907566</v>
      </c>
      <c r="EL6" s="14">
        <f t="shared" si="45"/>
        <v>0.70314822056987081</v>
      </c>
      <c r="EM6" s="22">
        <f t="shared" si="19"/>
        <v>4.0341711225064261</v>
      </c>
      <c r="EN6" s="62">
        <f t="shared" si="20"/>
        <v>139.84935190368697</v>
      </c>
      <c r="EO6" s="62">
        <f ca="1">AVERAGE(OFFSET($EN$3,0,0,'Données projet'!$E$15+1,1))-AVERAGE(OFFSET($H$3,0,0,'Données projet'!$E$15+1,1))</f>
        <v>452.74627739105745</v>
      </c>
      <c r="EP6" s="62">
        <f t="shared" si="46"/>
        <v>281.80695725575106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2.84</v>
      </c>
      <c r="FE6" s="13">
        <f>IF('Données projet'!$A$218&gt;35,FE5+FD6-FM5,IF(A6&lt;'Données projet'!$A$218,$FB$205^A6,IF(A6='Données projet'!$A$218,'Données projet'!$B$218,FE5+FD6-FM5)))</f>
        <v>1.6678270061939169</v>
      </c>
      <c r="FF6" s="18">
        <f>FE6*VLOOKUP('Données projet'!$B$16,Paramètres!$A$1:$I$89,3,0)*VLOOKUP('Données projet'!$B$16,Paramètres!$A$1:$I$89,5,0)</f>
        <v>1.7952489894671322</v>
      </c>
      <c r="FG6" s="14">
        <f t="shared" si="47"/>
        <v>0.77285254569166117</v>
      </c>
      <c r="FH6" s="22">
        <f t="shared" si="22"/>
        <v>4.472776840401564</v>
      </c>
      <c r="FI6" s="62">
        <f t="shared" si="23"/>
        <v>140.28795762158211</v>
      </c>
      <c r="FJ6" s="62">
        <f ca="1">AVERAGE(OFFSET($FI$3,0,0,'Données projet'!$E$16+1,1))-AVERAGE(OFFSET($H$3,0,0,'Données projet'!$E$16+1,1))</f>
        <v>492.72391755143508</v>
      </c>
      <c r="FK6" s="62">
        <f t="shared" si="48"/>
        <v>304.88554179994355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36.040503849412872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143.77000000000001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6.8</v>
      </c>
      <c r="N7" s="14">
        <f>IF('Données projet'!$A$36&gt;35,N6+M7-V6,IF(A7&lt;'Données projet'!$A$36,$K$205^A7,IF(A7='Données projet'!$A$36,'Données projet'!$B$36,N6+M7-V6)))</f>
        <v>16.795120867813488</v>
      </c>
      <c r="O7" s="14">
        <f>N7*VLOOKUP('Données projet'!$B$9,Paramètres!$A$1:$I$89,3,0)*VLOOKUP('Données projet'!$B$9,Paramètres!$A$1:$I$89,5,0)</f>
        <v>15.196225361197643</v>
      </c>
      <c r="P7" s="14">
        <f t="shared" si="33"/>
        <v>5.1019212633160578</v>
      </c>
      <c r="Q7" s="22">
        <f t="shared" si="2"/>
        <v>35.352605371028027</v>
      </c>
      <c r="R7" s="62">
        <f t="shared" si="0"/>
        <v>174.550119940326</v>
      </c>
      <c r="S7" s="62">
        <f ca="1">AVERAGE(OFFSET($R$3,0,0,'Données projet'!$E$9+1,1))-AVERAGE(OFFSET($H$3,0,0,'Données projet'!$E$9+1,1))</f>
        <v>388.8309693898596</v>
      </c>
      <c r="T7" s="62">
        <f t="shared" si="34"/>
        <v>549.06702041234382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>
        <f>AI7*VLOOKUP('Données projet'!$B$10,Paramètres!$A$1:$I$89,3,0)*VLOOKUP('Données projet'!$B$10,Paramètres!$A$1:$I$89,5,0)</f>
        <v>2.8301088477156946</v>
      </c>
      <c r="AK7" s="14">
        <f t="shared" si="35"/>
        <v>1.1554876779704684</v>
      </c>
      <c r="AL7" s="22">
        <f t="shared" si="4"/>
        <v>6.9415806155700679</v>
      </c>
      <c r="AM7" s="62">
        <f t="shared" si="5"/>
        <v>146.13909518486804</v>
      </c>
      <c r="AN7" s="62">
        <f ca="1">AVERAGE(OFFSET($AM$3,0,0,'Données projet'!$E$10+1,1))-AVERAGE(OFFSET($H$3,0,0,'Données projet'!$E$10+1,1))</f>
        <v>197.85998851681552</v>
      </c>
      <c r="AO7" s="62">
        <f t="shared" si="36"/>
        <v>474.54844785896239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8.8333333333333339</v>
      </c>
      <c r="BD7" s="13">
        <f>IF('Données projet'!$A$88&gt;35,BD6+BC7-BL6,IF(A7&lt;'Données projet'!$A$88,$BA$205^A7,IF(A7='Données projet'!$A$88,'Données projet'!$B$88,BD6+BC7-BL6)))</f>
        <v>4.7326234911633689</v>
      </c>
      <c r="BE7" s="14">
        <f>BD7*VLOOKUP('Données projet'!$B$11,Paramètres!$A$1:$I$89,3,0)*VLOOKUP('Données projet'!$B$11,Paramètres!$A$1:$I$89,5,0)</f>
        <v>2.8301088477156946</v>
      </c>
      <c r="BF7" s="14">
        <f t="shared" si="37"/>
        <v>1.1554876779704684</v>
      </c>
      <c r="BG7" s="22">
        <f t="shared" si="7"/>
        <v>6.9415806155700679</v>
      </c>
      <c r="BH7" s="62">
        <f t="shared" si="8"/>
        <v>146.13909518486804</v>
      </c>
      <c r="BI7" s="62">
        <f ca="1">AVERAGE(OFFSET($BH$3,0,0,'Données projet'!$E$11+1,1))-AVERAGE(OFFSET($H$3,0,0,'Données projet'!$E$11+1,1))</f>
        <v>197.85998851681552</v>
      </c>
      <c r="BJ7" s="62">
        <f t="shared" si="38"/>
        <v>474.54844785896239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14.882352941176471</v>
      </c>
      <c r="BY7" s="13">
        <f>IF('Données projet'!$A$114&gt;35,BY6+BX7-CG6,IF(A7&lt;'Données projet'!$A$114,$BV$205^A7,IF(A7='Données projet'!$A$114,'Données projet'!$B$114,BY6+BX7-CG6)))</f>
        <v>3.6765470032261569</v>
      </c>
      <c r="BZ7" s="14">
        <f>BY7*VLOOKUP('Données projet'!$B$12,Paramètres!$A$1:$I$89,3,0)*VLOOKUP('Données projet'!$B$12,Paramètres!$A$1:$I$89,5,0)</f>
        <v>2.0590133836867772</v>
      </c>
      <c r="CA7" s="14">
        <f t="shared" si="39"/>
        <v>0.87237117492966731</v>
      </c>
      <c r="CB7" s="22">
        <f t="shared" si="10"/>
        <v>5.1054947729236408</v>
      </c>
      <c r="CC7" s="62">
        <f t="shared" si="11"/>
        <v>144.3030093422216</v>
      </c>
      <c r="CD7" s="62">
        <f ca="1">AVERAGE(OFFSET($CC$3,0,0,'Données projet'!$E$12+1,1))-AVERAGE(OFFSET($H$3,0,0,'Données projet'!$E$12+1,1))</f>
        <v>72.97248599808384</v>
      </c>
      <c r="CE7" s="62">
        <f t="shared" si="40"/>
        <v>346.88163654003574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14.882352941176471</v>
      </c>
      <c r="CT7" s="13">
        <f>IF('Données projet'!$A$140&gt;35,CT6+CS7-DB6,IF(A7&lt;'Données projet'!$A$140,$CQ$205^A7,IF(A7='Données projet'!$A$140,'Données projet'!$B$140,CT6+CS7-DB6)))</f>
        <v>3.6765470032261569</v>
      </c>
      <c r="CU7" s="18">
        <f>CT7*VLOOKUP('Données projet'!$B$13,Paramètres!$A$1:$I$89,3,0)*VLOOKUP('Données projet'!$B$13,Paramètres!$A$1:$I$89,5,0)</f>
        <v>1.8697447439606947</v>
      </c>
      <c r="CV7" s="14">
        <f t="shared" si="41"/>
        <v>0.80112248971700029</v>
      </c>
      <c r="CW7" s="22">
        <f t="shared" si="13"/>
        <v>4.6517604319886514</v>
      </c>
      <c r="CX7" s="62">
        <f t="shared" si="14"/>
        <v>143.84927500128663</v>
      </c>
      <c r="CY7" s="62">
        <f ca="1">AVERAGE(OFFSET($CX$3,0,0,'Données projet'!$E$13+1,1))-AVERAGE(OFFSET($H$3,0,0,'Données projet'!$E$13+1,1))</f>
        <v>67.303283896086128</v>
      </c>
      <c r="CZ7" s="62">
        <f t="shared" si="42"/>
        <v>318.97925671653547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17.588235294117649</v>
      </c>
      <c r="DO7" s="13">
        <f>IF('Données projet'!$A$166&gt;35,DO6+DN7-DW6,IF(A7&lt;'Données projet'!$A$166,$DL$205^A7,IF(A7='Données projet'!$A$166,'Données projet'!$B$166,DO6+DN7-DW6)))</f>
        <v>3.8239382261064541</v>
      </c>
      <c r="DP7" s="18">
        <f>DO7*VLOOKUP('Données projet'!$B$14,Paramètres!$A$1:$I$89,3,0)*VLOOKUP('Données projet'!$B$14,Paramètres!$A$1:$I$89,5,0)</f>
        <v>1.9268059933705204</v>
      </c>
      <c r="DQ7" s="14">
        <f t="shared" si="43"/>
        <v>0.82268752441982607</v>
      </c>
      <c r="DR7" s="22">
        <f t="shared" si="16"/>
        <v>4.7887012101515198</v>
      </c>
      <c r="DS7" s="62">
        <f t="shared" si="17"/>
        <v>143.98621577944948</v>
      </c>
      <c r="DT7" s="62">
        <f ca="1">AVERAGE(OFFSET($DS$3,0,0,'Données projet'!$E$14+1,1))-AVERAGE(OFFSET($H$3,0,0,'Données projet'!$E$14+1,1))</f>
        <v>75.244137291704476</v>
      </c>
      <c r="DU7" s="62">
        <f t="shared" si="44"/>
        <v>366.065475656937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2.84</v>
      </c>
      <c r="EJ7" s="13">
        <f>IF('Données projet'!$A$192&gt;35,EJ6+EI7-ER6,IF(A7&lt;'Données projet'!$A$192,$EG$205^A7,IF(A7='Données projet'!$A$192,'Données projet'!$B$192,EJ6+EI7-ER6)))</f>
        <v>1.9778863614798676</v>
      </c>
      <c r="EK7" s="18">
        <f>EJ7*VLOOKUP('Données projet'!$B$15,Paramètres!$A$1:$I$89,3,0)*VLOOKUP('Données projet'!$B$15,Paramètres!$A$1:$I$89,5,0)</f>
        <v>1.9130116888233279</v>
      </c>
      <c r="EL7" s="14">
        <f t="shared" si="45"/>
        <v>0.8174811686635185</v>
      </c>
      <c r="EM7" s="22">
        <f t="shared" si="19"/>
        <v>4.7556083934562574</v>
      </c>
      <c r="EN7" s="62">
        <f t="shared" si="20"/>
        <v>143.95312296275424</v>
      </c>
      <c r="EO7" s="62">
        <f ca="1">AVERAGE(OFFSET($EN$3,0,0,'Données projet'!$E$15+1,1))-AVERAGE(OFFSET($H$3,0,0,'Données projet'!$E$15+1,1))</f>
        <v>452.74627739105745</v>
      </c>
      <c r="EP7" s="62">
        <f t="shared" si="46"/>
        <v>281.80695725575106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2.84</v>
      </c>
      <c r="FE7" s="13">
        <f>IF('Données projet'!$A$218&gt;35,FE6+FD7-FM6,IF(A7&lt;'Données projet'!$A$218,$FB$205^A7,IF(A7='Données projet'!$A$218,'Données projet'!$B$218,FE6+FD7-FM6)))</f>
        <v>1.9778863614798676</v>
      </c>
      <c r="FF7" s="18">
        <f>FE7*VLOOKUP('Données projet'!$B$16,Paramètres!$A$1:$I$89,3,0)*VLOOKUP('Données projet'!$B$16,Paramètres!$A$1:$I$89,5,0)</f>
        <v>2.1289968794969294</v>
      </c>
      <c r="FG7" s="14">
        <f t="shared" si="47"/>
        <v>0.89851952088359754</v>
      </c>
      <c r="FH7" s="22">
        <f t="shared" si="22"/>
        <v>5.272924397329418</v>
      </c>
      <c r="FI7" s="62">
        <f t="shared" si="23"/>
        <v>144.47043896662737</v>
      </c>
      <c r="FJ7" s="62">
        <f ca="1">AVERAGE(OFFSET($FI$3,0,0,'Données projet'!$E$16+1,1))-AVERAGE(OFFSET($H$3,0,0,'Données projet'!$E$16+1,1))</f>
        <v>492.72391755143508</v>
      </c>
      <c r="FK7" s="62">
        <f t="shared" si="48"/>
        <v>304.88554179994355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36.629625185566113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143.77000000000001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>
        <f>VLOOKUP(A8,'Données projet'!$A$35:$I$55,2,0)</f>
        <v>34</v>
      </c>
      <c r="L8" s="13">
        <f>VLOOKUP(A8,'Données projet'!$A$35:$I$55,9,0)</f>
        <v>6.8</v>
      </c>
      <c r="M8" s="13">
        <f t="array" ref="M8">INDEX(L:L,MIN(IF(ISNUMBER(L8:L204),ROW(L8:L204),"")))</f>
        <v>6.8</v>
      </c>
      <c r="N8" s="14">
        <f>IF('Données projet'!$A$36&gt;35,N7+M8-V7,IF(A8&lt;'Données projet'!$A$36,$K$205^A8,IF(A8='Données projet'!$A$36,'Données projet'!$B$36,N7+M8-V7)))</f>
        <v>34</v>
      </c>
      <c r="O8" s="14">
        <f>N8*VLOOKUP('Données projet'!$B$9,Paramètres!$A$1:$I$89,3,0)*VLOOKUP('Données projet'!$B$9,Paramètres!$A$1:$I$89,5,0)</f>
        <v>30.763199999999998</v>
      </c>
      <c r="P8" s="14">
        <f t="shared" si="33"/>
        <v>9.5142970411082253</v>
      </c>
      <c r="Q8" s="22">
        <f t="shared" si="2"/>
        <v>70.149974013263474</v>
      </c>
      <c r="R8" s="62">
        <f t="shared" si="0"/>
        <v>212.69234926429658</v>
      </c>
      <c r="S8" s="62">
        <f ca="1">AVERAGE(OFFSET($R$3,0,0,'Données projet'!$E$9+1,1))-AVERAGE(OFFSET($H$3,0,0,'Données projet'!$E$9+1,1))</f>
        <v>388.8309693898596</v>
      </c>
      <c r="T8" s="62">
        <f t="shared" si="34"/>
        <v>549.06702041234382</v>
      </c>
      <c r="U8" s="16">
        <f>IF(ISNA(VLOOKUP(A8,'Données projet'!$A$35:$I$55,3,0)),0,VLOOKUP(A8,'Données projet'!$A$35:$I$55,3,0))</f>
        <v>1</v>
      </c>
      <c r="V8" s="16">
        <f>IF(ISNA(VLOOKUP(A8,'Données projet'!$A$35:$I$55,4,0)),0,VLOOKUP(A8,'Données projet'!$A$35:$I$55,4,0))</f>
        <v>6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>
        <f>AI8*VLOOKUP('Données projet'!$B$10,Paramètres!$A$1:$I$89,3,0)*VLOOKUP('Données projet'!$B$10,Paramètres!$A$1:$I$89,5,0)</f>
        <v>4.1742516532882625</v>
      </c>
      <c r="AK8" s="14">
        <f t="shared" si="35"/>
        <v>1.6289034398869595</v>
      </c>
      <c r="AL8" s="22">
        <f t="shared" si="4"/>
        <v>10.107161787280178</v>
      </c>
      <c r="AM8" s="62">
        <f t="shared" si="5"/>
        <v>152.6495370383133</v>
      </c>
      <c r="AN8" s="62">
        <f ca="1">AVERAGE(OFFSET($AM$3,0,0,'Données projet'!$E$10+1,1))-AVERAGE(OFFSET($H$3,0,0,'Données projet'!$E$10+1,1))</f>
        <v>197.85998851681552</v>
      </c>
      <c r="AO8" s="62">
        <f t="shared" si="36"/>
        <v>474.54844785896239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8.8333333333333339</v>
      </c>
      <c r="BD8" s="13">
        <f>IF('Données projet'!$A$88&gt;35,BD7+BC8-BL7,IF(A8&lt;'Données projet'!$A$88,$BA$205^A8,IF(A8='Données projet'!$A$88,'Données projet'!$B$88,BD7+BC8-BL7)))</f>
        <v>6.9803539352646524</v>
      </c>
      <c r="BE8" s="14">
        <f>BD8*VLOOKUP('Données projet'!$B$11,Paramètres!$A$1:$I$89,3,0)*VLOOKUP('Données projet'!$B$11,Paramètres!$A$1:$I$89,5,0)</f>
        <v>4.1742516532882625</v>
      </c>
      <c r="BF8" s="14">
        <f t="shared" si="37"/>
        <v>1.6289034398869595</v>
      </c>
      <c r="BG8" s="22">
        <f t="shared" si="7"/>
        <v>10.107161787280178</v>
      </c>
      <c r="BH8" s="62">
        <f t="shared" si="8"/>
        <v>152.6495370383133</v>
      </c>
      <c r="BI8" s="62">
        <f ca="1">AVERAGE(OFFSET($BH$3,0,0,'Données projet'!$E$11+1,1))-AVERAGE(OFFSET($H$3,0,0,'Données projet'!$E$11+1,1))</f>
        <v>197.85998851681552</v>
      </c>
      <c r="BJ8" s="62">
        <f t="shared" si="38"/>
        <v>474.54844785896239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14.882352941176471</v>
      </c>
      <c r="BY8" s="13">
        <f>IF('Données projet'!$A$114&gt;35,BY7+BX8-CG7,IF(A8&lt;'Données projet'!$A$114,$BV$205^A8,IF(A8='Données projet'!$A$114,'Données projet'!$B$114,BY7+BX8-CG7)))</f>
        <v>5.0909654921193379</v>
      </c>
      <c r="BZ8" s="14">
        <f>BY8*VLOOKUP('Données projet'!$B$12,Paramètres!$A$1:$I$89,3,0)*VLOOKUP('Données projet'!$B$12,Paramètres!$A$1:$I$89,5,0)</f>
        <v>2.8511443142065138</v>
      </c>
      <c r="CA8" s="14">
        <f t="shared" si="39"/>
        <v>1.163073150534726</v>
      </c>
      <c r="CB8" s="22">
        <f t="shared" si="10"/>
        <v>6.991428751090992</v>
      </c>
      <c r="CC8" s="62">
        <f t="shared" si="11"/>
        <v>149.5338040021241</v>
      </c>
      <c r="CD8" s="62">
        <f ca="1">AVERAGE(OFFSET($CC$3,0,0,'Données projet'!$E$12+1,1))-AVERAGE(OFFSET($H$3,0,0,'Données projet'!$E$12+1,1))</f>
        <v>72.97248599808384</v>
      </c>
      <c r="CE8" s="62">
        <f t="shared" si="40"/>
        <v>346.88163654003574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14.882352941176471</v>
      </c>
      <c r="CT8" s="13">
        <f>IF('Données projet'!$A$140&gt;35,CT7+CS8-DB7,IF(A8&lt;'Données projet'!$A$140,$CQ$205^A8,IF(A8='Données projet'!$A$140,'Données projet'!$B$140,CT7+CS8-DB7)))</f>
        <v>5.0909654921193379</v>
      </c>
      <c r="CU8" s="18">
        <f>CT8*VLOOKUP('Données projet'!$B$13,Paramètres!$A$1:$I$89,3,0)*VLOOKUP('Données projet'!$B$13,Paramètres!$A$1:$I$89,5,0)</f>
        <v>2.589061410672211</v>
      </c>
      <c r="CV8" s="14">
        <f t="shared" si="41"/>
        <v>1.0680821247383561</v>
      </c>
      <c r="CW8" s="22">
        <f t="shared" si="13"/>
        <v>6.3695249908400697</v>
      </c>
      <c r="CX8" s="62">
        <f t="shared" si="14"/>
        <v>148.91190024187318</v>
      </c>
      <c r="CY8" s="62">
        <f ca="1">AVERAGE(OFFSET($CX$3,0,0,'Données projet'!$E$13+1,1))-AVERAGE(OFFSET($H$3,0,0,'Données projet'!$E$13+1,1))</f>
        <v>67.303283896086128</v>
      </c>
      <c r="CZ8" s="62">
        <f t="shared" si="42"/>
        <v>318.97925671653547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17.588235294117649</v>
      </c>
      <c r="DO8" s="13">
        <f>IF('Données projet'!$A$166&gt;35,DO7+DN8-DW7,IF(A8&lt;'Données projet'!$A$166,$DL$205^A8,IF(A8='Données projet'!$A$166,'Données projet'!$B$166,DO7+DN8-DW7)))</f>
        <v>5.3473496786624732</v>
      </c>
      <c r="DP8" s="18">
        <f>DO8*VLOOKUP('Données projet'!$B$14,Paramètres!$A$1:$I$89,3,0)*VLOOKUP('Données projet'!$B$14,Paramètres!$A$1:$I$89,5,0)</f>
        <v>2.6944225560844473</v>
      </c>
      <c r="DQ8" s="14">
        <f t="shared" si="43"/>
        <v>1.1063984590628106</v>
      </c>
      <c r="DR8" s="22">
        <f t="shared" si="16"/>
        <v>6.61976326804814</v>
      </c>
      <c r="DS8" s="62">
        <f t="shared" si="17"/>
        <v>149.16213851908125</v>
      </c>
      <c r="DT8" s="62">
        <f ca="1">AVERAGE(OFFSET($DS$3,0,0,'Données projet'!$E$14+1,1))-AVERAGE(OFFSET($H$3,0,0,'Données projet'!$E$14+1,1))</f>
        <v>75.244137291704476</v>
      </c>
      <c r="DU8" s="62">
        <f t="shared" si="44"/>
        <v>366.065475656937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2.84</v>
      </c>
      <c r="EJ8" s="13">
        <f>IF('Données projet'!$A$192&gt;35,EJ7+EI8-ER7,IF(A8&lt;'Données projet'!$A$192,$EG$205^A8,IF(A8='Données projet'!$A$192,'Données projet'!$B$192,EJ7+EI8-ER7)))</f>
        <v>2.3455876685050034</v>
      </c>
      <c r="EK8" s="18">
        <f>EJ8*VLOOKUP('Données projet'!$B$15,Paramètres!$A$1:$I$89,3,0)*VLOOKUP('Données projet'!$B$15,Paramètres!$A$1:$I$89,5,0)</f>
        <v>2.2686523929780393</v>
      </c>
      <c r="EL8" s="14">
        <f t="shared" si="45"/>
        <v>0.95040482443070706</v>
      </c>
      <c r="EM8" s="22">
        <f t="shared" si="19"/>
        <v>5.6065246536535662</v>
      </c>
      <c r="EN8" s="62">
        <f t="shared" si="20"/>
        <v>148.14889990468669</v>
      </c>
      <c r="EO8" s="62">
        <f ca="1">AVERAGE(OFFSET($EN$3,0,0,'Données projet'!$E$15+1,1))-AVERAGE(OFFSET($H$3,0,0,'Données projet'!$E$15+1,1))</f>
        <v>452.74627739105745</v>
      </c>
      <c r="EP8" s="62">
        <f t="shared" si="46"/>
        <v>281.80695725575106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2.84</v>
      </c>
      <c r="FE8" s="13">
        <f>IF('Données projet'!$A$218&gt;35,FE7+FD8-FM7,IF(A8&lt;'Données projet'!$A$218,$FB$205^A8,IF(A8='Données projet'!$A$218,'Données projet'!$B$218,FE7+FD8-FM7)))</f>
        <v>2.3455876685050034</v>
      </c>
      <c r="FF8" s="18">
        <f>FE8*VLOOKUP('Données projet'!$B$16,Paramètres!$A$1:$I$89,3,0)*VLOOKUP('Données projet'!$B$16,Paramètres!$A$1:$I$89,5,0)</f>
        <v>2.5247905663787855</v>
      </c>
      <c r="FG8" s="14">
        <f t="shared" si="47"/>
        <v>1.0446201334387359</v>
      </c>
      <c r="FH8" s="22">
        <f t="shared" si="22"/>
        <v>6.2167236355155167</v>
      </c>
      <c r="FI8" s="62">
        <f t="shared" si="23"/>
        <v>148.75909888654863</v>
      </c>
      <c r="FJ8" s="62">
        <f ca="1">AVERAGE(OFFSET($FI$3,0,0,'Données projet'!$E$16+1,1))-AVERAGE(OFFSET($H$3,0,0,'Données projet'!$E$16+1,1))</f>
        <v>492.72391755143508</v>
      </c>
      <c r="FK8" s="62">
        <f t="shared" si="48"/>
        <v>304.88554179994355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37.208526583615097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143.77000000000001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14.2</v>
      </c>
      <c r="N9" s="14">
        <f>IF('Données projet'!$A$36&gt;35,N8+M9-V8,IF(A9&lt;'Données projet'!$A$36,$K$205^A9,IF(A9='Données projet'!$A$36,'Données projet'!$B$36,N8+M9-V8)))</f>
        <v>42.2</v>
      </c>
      <c r="O9" s="14">
        <f>N9*VLOOKUP('Données projet'!$B$9,Paramètres!$A$1:$I$89,3,0)*VLOOKUP('Données projet'!$B$9,Paramètres!$A$1:$I$89,5,0)</f>
        <v>38.182560000000002</v>
      </c>
      <c r="P9" s="14">
        <f t="shared" si="33"/>
        <v>11.515638334288104</v>
      </c>
      <c r="Q9" s="22">
        <f t="shared" si="2"/>
        <v>86.557695432218452</v>
      </c>
      <c r="R9" s="62">
        <f t="shared" si="0"/>
        <v>232.4081083332228</v>
      </c>
      <c r="S9" s="62">
        <f ca="1">AVERAGE(OFFSET($R$3,0,0,'Données projet'!$E$9+1,1))-AVERAGE(OFFSET($H$3,0,0,'Données projet'!$E$9+1,1))</f>
        <v>388.8309693898596</v>
      </c>
      <c r="T9" s="62">
        <f t="shared" si="34"/>
        <v>549.06702041234382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>
        <f>AI9*VLOOKUP('Données projet'!$B$10,Paramètres!$A$1:$I$89,3,0)*VLOOKUP('Données projet'!$B$10,Paramètres!$A$1:$I$89,5,0)</f>
        <v>6.1567868243102275</v>
      </c>
      <c r="AK9" s="14">
        <f t="shared" si="35"/>
        <v>2.2962827445602434</v>
      </c>
      <c r="AL9" s="22">
        <f t="shared" si="4"/>
        <v>14.722429499116073</v>
      </c>
      <c r="AM9" s="62">
        <f t="shared" si="5"/>
        <v>160.57284240012041</v>
      </c>
      <c r="AN9" s="62">
        <f ca="1">AVERAGE(OFFSET($AM$3,0,0,'Données projet'!$E$10+1,1))-AVERAGE(OFFSET($H$3,0,0,'Données projet'!$E$10+1,1))</f>
        <v>197.85998851681552</v>
      </c>
      <c r="AO9" s="62">
        <f t="shared" si="36"/>
        <v>474.54844785896239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8.8333333333333339</v>
      </c>
      <c r="BD9" s="13">
        <f>IF('Données projet'!$A$88&gt;35,BD8+BC9-BL8,IF(A9&lt;'Données projet'!$A$88,$BA$205^A9,IF(A9='Données projet'!$A$88,'Données projet'!$B$88,BD8+BC9-BL8)))</f>
        <v>10.295630140987003</v>
      </c>
      <c r="BE9" s="14">
        <f>BD9*VLOOKUP('Données projet'!$B$11,Paramètres!$A$1:$I$89,3,0)*VLOOKUP('Données projet'!$B$11,Paramètres!$A$1:$I$89,5,0)</f>
        <v>6.1567868243102275</v>
      </c>
      <c r="BF9" s="14">
        <f t="shared" si="37"/>
        <v>2.2962827445602434</v>
      </c>
      <c r="BG9" s="22">
        <f t="shared" si="7"/>
        <v>14.722429499116073</v>
      </c>
      <c r="BH9" s="62">
        <f t="shared" si="8"/>
        <v>160.57284240012041</v>
      </c>
      <c r="BI9" s="62">
        <f ca="1">AVERAGE(OFFSET($BH$3,0,0,'Données projet'!$E$11+1,1))-AVERAGE(OFFSET($H$3,0,0,'Données projet'!$E$11+1,1))</f>
        <v>197.85998851681552</v>
      </c>
      <c r="BJ9" s="62">
        <f t="shared" si="38"/>
        <v>474.54844785896239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14.882352941176471</v>
      </c>
      <c r="BY9" s="13">
        <f>IF('Données projet'!$A$114&gt;35,BY8+BX9-CG8,IF(A9&lt;'Données projet'!$A$114,$BV$205^A9,IF(A9='Données projet'!$A$114,'Données projet'!$B$114,BY8+BX9-CG8)))</f>
        <v>7.0495303389857389</v>
      </c>
      <c r="BZ9" s="14">
        <f>BY9*VLOOKUP('Données projet'!$B$12,Paramètres!$A$1:$I$89,3,0)*VLOOKUP('Données projet'!$B$12,Paramètres!$A$1:$I$89,5,0)</f>
        <v>3.9480189710455735</v>
      </c>
      <c r="CA9" s="14">
        <f t="shared" si="39"/>
        <v>1.5506463216231718</v>
      </c>
      <c r="CB9" s="22">
        <f t="shared" si="10"/>
        <v>9.5768420513980637</v>
      </c>
      <c r="CC9" s="62">
        <f t="shared" si="11"/>
        <v>155.42725495240242</v>
      </c>
      <c r="CD9" s="62">
        <f ca="1">AVERAGE(OFFSET($CC$3,0,0,'Données projet'!$E$12+1,1))-AVERAGE(OFFSET($H$3,0,0,'Données projet'!$E$12+1,1))</f>
        <v>72.97248599808384</v>
      </c>
      <c r="CE9" s="62">
        <f t="shared" si="40"/>
        <v>346.88163654003574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14.882352941176471</v>
      </c>
      <c r="CT9" s="13">
        <f>IF('Données projet'!$A$140&gt;35,CT8+CS9-DB8,IF(A9&lt;'Données projet'!$A$140,$CQ$205^A9,IF(A9='Données projet'!$A$140,'Données projet'!$B$140,CT8+CS9-DB8)))</f>
        <v>7.0495303389857389</v>
      </c>
      <c r="CU9" s="18">
        <f>CT9*VLOOKUP('Données projet'!$B$13,Paramètres!$A$1:$I$89,3,0)*VLOOKUP('Données projet'!$B$13,Paramètres!$A$1:$I$89,5,0)</f>
        <v>3.5851091491945879</v>
      </c>
      <c r="CV9" s="14">
        <f t="shared" si="41"/>
        <v>1.4240012480346085</v>
      </c>
      <c r="CW9" s="22">
        <f t="shared" si="13"/>
        <v>8.7242006085075179</v>
      </c>
      <c r="CX9" s="62">
        <f t="shared" si="14"/>
        <v>154.57461350951186</v>
      </c>
      <c r="CY9" s="62">
        <f ca="1">AVERAGE(OFFSET($CX$3,0,0,'Données projet'!$E$13+1,1))-AVERAGE(OFFSET($H$3,0,0,'Données projet'!$E$13+1,1))</f>
        <v>67.303283896086128</v>
      </c>
      <c r="CZ9" s="62">
        <f t="shared" si="42"/>
        <v>318.97925671653547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17.588235294117649</v>
      </c>
      <c r="DO9" s="13">
        <f>IF('Données projet'!$A$166&gt;35,DO8+DN9-DW8,IF(A9&lt;'Données projet'!$A$166,$DL$205^A9,IF(A9='Données projet'!$A$166,'Données projet'!$B$166,DO8+DN9-DW8)))</f>
        <v>7.4776701126279184</v>
      </c>
      <c r="DP9" s="18">
        <f>DO9*VLOOKUP('Données projet'!$B$14,Paramètres!$A$1:$I$89,3,0)*VLOOKUP('Données projet'!$B$14,Paramètres!$A$1:$I$89,5,0)</f>
        <v>3.7678484163509558</v>
      </c>
      <c r="DQ9" s="14">
        <f t="shared" si="43"/>
        <v>1.4879495724452991</v>
      </c>
      <c r="DR9" s="22">
        <f t="shared" si="16"/>
        <v>9.1538481638201432</v>
      </c>
      <c r="DS9" s="62">
        <f t="shared" si="17"/>
        <v>155.0042610648245</v>
      </c>
      <c r="DT9" s="62">
        <f ca="1">AVERAGE(OFFSET($DS$3,0,0,'Données projet'!$E$14+1,1))-AVERAGE(OFFSET($H$3,0,0,'Données projet'!$E$14+1,1))</f>
        <v>75.244137291704476</v>
      </c>
      <c r="DU9" s="62">
        <f t="shared" si="44"/>
        <v>366.065475656937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2.84</v>
      </c>
      <c r="EJ9" s="13">
        <f>IF('Données projet'!$A$192&gt;35,EJ8+EI9-ER8,IF(A9&lt;'Données projet'!$A$192,$EG$205^A9,IF(A9='Données projet'!$A$192,'Données projet'!$B$192,EJ8+EI9-ER8)))</f>
        <v>2.7816469225897635</v>
      </c>
      <c r="EK9" s="18">
        <f>EJ9*VLOOKUP('Données projet'!$B$15,Paramètres!$A$1:$I$89,3,0)*VLOOKUP('Données projet'!$B$15,Paramètres!$A$1:$I$89,5,0)</f>
        <v>2.690408903528819</v>
      </c>
      <c r="EL9" s="14">
        <f t="shared" si="45"/>
        <v>1.1049420646323849</v>
      </c>
      <c r="EM9" s="22">
        <f t="shared" si="19"/>
        <v>6.6102362695474293</v>
      </c>
      <c r="EN9" s="62">
        <f t="shared" si="20"/>
        <v>152.46064917055179</v>
      </c>
      <c r="EO9" s="62">
        <f ca="1">AVERAGE(OFFSET($EN$3,0,0,'Données projet'!$E$15+1,1))-AVERAGE(OFFSET($H$3,0,0,'Données projet'!$E$15+1,1))</f>
        <v>452.74627739105745</v>
      </c>
      <c r="EP9" s="62">
        <f t="shared" si="46"/>
        <v>281.80695725575106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2.84</v>
      </c>
      <c r="FE9" s="13">
        <f>IF('Données projet'!$A$218&gt;35,FE8+FD9-FM8,IF(A9&lt;'Données projet'!$A$218,$FB$205^A9,IF(A9='Données projet'!$A$218,'Données projet'!$B$218,FE8+FD9-FM8)))</f>
        <v>2.7816469225897635</v>
      </c>
      <c r="FF9" s="18">
        <f>FE9*VLOOKUP('Données projet'!$B$16,Paramètres!$A$1:$I$89,3,0)*VLOOKUP('Données projet'!$B$16,Paramètres!$A$1:$I$89,5,0)</f>
        <v>2.9941647474756214</v>
      </c>
      <c r="FG9" s="14">
        <f t="shared" si="47"/>
        <v>1.2144769232308428</v>
      </c>
      <c r="FH9" s="22">
        <f t="shared" si="22"/>
        <v>7.3300509098137594</v>
      </c>
      <c r="FI9" s="62">
        <f t="shared" si="23"/>
        <v>153.18046381081811</v>
      </c>
      <c r="FJ9" s="62">
        <f ca="1">AVERAGE(OFFSET($FI$3,0,0,'Données projet'!$E$16+1,1))-AVERAGE(OFFSET($H$3,0,0,'Données projet'!$E$16+1,1))</f>
        <v>492.72391755143508</v>
      </c>
      <c r="FK9" s="62">
        <f t="shared" si="48"/>
        <v>304.88554179994355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37.77738533663755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143.77000000000001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14.2</v>
      </c>
      <c r="N10" s="14">
        <f>IF('Données projet'!$A$36&gt;35,N9+M10-V9,IF(A10&lt;'Données projet'!$A$36,$K$205^A10,IF(A10='Données projet'!$A$36,'Données projet'!$B$36,N9+M10-V9)))</f>
        <v>56.400000000000006</v>
      </c>
      <c r="O10" s="14">
        <f>N10*VLOOKUP('Données projet'!$B$9,Paramètres!$A$1:$I$89,3,0)*VLOOKUP('Données projet'!$B$9,Paramètres!$A$1:$I$89,5,0)</f>
        <v>51.030720000000009</v>
      </c>
      <c r="P10" s="14">
        <f t="shared" si="33"/>
        <v>14.879630660597618</v>
      </c>
      <c r="Q10" s="22">
        <f t="shared" si="2"/>
        <v>114.79386073387418</v>
      </c>
      <c r="R10" s="62">
        <f t="shared" si="0"/>
        <v>263.91612705036306</v>
      </c>
      <c r="S10" s="62">
        <f ca="1">AVERAGE(OFFSET($R$3,0,0,'Données projet'!$E$9+1,1))-AVERAGE(OFFSET($H$3,0,0,'Données projet'!$E$9+1,1))</f>
        <v>388.8309693898596</v>
      </c>
      <c r="T10" s="62">
        <f t="shared" si="34"/>
        <v>549.06702041234382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>
        <f>AI10*VLOOKUP('Données projet'!$B$10,Paramètres!$A$1:$I$89,3,0)*VLOOKUP('Données projet'!$B$10,Paramètres!$A$1:$I$89,5,0)</f>
        <v>9.080914891688332</v>
      </c>
      <c r="AK10" s="14">
        <f t="shared" si="35"/>
        <v>3.2370945470721373</v>
      </c>
      <c r="AL10" s="22">
        <f t="shared" si="4"/>
        <v>21.45386643917448</v>
      </c>
      <c r="AM10" s="62">
        <f t="shared" si="5"/>
        <v>170.57613275566334</v>
      </c>
      <c r="AN10" s="62">
        <f ca="1">AVERAGE(OFFSET($AM$3,0,0,'Données projet'!$E$10+1,1))-AVERAGE(OFFSET($H$3,0,0,'Données projet'!$E$10+1,1))</f>
        <v>197.85998851681552</v>
      </c>
      <c r="AO10" s="62">
        <f t="shared" si="36"/>
        <v>474.54844785896239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8.8333333333333339</v>
      </c>
      <c r="BD10" s="13">
        <f>IF('Données projet'!$A$88&gt;35,BD9+BC10-BL9,IF(A10&lt;'Données projet'!$A$88,$BA$205^A10,IF(A10='Données projet'!$A$88,'Données projet'!$B$88,BD9+BC10-BL9)))</f>
        <v>15.18547640750557</v>
      </c>
      <c r="BE10" s="14">
        <f>BD10*VLOOKUP('Données projet'!$B$11,Paramètres!$A$1:$I$89,3,0)*VLOOKUP('Données projet'!$B$11,Paramètres!$A$1:$I$89,5,0)</f>
        <v>9.080914891688332</v>
      </c>
      <c r="BF10" s="14">
        <f t="shared" si="37"/>
        <v>3.2370945470721373</v>
      </c>
      <c r="BG10" s="22">
        <f t="shared" si="7"/>
        <v>21.45386643917448</v>
      </c>
      <c r="BH10" s="62">
        <f t="shared" si="8"/>
        <v>170.57613275566334</v>
      </c>
      <c r="BI10" s="62">
        <f ca="1">AVERAGE(OFFSET($BH$3,0,0,'Données projet'!$E$11+1,1))-AVERAGE(OFFSET($H$3,0,0,'Données projet'!$E$11+1,1))</f>
        <v>197.85998851681552</v>
      </c>
      <c r="BJ10" s="62">
        <f t="shared" si="38"/>
        <v>474.54844785896239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14.882352941176471</v>
      </c>
      <c r="BY10" s="13">
        <f>IF('Données projet'!$A$114&gt;35,BY9+BX10-CG9,IF(A10&lt;'Données projet'!$A$114,$BV$205^A10,IF(A10='Données projet'!$A$114,'Données projet'!$B$114,BY9+BX10-CG9)))</f>
        <v>9.7615821747776756</v>
      </c>
      <c r="BZ10" s="14">
        <f>BY10*VLOOKUP('Données projet'!$B$12,Paramètres!$A$1:$I$89,3,0)*VLOOKUP('Données projet'!$B$12,Paramètres!$A$1:$I$89,5,0)</f>
        <v>5.4668764811624895</v>
      </c>
      <c r="CA10" s="14">
        <f t="shared" si="39"/>
        <v>2.0673712686583783</v>
      </c>
      <c r="CB10" s="22">
        <f t="shared" si="10"/>
        <v>13.122148164271342</v>
      </c>
      <c r="CC10" s="62">
        <f t="shared" si="11"/>
        <v>162.24441448076021</v>
      </c>
      <c r="CD10" s="62">
        <f ca="1">AVERAGE(OFFSET($CC$3,0,0,'Données projet'!$E$12+1,1))-AVERAGE(OFFSET($H$3,0,0,'Données projet'!$E$12+1,1))</f>
        <v>72.97248599808384</v>
      </c>
      <c r="CE10" s="62">
        <f t="shared" si="40"/>
        <v>346.88163654003574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14.882352941176471</v>
      </c>
      <c r="CT10" s="13">
        <f>IF('Données projet'!$A$140&gt;35,CT9+CS10-DB9,IF(A10&lt;'Données projet'!$A$140,$CQ$205^A10,IF(A10='Données projet'!$A$140,'Données projet'!$B$140,CT9+CS10-DB9)))</f>
        <v>9.7615821747776756</v>
      </c>
      <c r="CU10" s="18">
        <f>CT10*VLOOKUP('Données projet'!$B$13,Paramètres!$A$1:$I$89,3,0)*VLOOKUP('Données projet'!$B$13,Paramètres!$A$1:$I$89,5,0)</f>
        <v>4.9643502308049348</v>
      </c>
      <c r="CV10" s="14">
        <f t="shared" si="41"/>
        <v>1.8985240061955528</v>
      </c>
      <c r="CW10" s="22">
        <f t="shared" si="13"/>
        <v>11.952839296109182</v>
      </c>
      <c r="CX10" s="62">
        <f t="shared" si="14"/>
        <v>161.07510561259804</v>
      </c>
      <c r="CY10" s="62">
        <f ca="1">AVERAGE(OFFSET($CX$3,0,0,'Données projet'!$E$13+1,1))-AVERAGE(OFFSET($H$3,0,0,'Données projet'!$E$13+1,1))</f>
        <v>67.303283896086128</v>
      </c>
      <c r="CZ10" s="62">
        <f t="shared" si="42"/>
        <v>318.97925671653547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17.588235294117649</v>
      </c>
      <c r="DO10" s="13">
        <f>IF('Données projet'!$A$166&gt;35,DO9+DN10-DW9,IF(A10&lt;'Données projet'!$A$166,$DL$205^A10,IF(A10='Données projet'!$A$166,'Données projet'!$B$166,DO9+DN10-DW9)))</f>
        <v>10.456684838922845</v>
      </c>
      <c r="DP10" s="18">
        <f>DO10*VLOOKUP('Données projet'!$B$14,Paramètres!$A$1:$I$89,3,0)*VLOOKUP('Données projet'!$B$14,Paramètres!$A$1:$I$89,5,0)</f>
        <v>5.2689143566364436</v>
      </c>
      <c r="DQ10" s="14">
        <f t="shared" si="43"/>
        <v>2.0010818995676667</v>
      </c>
      <c r="DR10" s="22">
        <f t="shared" si="16"/>
        <v>12.661910146222157</v>
      </c>
      <c r="DS10" s="62">
        <f t="shared" si="17"/>
        <v>161.78417646271103</v>
      </c>
      <c r="DT10" s="62">
        <f ca="1">AVERAGE(OFFSET($DS$3,0,0,'Données projet'!$E$14+1,1))-AVERAGE(OFFSET($H$3,0,0,'Données projet'!$E$14+1,1))</f>
        <v>75.244137291704476</v>
      </c>
      <c r="DU10" s="62">
        <f t="shared" si="44"/>
        <v>366.065475656937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2.84</v>
      </c>
      <c r="EJ10" s="13">
        <f>IF('Données projet'!$A$192&gt;35,EJ9+EI10-ER9,IF(A10&lt;'Données projet'!$A$192,$EG$205^A10,IF(A10='Données projet'!$A$192,'Données projet'!$B$192,EJ9+EI10-ER9)))</f>
        <v>3.2987722888587467</v>
      </c>
      <c r="EK10" s="18">
        <f>EJ10*VLOOKUP('Données projet'!$B$15,Paramètres!$A$1:$I$89,3,0)*VLOOKUP('Données projet'!$B$15,Paramètres!$A$1:$I$89,5,0)</f>
        <v>3.1905725577841801</v>
      </c>
      <c r="EL10" s="14">
        <f t="shared" si="45"/>
        <v>1.2846072902937917</v>
      </c>
      <c r="EM10" s="22">
        <f t="shared" si="19"/>
        <v>7.7942715687358017</v>
      </c>
      <c r="EN10" s="62">
        <f t="shared" si="20"/>
        <v>156.91653788522467</v>
      </c>
      <c r="EO10" s="62">
        <f ca="1">AVERAGE(OFFSET($EN$3,0,0,'Données projet'!$E$15+1,1))-AVERAGE(OFFSET($H$3,0,0,'Données projet'!$E$15+1,1))</f>
        <v>452.74627739105745</v>
      </c>
      <c r="EP10" s="62">
        <f t="shared" si="46"/>
        <v>281.80695725575106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2.84</v>
      </c>
      <c r="FE10" s="13">
        <f>IF('Données projet'!$A$218&gt;35,FE9+FD10-FM9,IF(A10&lt;'Données projet'!$A$218,$FB$205^A10,IF(A10='Données projet'!$A$218,'Données projet'!$B$218,FE9+FD10-FM9)))</f>
        <v>3.2987722888587467</v>
      </c>
      <c r="FF10" s="18">
        <f>FE10*VLOOKUP('Données projet'!$B$16,Paramètres!$A$1:$I$89,3,0)*VLOOKUP('Données projet'!$B$16,Paramètres!$A$1:$I$89,5,0)</f>
        <v>3.5507984917275546</v>
      </c>
      <c r="FG10" s="14">
        <f t="shared" si="47"/>
        <v>1.4119526800665059</v>
      </c>
      <c r="FH10" s="22">
        <f t="shared" si="22"/>
        <v>8.6434582908746549</v>
      </c>
      <c r="FI10" s="62">
        <f t="shared" si="23"/>
        <v>157.76572460736352</v>
      </c>
      <c r="FJ10" s="62">
        <f ca="1">AVERAGE(OFFSET($FI$3,0,0,'Données projet'!$E$16+1,1))-AVERAGE(OFFSET($H$3,0,0,'Données projet'!$E$16+1,1))</f>
        <v>492.72391755143508</v>
      </c>
      <c r="FK10" s="62">
        <f t="shared" si="48"/>
        <v>304.88554179994355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38.336375662072719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143.77000000000001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14.2</v>
      </c>
      <c r="N11" s="14">
        <f>IF('Données projet'!$A$36&gt;35,N10+M11-V10,IF(A11&lt;'Données projet'!$A$36,$K$205^A11,IF(A11='Données projet'!$A$36,'Données projet'!$B$36,N10+M11-V10)))</f>
        <v>70.600000000000009</v>
      </c>
      <c r="O11" s="14">
        <f>N11*VLOOKUP('Données projet'!$B$9,Paramètres!$A$1:$I$89,3,0)*VLOOKUP('Données projet'!$B$9,Paramètres!$A$1:$I$89,5,0)</f>
        <v>63.878880000000002</v>
      </c>
      <c r="P11" s="14">
        <f t="shared" si="33"/>
        <v>18.145367520913332</v>
      </c>
      <c r="Q11" s="22">
        <f t="shared" si="2"/>
        <v>142.85889776559074</v>
      </c>
      <c r="R11" s="62">
        <f t="shared" si="0"/>
        <v>295.21746097864991</v>
      </c>
      <c r="S11" s="62">
        <f ca="1">AVERAGE(OFFSET($R$3,0,0,'Données projet'!$E$9+1,1))-AVERAGE(OFFSET($H$3,0,0,'Données projet'!$E$9+1,1))</f>
        <v>388.8309693898596</v>
      </c>
      <c r="T11" s="62">
        <f t="shared" si="34"/>
        <v>549.06702041234382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>
        <f>AI11*VLOOKUP('Données projet'!$B$10,Paramètres!$A$1:$I$89,3,0)*VLOOKUP('Données projet'!$B$10,Paramètres!$A$1:$I$89,5,0)</f>
        <v>13.39383961524859</v>
      </c>
      <c r="AK11" s="14">
        <f t="shared" si="35"/>
        <v>4.5633670903584358</v>
      </c>
      <c r="AL11" s="22">
        <f t="shared" si="4"/>
        <v>31.275468345598899</v>
      </c>
      <c r="AM11" s="62">
        <f t="shared" si="5"/>
        <v>183.63403155865805</v>
      </c>
      <c r="AN11" s="62">
        <f ca="1">AVERAGE(OFFSET($AM$3,0,0,'Données projet'!$E$10+1,1))-AVERAGE(OFFSET($H$3,0,0,'Données projet'!$E$10+1,1))</f>
        <v>197.85998851681552</v>
      </c>
      <c r="AO11" s="62">
        <f t="shared" si="36"/>
        <v>474.54844785896239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8.8333333333333339</v>
      </c>
      <c r="BD11" s="13">
        <f>IF('Données projet'!$A$88&gt;35,BD10+BC11-BL10,IF(A11&lt;'Données projet'!$A$88,$BA$205^A11,IF(A11='Données projet'!$A$88,'Données projet'!$B$88,BD10+BC11-BL10)))</f>
        <v>22.397725109111352</v>
      </c>
      <c r="BE11" s="14">
        <f>BD11*VLOOKUP('Données projet'!$B$11,Paramètres!$A$1:$I$89,3,0)*VLOOKUP('Données projet'!$B$11,Paramètres!$A$1:$I$89,5,0)</f>
        <v>13.39383961524859</v>
      </c>
      <c r="BF11" s="14">
        <f t="shared" si="37"/>
        <v>4.5633670903584358</v>
      </c>
      <c r="BG11" s="22">
        <f t="shared" si="7"/>
        <v>31.275468345598899</v>
      </c>
      <c r="BH11" s="62">
        <f t="shared" si="8"/>
        <v>183.63403155865805</v>
      </c>
      <c r="BI11" s="62">
        <f ca="1">AVERAGE(OFFSET($BH$3,0,0,'Données projet'!$E$11+1,1))-AVERAGE(OFFSET($H$3,0,0,'Données projet'!$E$11+1,1))</f>
        <v>197.85998851681552</v>
      </c>
      <c r="BJ11" s="62">
        <f t="shared" si="38"/>
        <v>474.54844785896239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14.882352941176471</v>
      </c>
      <c r="BY11" s="13">
        <f>IF('Données projet'!$A$114&gt;35,BY10+BX11-CG10,IF(A11&lt;'Données projet'!$A$114,$BV$205^A11,IF(A11='Données projet'!$A$114,'Données projet'!$B$114,BY10+BX11-CG10)))</f>
        <v>13.516997866931234</v>
      </c>
      <c r="BZ11" s="14">
        <f>BY11*VLOOKUP('Données projet'!$B$12,Paramètres!$A$1:$I$89,3,0)*VLOOKUP('Données projet'!$B$12,Paramètres!$A$1:$I$89,5,0)</f>
        <v>7.5700594853961691</v>
      </c>
      <c r="CA11" s="14">
        <f t="shared" si="39"/>
        <v>2.7562854939095511</v>
      </c>
      <c r="CB11" s="22">
        <f t="shared" si="10"/>
        <v>17.985050838957459</v>
      </c>
      <c r="CC11" s="62">
        <f t="shared" si="11"/>
        <v>170.34361405201659</v>
      </c>
      <c r="CD11" s="62">
        <f ca="1">AVERAGE(OFFSET($CC$3,0,0,'Données projet'!$E$12+1,1))-AVERAGE(OFFSET($H$3,0,0,'Données projet'!$E$12+1,1))</f>
        <v>72.97248599808384</v>
      </c>
      <c r="CE11" s="62">
        <f t="shared" si="40"/>
        <v>346.88163654003574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14.882352941176471</v>
      </c>
      <c r="CT11" s="13">
        <f>IF('Données projet'!$A$140&gt;35,CT10+CS11-DB10,IF(A11&lt;'Données projet'!$A$140,$CQ$205^A11,IF(A11='Données projet'!$A$140,'Données projet'!$B$140,CT10+CS11-DB10)))</f>
        <v>13.516997866931234</v>
      </c>
      <c r="CU11" s="18">
        <f>CT11*VLOOKUP('Données projet'!$B$13,Paramètres!$A$1:$I$89,3,0)*VLOOKUP('Données projet'!$B$13,Paramètres!$A$1:$I$89,5,0)</f>
        <v>6.8742044352065497</v>
      </c>
      <c r="CV11" s="14">
        <f t="shared" si="41"/>
        <v>2.5311729235318849</v>
      </c>
      <c r="CW11" s="22">
        <f t="shared" si="13"/>
        <v>16.381032233136107</v>
      </c>
      <c r="CX11" s="62">
        <f t="shared" si="14"/>
        <v>168.73959544619524</v>
      </c>
      <c r="CY11" s="62">
        <f ca="1">AVERAGE(OFFSET($CX$3,0,0,'Données projet'!$E$13+1,1))-AVERAGE(OFFSET($H$3,0,0,'Données projet'!$E$13+1,1))</f>
        <v>67.303283896086128</v>
      </c>
      <c r="CZ11" s="62">
        <f t="shared" si="42"/>
        <v>318.97925671653547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17.588235294117649</v>
      </c>
      <c r="DO11" s="13">
        <f>IF('Données projet'!$A$166&gt;35,DO10+DN11-DW10,IF(A11&lt;'Données projet'!$A$166,$DL$205^A11,IF(A11='Données projet'!$A$166,'Données projet'!$B$166,DO10+DN11-DW10)))</f>
        <v>14.622503557078174</v>
      </c>
      <c r="DP11" s="18">
        <f>DO11*VLOOKUP('Données projet'!$B$14,Paramètres!$A$1:$I$89,3,0)*VLOOKUP('Données projet'!$B$14,Paramètres!$A$1:$I$89,5,0)</f>
        <v>7.3679870923405506</v>
      </c>
      <c r="DQ11" s="14">
        <f t="shared" si="43"/>
        <v>2.6911723642600469</v>
      </c>
      <c r="DR11" s="22">
        <f t="shared" si="16"/>
        <v>17.519702720246038</v>
      </c>
      <c r="DS11" s="62">
        <f t="shared" si="17"/>
        <v>169.87826593330519</v>
      </c>
      <c r="DT11" s="62">
        <f ca="1">AVERAGE(OFFSET($DS$3,0,0,'Données projet'!$E$14+1,1))-AVERAGE(OFFSET($H$3,0,0,'Données projet'!$E$14+1,1))</f>
        <v>75.244137291704476</v>
      </c>
      <c r="DU11" s="62">
        <f t="shared" si="44"/>
        <v>366.065475656937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2.84</v>
      </c>
      <c r="EJ11" s="13">
        <f>IF('Données projet'!$A$192&gt;35,EJ10+EI11-ER10,IF(A11&lt;'Données projet'!$A$192,$EG$205^A11,IF(A11='Données projet'!$A$192,'Données projet'!$B$192,EJ10+EI11-ER10)))</f>
        <v>3.9120344589280696</v>
      </c>
      <c r="EK11" s="18">
        <f>EJ11*VLOOKUP('Données projet'!$B$15,Paramètres!$A$1:$I$89,3,0)*VLOOKUP('Données projet'!$B$15,Paramètres!$A$1:$I$89,5,0)</f>
        <v>3.7837197286752291</v>
      </c>
      <c r="EL11" s="14">
        <f t="shared" si="45"/>
        <v>1.4934863492820201</v>
      </c>
      <c r="EM11" s="22">
        <f t="shared" si="19"/>
        <v>9.191133919108875</v>
      </c>
      <c r="EN11" s="62">
        <f t="shared" si="20"/>
        <v>161.54969713216801</v>
      </c>
      <c r="EO11" s="62">
        <f ca="1">AVERAGE(OFFSET($EN$3,0,0,'Données projet'!$E$15+1,1))-AVERAGE(OFFSET($H$3,0,0,'Données projet'!$E$15+1,1))</f>
        <v>452.74627739105745</v>
      </c>
      <c r="EP11" s="62">
        <f t="shared" si="46"/>
        <v>281.80695725575106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2.84</v>
      </c>
      <c r="FE11" s="13">
        <f>IF('Données projet'!$A$218&gt;35,FE10+FD11-FM10,IF(A11&lt;'Données projet'!$A$218,$FB$205^A11,IF(A11='Données projet'!$A$218,'Données projet'!$B$218,FE10+FD11-FM10)))</f>
        <v>3.9120344589280696</v>
      </c>
      <c r="FF11" s="18">
        <f>FE11*VLOOKUP('Données projet'!$B$16,Paramètres!$A$1:$I$89,3,0)*VLOOKUP('Données projet'!$B$16,Paramètres!$A$1:$I$89,5,0)</f>
        <v>4.2109138915901738</v>
      </c>
      <c r="FG11" s="14">
        <f t="shared" si="47"/>
        <v>1.6415382891289827</v>
      </c>
      <c r="FH11" s="22">
        <f t="shared" si="22"/>
        <v>10.193020881419196</v>
      </c>
      <c r="FI11" s="62">
        <f t="shared" si="23"/>
        <v>162.55158409447833</v>
      </c>
      <c r="FJ11" s="62">
        <f ca="1">AVERAGE(OFFSET($FI$3,0,0,'Données projet'!$E$16+1,1))-AVERAGE(OFFSET($H$3,0,0,'Données projet'!$E$16+1,1))</f>
        <v>492.72391755143508</v>
      </c>
      <c r="FK11" s="62">
        <f t="shared" si="48"/>
        <v>304.88554179994355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38.885668755076736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143.77000000000001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14.2</v>
      </c>
      <c r="N12" s="14">
        <f>IF('Données projet'!$A$36&gt;35,N11+M12-V11,IF(A12&lt;'Données projet'!$A$36,$K$205^A12,IF(A12='Données projet'!$A$36,'Données projet'!$B$36,N11+M12-V11)))</f>
        <v>84.800000000000011</v>
      </c>
      <c r="O12" s="14">
        <f>N12*VLOOKUP('Données projet'!$B$9,Paramètres!$A$1:$I$89,3,0)*VLOOKUP('Données projet'!$B$9,Paramètres!$A$1:$I$89,5,0)</f>
        <v>76.727040000000017</v>
      </c>
      <c r="P12" s="14">
        <f t="shared" si="33"/>
        <v>21.334993267156719</v>
      </c>
      <c r="Q12" s="22">
        <f t="shared" si="2"/>
        <v>170.79137460696464</v>
      </c>
      <c r="R12" s="62">
        <f t="shared" si="0"/>
        <v>326.3512950237905</v>
      </c>
      <c r="S12" s="62">
        <f ca="1">AVERAGE(OFFSET($R$3,0,0,'Données projet'!$E$9+1,1))-AVERAGE(OFFSET($H$3,0,0,'Données projet'!$E$9+1,1))</f>
        <v>388.8309693898596</v>
      </c>
      <c r="T12" s="62">
        <f t="shared" si="34"/>
        <v>549.06702041234382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>
        <f>AI12*VLOOKUP('Données projet'!$B$10,Paramètres!$A$1:$I$89,3,0)*VLOOKUP('Données projet'!$B$10,Paramètres!$A$1:$I$89,5,0)</f>
        <v>19.755161432379555</v>
      </c>
      <c r="AK12" s="14">
        <f t="shared" si="35"/>
        <v>6.433027796547198</v>
      </c>
      <c r="AL12" s="22">
        <f t="shared" si="4"/>
        <v>45.61109624038076</v>
      </c>
      <c r="AM12" s="62">
        <f t="shared" si="5"/>
        <v>201.17101665720665</v>
      </c>
      <c r="AN12" s="62">
        <f ca="1">AVERAGE(OFFSET($AM$3,0,0,'Données projet'!$E$10+1,1))-AVERAGE(OFFSET($H$3,0,0,'Données projet'!$E$10+1,1))</f>
        <v>197.85998851681552</v>
      </c>
      <c r="AO12" s="62">
        <f t="shared" si="36"/>
        <v>474.54844785896239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8.8333333333333339</v>
      </c>
      <c r="BD12" s="13">
        <f>IF('Données projet'!$A$88&gt;35,BD11+BC12-BL11,IF(A12&lt;'Données projet'!$A$88,$BA$205^A12,IF(A12='Données projet'!$A$88,'Données projet'!$B$88,BD11+BC12-BL11)))</f>
        <v>33.035387010668153</v>
      </c>
      <c r="BE12" s="14">
        <f>BD12*VLOOKUP('Données projet'!$B$11,Paramètres!$A$1:$I$89,3,0)*VLOOKUP('Données projet'!$B$11,Paramètres!$A$1:$I$89,5,0)</f>
        <v>19.755161432379555</v>
      </c>
      <c r="BF12" s="14">
        <f t="shared" si="37"/>
        <v>6.433027796547198</v>
      </c>
      <c r="BG12" s="22">
        <f t="shared" si="7"/>
        <v>45.61109624038076</v>
      </c>
      <c r="BH12" s="62">
        <f t="shared" si="8"/>
        <v>201.17101665720665</v>
      </c>
      <c r="BI12" s="62">
        <f ca="1">AVERAGE(OFFSET($BH$3,0,0,'Données projet'!$E$11+1,1))-AVERAGE(OFFSET($H$3,0,0,'Données projet'!$E$11+1,1))</f>
        <v>197.85998851681552</v>
      </c>
      <c r="BJ12" s="62">
        <f t="shared" si="38"/>
        <v>474.54844785896239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14.882352941176471</v>
      </c>
      <c r="BY12" s="13">
        <f>IF('Données projet'!$A$114&gt;35,BY11+BX12-CG11,IF(A12&lt;'Données projet'!$A$114,$BV$205^A12,IF(A12='Données projet'!$A$114,'Données projet'!$B$114,BY11+BX12-CG11)))</f>
        <v>18.717173923579129</v>
      </c>
      <c r="BZ12" s="14">
        <f>BY12*VLOOKUP('Données projet'!$B$12,Paramètres!$A$1:$I$89,3,0)*VLOOKUP('Données projet'!$B$12,Paramètres!$A$1:$I$89,5,0)</f>
        <v>10.482366084161255</v>
      </c>
      <c r="CA12" s="14">
        <f t="shared" si="39"/>
        <v>3.6747679718246093</v>
      </c>
      <c r="CB12" s="22">
        <f t="shared" si="10"/>
        <v>24.657008480842048</v>
      </c>
      <c r="CC12" s="62">
        <f t="shared" si="11"/>
        <v>180.21692889766794</v>
      </c>
      <c r="CD12" s="62">
        <f ca="1">AVERAGE(OFFSET($CC$3,0,0,'Données projet'!$E$12+1,1))-AVERAGE(OFFSET($H$3,0,0,'Données projet'!$E$12+1,1))</f>
        <v>72.97248599808384</v>
      </c>
      <c r="CE12" s="62">
        <f t="shared" si="40"/>
        <v>346.88163654003574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14.882352941176471</v>
      </c>
      <c r="CT12" s="13">
        <f>IF('Données projet'!$A$140&gt;35,CT11+CS12-DB11,IF(A12&lt;'Données projet'!$A$140,$CQ$205^A12,IF(A12='Données projet'!$A$140,'Données projet'!$B$140,CT11+CS12-DB11)))</f>
        <v>18.717173923579129</v>
      </c>
      <c r="CU12" s="18">
        <f>CT12*VLOOKUP('Données projet'!$B$13,Paramètres!$A$1:$I$89,3,0)*VLOOKUP('Données projet'!$B$13,Paramètres!$A$1:$I$89,5,0)</f>
        <v>9.5188059705754018</v>
      </c>
      <c r="CV12" s="14">
        <f t="shared" si="41"/>
        <v>3.3746406934614375</v>
      </c>
      <c r="CW12" s="22">
        <f t="shared" si="13"/>
        <v>22.456086273197496</v>
      </c>
      <c r="CX12" s="62">
        <f t="shared" si="14"/>
        <v>178.01600669002337</v>
      </c>
      <c r="CY12" s="62">
        <f ca="1">AVERAGE(OFFSET($CX$3,0,0,'Données projet'!$E$13+1,1))-AVERAGE(OFFSET($H$3,0,0,'Données projet'!$E$13+1,1))</f>
        <v>67.303283896086128</v>
      </c>
      <c r="CZ12" s="62">
        <f t="shared" si="42"/>
        <v>318.97925671653547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17.588235294117649</v>
      </c>
      <c r="DO12" s="13">
        <f>IF('Données projet'!$A$166&gt;35,DO11+DN12-DW11,IF(A12&lt;'Données projet'!$A$166,$DL$205^A12,IF(A12='Données projet'!$A$166,'Données projet'!$B$166,DO11+DN12-DW11)))</f>
        <v>20.447934844595494</v>
      </c>
      <c r="DP12" s="18">
        <f>DO12*VLOOKUP('Données projet'!$B$14,Paramètres!$A$1:$I$89,3,0)*VLOOKUP('Données projet'!$B$14,Paramètres!$A$1:$I$89,5,0)</f>
        <v>10.303305409494778</v>
      </c>
      <c r="DQ12" s="14">
        <f t="shared" si="43"/>
        <v>3.6192465164577885</v>
      </c>
      <c r="DR12" s="22">
        <f t="shared" si="16"/>
        <v>24.248444604367389</v>
      </c>
      <c r="DS12" s="62">
        <f t="shared" si="17"/>
        <v>179.80836502119328</v>
      </c>
      <c r="DT12" s="62">
        <f ca="1">AVERAGE(OFFSET($DS$3,0,0,'Données projet'!$E$14+1,1))-AVERAGE(OFFSET($H$3,0,0,'Données projet'!$E$14+1,1))</f>
        <v>75.244137291704476</v>
      </c>
      <c r="DU12" s="62">
        <f t="shared" si="44"/>
        <v>366.065475656937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2.84</v>
      </c>
      <c r="EJ12" s="13">
        <f>IF('Données projet'!$A$192&gt;35,EJ11+EI12-ER11,IF(A12&lt;'Données projet'!$A$192,$EG$205^A12,IF(A12='Données projet'!$A$192,'Données projet'!$B$192,EJ11+EI12-ER11)))</f>
        <v>4.6393058591914071</v>
      </c>
      <c r="EK12" s="18">
        <f>EJ12*VLOOKUP('Données projet'!$B$15,Paramètres!$A$1:$I$89,3,0)*VLOOKUP('Données projet'!$B$15,Paramètres!$A$1:$I$89,5,0)</f>
        <v>4.4871366270099289</v>
      </c>
      <c r="EL12" s="14">
        <f t="shared" si="45"/>
        <v>1.7363294544137422</v>
      </c>
      <c r="EM12" s="22">
        <f t="shared" si="19"/>
        <v>10.839203425146229</v>
      </c>
      <c r="EN12" s="62">
        <f t="shared" si="20"/>
        <v>166.39912384197211</v>
      </c>
      <c r="EO12" s="62">
        <f ca="1">AVERAGE(OFFSET($EN$3,0,0,'Données projet'!$E$15+1,1))-AVERAGE(OFFSET($H$3,0,0,'Données projet'!$E$15+1,1))</f>
        <v>452.74627739105745</v>
      </c>
      <c r="EP12" s="62">
        <f t="shared" si="46"/>
        <v>281.80695725575106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2.84</v>
      </c>
      <c r="FE12" s="13">
        <f>IF('Données projet'!$A$218&gt;35,FE11+FD12-FM11,IF(A12&lt;'Données projet'!$A$218,$FB$205^A12,IF(A12='Données projet'!$A$218,'Données projet'!$B$218,FE11+FD12-FM11)))</f>
        <v>4.6393058591914071</v>
      </c>
      <c r="FF12" s="18">
        <f>FE12*VLOOKUP('Données projet'!$B$16,Paramètres!$A$1:$I$89,3,0)*VLOOKUP('Données projet'!$B$16,Paramètres!$A$1:$I$89,5,0)</f>
        <v>4.993748826833631</v>
      </c>
      <c r="FG12" s="14">
        <f t="shared" si="47"/>
        <v>1.9084548602220754</v>
      </c>
      <c r="FH12" s="22">
        <f t="shared" si="22"/>
        <v>12.021338088288688</v>
      </c>
      <c r="FI12" s="62">
        <f t="shared" si="23"/>
        <v>167.58125850511459</v>
      </c>
      <c r="FJ12" s="62">
        <f ca="1">AVERAGE(OFFSET($FI$3,0,0,'Données projet'!$E$16+1,1))-AVERAGE(OFFSET($H$3,0,0,'Données projet'!$E$16+1,1))</f>
        <v>492.72391755143508</v>
      </c>
      <c r="FK12" s="62">
        <f t="shared" si="48"/>
        <v>304.88554179994355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39.425432840952517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143.77000000000001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>
        <f>VLOOKUP(A13,'Données projet'!$A$35:$I$55,2,0)</f>
        <v>99</v>
      </c>
      <c r="L13" s="13">
        <f>VLOOKUP(A13,'Données projet'!$A$35:$I$55,9,0)</f>
        <v>14.2</v>
      </c>
      <c r="M13" s="13">
        <f t="array" ref="M13">INDEX(L:L,MIN(IF(ISNUMBER(L13:L209),ROW(L13:L209),"")))</f>
        <v>14.2</v>
      </c>
      <c r="N13" s="14">
        <f>IF('Données projet'!$A$36&gt;35,N12+M13-V12,IF(A13&lt;'Données projet'!$A$36,$K$205^A13,IF(A13='Données projet'!$A$36,'Données projet'!$B$36,N12+M13-V12)))</f>
        <v>99.000000000000014</v>
      </c>
      <c r="O13" s="14">
        <f>N13*VLOOKUP('Données projet'!$B$9,Paramètres!$A$1:$I$89,3,0)*VLOOKUP('Données projet'!$B$9,Paramètres!$A$1:$I$89,5,0)</f>
        <v>89.575200000000009</v>
      </c>
      <c r="P13" s="14">
        <f t="shared" si="33"/>
        <v>24.462745269668691</v>
      </c>
      <c r="Q13" s="22">
        <f t="shared" si="2"/>
        <v>198.61608801133966</v>
      </c>
      <c r="R13" s="62">
        <f t="shared" si="0"/>
        <v>357.34303206468547</v>
      </c>
      <c r="S13" s="62">
        <f ca="1">AVERAGE(OFFSET($R$3,0,0,'Données projet'!$E$9+1,1))-AVERAGE(OFFSET($H$3,0,0,'Données projet'!$E$9+1,1))</f>
        <v>388.8309693898596</v>
      </c>
      <c r="T13" s="62">
        <f t="shared" si="34"/>
        <v>549.06702041234382</v>
      </c>
      <c r="U13" s="16">
        <f>IF(ISNA(VLOOKUP(A13,'Données projet'!$A$35:$I$55,3,0)),0,VLOOKUP(A13,'Données projet'!$A$35:$I$55,3,0))</f>
        <v>2</v>
      </c>
      <c r="V13" s="16">
        <f>IF(ISNA(VLOOKUP(A13,'Données projet'!$A$35:$I$55,4,0)),0,VLOOKUP(A13,'Données projet'!$A$35:$I$55,4,0))</f>
        <v>28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>
        <f>AI13*VLOOKUP('Données projet'!$B$10,Paramètres!$A$1:$I$89,3,0)*VLOOKUP('Données projet'!$B$10,Paramètres!$A$1:$I$89,5,0)</f>
        <v>29.137753954815693</v>
      </c>
      <c r="AK13" s="14">
        <f t="shared" si="35"/>
        <v>9.0687086556296208</v>
      </c>
      <c r="AL13" s="22">
        <f t="shared" si="4"/>
        <v>66.542922379858922</v>
      </c>
      <c r="AM13" s="62">
        <f t="shared" si="5"/>
        <v>225.26986643320475</v>
      </c>
      <c r="AN13" s="62">
        <f ca="1">AVERAGE(OFFSET($AM$3,0,0,'Données projet'!$E$10+1,1))-AVERAGE(OFFSET($H$3,0,0,'Données projet'!$E$10+1,1))</f>
        <v>197.85998851681552</v>
      </c>
      <c r="AO13" s="62">
        <f t="shared" si="36"/>
        <v>474.54844785896239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8.8333333333333339</v>
      </c>
      <c r="BD13" s="13">
        <f>IF('Données projet'!$A$88&gt;35,BD12+BC13-BL12,IF(A13&lt;'Données projet'!$A$88,$BA$205^A13,IF(A13='Données projet'!$A$88,'Données projet'!$B$88,BD12+BC13-BL12)))</f>
        <v>48.725341061564706</v>
      </c>
      <c r="BE13" s="14">
        <f>BD13*VLOOKUP('Données projet'!$B$11,Paramètres!$A$1:$I$89,3,0)*VLOOKUP('Données projet'!$B$11,Paramètres!$A$1:$I$89,5,0)</f>
        <v>29.137753954815693</v>
      </c>
      <c r="BF13" s="14">
        <f t="shared" si="37"/>
        <v>9.0687086556296208</v>
      </c>
      <c r="BG13" s="22">
        <f t="shared" si="7"/>
        <v>66.542922379858922</v>
      </c>
      <c r="BH13" s="62">
        <f t="shared" si="8"/>
        <v>225.26986643320475</v>
      </c>
      <c r="BI13" s="62">
        <f ca="1">AVERAGE(OFFSET($BH$3,0,0,'Données projet'!$E$11+1,1))-AVERAGE(OFFSET($H$3,0,0,'Données projet'!$E$11+1,1))</f>
        <v>197.85998851681552</v>
      </c>
      <c r="BJ13" s="62">
        <f t="shared" si="38"/>
        <v>474.54844785896239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14.882352941176471</v>
      </c>
      <c r="BY13" s="13">
        <f>IF('Données projet'!$A$114&gt;35,BY12+BX13-CG12,IF(A13&lt;'Données projet'!$A$114,$BV$205^A13,IF(A13='Données projet'!$A$114,'Données projet'!$B$114,BY12+BX13-CG12)))</f>
        <v>25.917929641949893</v>
      </c>
      <c r="BZ13" s="14">
        <f>BY13*VLOOKUP('Données projet'!$B$12,Paramètres!$A$1:$I$89,3,0)*VLOOKUP('Données projet'!$B$12,Paramètres!$A$1:$I$89,5,0)</f>
        <v>14.515077316677617</v>
      </c>
      <c r="CA13" s="14">
        <f t="shared" si="39"/>
        <v>4.8993181862281681</v>
      </c>
      <c r="CB13" s="22">
        <f t="shared" si="10"/>
        <v>33.813405500894241</v>
      </c>
      <c r="CC13" s="62">
        <f t="shared" si="11"/>
        <v>192.54034955424007</v>
      </c>
      <c r="CD13" s="62">
        <f ca="1">AVERAGE(OFFSET($CC$3,0,0,'Données projet'!$E$12+1,1))-AVERAGE(OFFSET($H$3,0,0,'Données projet'!$E$12+1,1))</f>
        <v>72.97248599808384</v>
      </c>
      <c r="CE13" s="62">
        <f t="shared" si="40"/>
        <v>346.88163654003574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14.882352941176471</v>
      </c>
      <c r="CT13" s="13">
        <f>IF('Données projet'!$A$140&gt;35,CT12+CS13-DB12,IF(A13&lt;'Données projet'!$A$140,$CQ$205^A13,IF(A13='Données projet'!$A$140,'Données projet'!$B$140,CT12+CS13-DB12)))</f>
        <v>25.917929641949893</v>
      </c>
      <c r="CU13" s="18">
        <f>CT13*VLOOKUP('Données projet'!$B$13,Paramètres!$A$1:$I$89,3,0)*VLOOKUP('Données projet'!$B$13,Paramètres!$A$1:$I$89,5,0)</f>
        <v>13.180822298710037</v>
      </c>
      <c r="CV13" s="14">
        <f t="shared" si="41"/>
        <v>4.4991789000631828</v>
      </c>
      <c r="CW13" s="22">
        <f t="shared" si="13"/>
        <v>30.792668754530023</v>
      </c>
      <c r="CX13" s="62">
        <f t="shared" si="14"/>
        <v>189.51961280787583</v>
      </c>
      <c r="CY13" s="62">
        <f ca="1">AVERAGE(OFFSET($CX$3,0,0,'Données projet'!$E$13+1,1))-AVERAGE(OFFSET($H$3,0,0,'Données projet'!$E$13+1,1))</f>
        <v>67.303283896086128</v>
      </c>
      <c r="CZ13" s="62">
        <f t="shared" si="42"/>
        <v>318.97925671653547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17.588235294117649</v>
      </c>
      <c r="DO13" s="13">
        <f>IF('Données projet'!$A$166&gt;35,DO12+DN13-DW12,IF(A13&lt;'Données projet'!$A$166,$DL$205^A13,IF(A13='Données projet'!$A$166,'Données projet'!$B$166,DO12+DN13-DW12)))</f>
        <v>28.594148585891649</v>
      </c>
      <c r="DP13" s="18">
        <f>DO13*VLOOKUP('Données projet'!$B$14,Paramètres!$A$1:$I$89,3,0)*VLOOKUP('Données projet'!$B$14,Paramètres!$A$1:$I$89,5,0)</f>
        <v>14.408019589459084</v>
      </c>
      <c r="DQ13" s="14">
        <f t="shared" si="43"/>
        <v>4.8673750967613918</v>
      </c>
      <c r="DR13" s="22">
        <f t="shared" si="16"/>
        <v>33.571312411833993</v>
      </c>
      <c r="DS13" s="62">
        <f t="shared" si="17"/>
        <v>192.2982564651798</v>
      </c>
      <c r="DT13" s="62">
        <f ca="1">AVERAGE(OFFSET($DS$3,0,0,'Données projet'!$E$14+1,1))-AVERAGE(OFFSET($H$3,0,0,'Données projet'!$E$14+1,1))</f>
        <v>75.244137291704476</v>
      </c>
      <c r="DU13" s="62">
        <f t="shared" si="44"/>
        <v>366.065475656937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2.84</v>
      </c>
      <c r="EJ13" s="13">
        <f>IF('Données projet'!$A$192&gt;35,EJ12+EI13-ER12,IF(A13&lt;'Données projet'!$A$192,$EG$205^A13,IF(A13='Données projet'!$A$192,'Données projet'!$B$192,EJ12+EI13-ER12)))</f>
        <v>5.5017815106427381</v>
      </c>
      <c r="EK13" s="18">
        <f>EJ13*VLOOKUP('Données projet'!$B$15,Paramètres!$A$1:$I$89,3,0)*VLOOKUP('Données projet'!$B$15,Paramètres!$A$1:$I$89,5,0)</f>
        <v>5.3213230770936564</v>
      </c>
      <c r="EL13" s="14">
        <f t="shared" si="45"/>
        <v>2.0186592101856715</v>
      </c>
      <c r="EM13" s="22">
        <f t="shared" si="19"/>
        <v>12.783802483678164</v>
      </c>
      <c r="EN13" s="62">
        <f t="shared" si="20"/>
        <v>171.51074653702398</v>
      </c>
      <c r="EO13" s="62">
        <f ca="1">AVERAGE(OFFSET($EN$3,0,0,'Données projet'!$E$15+1,1))-AVERAGE(OFFSET($H$3,0,0,'Données projet'!$E$15+1,1))</f>
        <v>452.74627739105745</v>
      </c>
      <c r="EP13" s="62">
        <f t="shared" si="46"/>
        <v>281.80695725575106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2.84</v>
      </c>
      <c r="FE13" s="13">
        <f>IF('Données projet'!$A$218&gt;35,FE12+FD13-FM12,IF(A13&lt;'Données projet'!$A$218,$FB$205^A13,IF(A13='Données projet'!$A$218,'Données projet'!$B$218,FE12+FD13-FM12)))</f>
        <v>5.5017815106427381</v>
      </c>
      <c r="FF13" s="18">
        <f>FE13*VLOOKUP('Données projet'!$B$16,Paramètres!$A$1:$I$89,3,0)*VLOOKUP('Données projet'!$B$16,Paramètres!$A$1:$I$89,5,0)</f>
        <v>5.922117618055843</v>
      </c>
      <c r="FG13" s="14">
        <f t="shared" si="47"/>
        <v>2.2187724633811925</v>
      </c>
      <c r="FH13" s="22">
        <f t="shared" si="22"/>
        <v>14.178716891836169</v>
      </c>
      <c r="FI13" s="62">
        <f t="shared" si="23"/>
        <v>172.90566094518198</v>
      </c>
      <c r="FJ13" s="62">
        <f ca="1">AVERAGE(OFFSET($FI$3,0,0,'Données projet'!$E$16+1,1))-AVERAGE(OFFSET($H$3,0,0,'Données projet'!$E$16+1,1))</f>
        <v>492.72391755143508</v>
      </c>
      <c r="FK13" s="62">
        <f t="shared" si="48"/>
        <v>304.88554179994355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39.955833226670066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143.77000000000001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13.8</v>
      </c>
      <c r="N14" s="14">
        <f>IF('Données projet'!$A$36&gt;35,N13+M14-V13,IF(A14&lt;'Données projet'!$A$36,$K$205^A14,IF(A14='Données projet'!$A$36,'Données projet'!$B$36,N13+M14-V13)))</f>
        <v>84.800000000000011</v>
      </c>
      <c r="O14" s="14">
        <f>N14*VLOOKUP('Données projet'!$B$9,Paramètres!$A$1:$I$89,3,0)*VLOOKUP('Données projet'!$B$9,Paramètres!$A$1:$I$89,5,0)</f>
        <v>76.727040000000017</v>
      </c>
      <c r="P14" s="14">
        <f t="shared" si="33"/>
        <v>21.334993267156719</v>
      </c>
      <c r="Q14" s="22">
        <f t="shared" si="2"/>
        <v>170.79137460696464</v>
      </c>
      <c r="R14" s="62">
        <f t="shared" si="0"/>
        <v>332.65160434021686</v>
      </c>
      <c r="S14" s="62">
        <f ca="1">AVERAGE(OFFSET($R$3,0,0,'Données projet'!$E$9+1,1))-AVERAGE(OFFSET($H$3,0,0,'Données projet'!$E$9+1,1))</f>
        <v>388.8309693898596</v>
      </c>
      <c r="T14" s="62">
        <f t="shared" si="34"/>
        <v>549.06702041234382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>
        <f>AI14*VLOOKUP('Données projet'!$B$10,Paramètres!$A$1:$I$89,3,0)*VLOOKUP('Données projet'!$B$10,Paramètres!$A$1:$I$89,5,0)</f>
        <v>42.976551137659456</v>
      </c>
      <c r="AK14" s="14">
        <f t="shared" si="35"/>
        <v>12.784256384658107</v>
      </c>
      <c r="AL14" s="22">
        <f t="shared" si="4"/>
        <v>97.116739768036425</v>
      </c>
      <c r="AM14" s="62">
        <f t="shared" si="5"/>
        <v>258.97696950128864</v>
      </c>
      <c r="AN14" s="62">
        <f ca="1">AVERAGE(OFFSET($AM$3,0,0,'Données projet'!$E$10+1,1))-AVERAGE(OFFSET($H$3,0,0,'Données projet'!$E$10+1,1))</f>
        <v>197.85998851681552</v>
      </c>
      <c r="AO14" s="62">
        <f t="shared" si="36"/>
        <v>474.54844785896239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8.8333333333333339</v>
      </c>
      <c r="BD14" s="13">
        <f>IF('Données projet'!$A$88&gt;35,BD13+BC14-BL13,IF(A14&lt;'Données projet'!$A$88,$BA$205^A14,IF(A14='Données projet'!$A$88,'Données projet'!$B$88,BD13+BC14-BL13)))</f>
        <v>71.867142370667978</v>
      </c>
      <c r="BE14" s="14">
        <f>BD14*VLOOKUP('Données projet'!$B$11,Paramètres!$A$1:$I$89,3,0)*VLOOKUP('Données projet'!$B$11,Paramètres!$A$1:$I$89,5,0)</f>
        <v>42.976551137659456</v>
      </c>
      <c r="BF14" s="14">
        <f t="shared" si="37"/>
        <v>12.784256384658107</v>
      </c>
      <c r="BG14" s="22">
        <f t="shared" si="7"/>
        <v>97.116739768036425</v>
      </c>
      <c r="BH14" s="62">
        <f t="shared" si="8"/>
        <v>258.97696950128864</v>
      </c>
      <c r="BI14" s="62">
        <f ca="1">AVERAGE(OFFSET($BH$3,0,0,'Données projet'!$E$11+1,1))-AVERAGE(OFFSET($H$3,0,0,'Données projet'!$E$11+1,1))</f>
        <v>197.85998851681552</v>
      </c>
      <c r="BJ14" s="62">
        <f t="shared" si="38"/>
        <v>474.54844785896239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14.882352941176471</v>
      </c>
      <c r="BY14" s="13">
        <f>IF('Données projet'!$A$114&gt;35,BY13+BX14-CG13,IF(A14&lt;'Données projet'!$A$114,$BV$205^A14,IF(A14='Données projet'!$A$114,'Données projet'!$B$114,BY13+BX14-CG13)))</f>
        <v>35.888915691424735</v>
      </c>
      <c r="BZ14" s="14">
        <f>BY14*VLOOKUP('Données projet'!$B$12,Paramètres!$A$1:$I$89,3,0)*VLOOKUP('Données projet'!$B$12,Paramètres!$A$1:$I$89,5,0)</f>
        <v>20.099228343825509</v>
      </c>
      <c r="CA14" s="14">
        <f t="shared" si="39"/>
        <v>6.5319276955567478</v>
      </c>
      <c r="CB14" s="22">
        <f t="shared" si="10"/>
        <v>46.382596768590759</v>
      </c>
      <c r="CC14" s="62">
        <f t="shared" si="11"/>
        <v>208.24282650184298</v>
      </c>
      <c r="CD14" s="62">
        <f ca="1">AVERAGE(OFFSET($CC$3,0,0,'Données projet'!$E$12+1,1))-AVERAGE(OFFSET($H$3,0,0,'Données projet'!$E$12+1,1))</f>
        <v>72.97248599808384</v>
      </c>
      <c r="CE14" s="62">
        <f t="shared" si="40"/>
        <v>346.88163654003574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14.882352941176471</v>
      </c>
      <c r="CT14" s="13">
        <f>IF('Données projet'!$A$140&gt;35,CT13+CS14-DB13,IF(A14&lt;'Données projet'!$A$140,$CQ$205^A14,IF(A14='Données projet'!$A$140,'Données projet'!$B$140,CT13+CS14-DB13)))</f>
        <v>35.888915691424735</v>
      </c>
      <c r="CU14" s="18">
        <f>CT14*VLOOKUP('Données projet'!$B$13,Paramètres!$A$1:$I$89,3,0)*VLOOKUP('Données projet'!$B$13,Paramètres!$A$1:$I$89,5,0)</f>
        <v>18.251666964030964</v>
      </c>
      <c r="CV14" s="14">
        <f t="shared" si="41"/>
        <v>5.9984492020128197</v>
      </c>
      <c r="CW14" s="22">
        <f t="shared" si="13"/>
        <v>42.235618989192922</v>
      </c>
      <c r="CX14" s="62">
        <f t="shared" si="14"/>
        <v>204.09584872244514</v>
      </c>
      <c r="CY14" s="62">
        <f ca="1">AVERAGE(OFFSET($CX$3,0,0,'Données projet'!$E$13+1,1))-AVERAGE(OFFSET($H$3,0,0,'Données projet'!$E$13+1,1))</f>
        <v>67.303283896086128</v>
      </c>
      <c r="CZ14" s="62">
        <f t="shared" si="42"/>
        <v>318.97925671653547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17.588235294117649</v>
      </c>
      <c r="DO14" s="13">
        <f>IF('Données projet'!$A$166&gt;35,DO13+DN14-DW13,IF(A14&lt;'Données projet'!$A$166,$DL$205^A14,IF(A14='Données projet'!$A$166,'Données projet'!$B$166,DO13+DN14-DW13)))</f>
        <v>39.98571687390487</v>
      </c>
      <c r="DP14" s="18">
        <f>DO14*VLOOKUP('Données projet'!$B$14,Paramètres!$A$1:$I$89,3,0)*VLOOKUP('Données projet'!$B$14,Paramètres!$A$1:$I$89,5,0)</f>
        <v>20.148003018423189</v>
      </c>
      <c r="DQ14" s="14">
        <f t="shared" si="43"/>
        <v>6.5459316531331639</v>
      </c>
      <c r="DR14" s="22">
        <f t="shared" si="16"/>
        <v>46.491936219627313</v>
      </c>
      <c r="DS14" s="62">
        <f t="shared" si="17"/>
        <v>208.35216595287955</v>
      </c>
      <c r="DT14" s="62">
        <f ca="1">AVERAGE(OFFSET($DS$3,0,0,'Données projet'!$E$14+1,1))-AVERAGE(OFFSET($H$3,0,0,'Données projet'!$E$14+1,1))</f>
        <v>75.244137291704476</v>
      </c>
      <c r="DU14" s="62">
        <f t="shared" si="44"/>
        <v>366.065475656937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2.84</v>
      </c>
      <c r="EJ14" s="13">
        <f>IF('Données projet'!$A$192&gt;35,EJ13+EI14-ER13,IF(A14&lt;'Données projet'!$A$192,$EG$205^A14,IF(A14='Données projet'!$A$192,'Données projet'!$B$192,EJ13+EI14-ER13)))</f>
        <v>6.5245967197614414</v>
      </c>
      <c r="EK14" s="18">
        <f>EJ14*VLOOKUP('Données projet'!$B$15,Paramètres!$A$1:$I$89,3,0)*VLOOKUP('Données projet'!$B$15,Paramètres!$A$1:$I$89,5,0)</f>
        <v>6.3105899473532663</v>
      </c>
      <c r="EL14" s="14">
        <f t="shared" si="45"/>
        <v>2.3468962048123094</v>
      </c>
      <c r="EM14" s="22">
        <f t="shared" si="19"/>
        <v>15.078455048355044</v>
      </c>
      <c r="EN14" s="62">
        <f t="shared" si="20"/>
        <v>176.93868478160726</v>
      </c>
      <c r="EO14" s="62">
        <f ca="1">AVERAGE(OFFSET($EN$3,0,0,'Données projet'!$E$15+1,1))-AVERAGE(OFFSET($H$3,0,0,'Données projet'!$E$15+1,1))</f>
        <v>452.74627739105745</v>
      </c>
      <c r="EP14" s="62">
        <f t="shared" si="46"/>
        <v>281.80695725575106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2.84</v>
      </c>
      <c r="FE14" s="13">
        <f>IF('Données projet'!$A$218&gt;35,FE13+FD14-FM13,IF(A14&lt;'Données projet'!$A$218,$FB$205^A14,IF(A14='Données projet'!$A$218,'Données projet'!$B$218,FE13+FD14-FM13)))</f>
        <v>6.5245967197614414</v>
      </c>
      <c r="FF14" s="18">
        <f>FE14*VLOOKUP('Données projet'!$B$16,Paramètres!$A$1:$I$89,3,0)*VLOOKUP('Données projet'!$B$16,Paramètres!$A$1:$I$89,5,0)</f>
        <v>7.023075909151216</v>
      </c>
      <c r="FG14" s="14">
        <f t="shared" si="47"/>
        <v>2.5795481710716444</v>
      </c>
      <c r="FH14" s="22">
        <f t="shared" si="22"/>
        <v>16.724570273054812</v>
      </c>
      <c r="FI14" s="62">
        <f t="shared" si="23"/>
        <v>178.58480000630703</v>
      </c>
      <c r="FJ14" s="62">
        <f ca="1">AVERAGE(OFFSET($FI$3,0,0,'Données projet'!$E$16+1,1))-AVERAGE(OFFSET($H$3,0,0,'Données projet'!$E$16+1,1))</f>
        <v>492.72391755143508</v>
      </c>
      <c r="FK14" s="62">
        <f t="shared" si="48"/>
        <v>304.88554179994355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40.47703235149303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143.77000000000001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13.8</v>
      </c>
      <c r="N15" s="14">
        <f>IF('Données projet'!$A$36&gt;35,N14+M15-V14,IF(A15&lt;'Données projet'!$A$36,$K$205^A15,IF(A15='Données projet'!$A$36,'Données projet'!$B$36,N14+M15-V14)))</f>
        <v>98.600000000000009</v>
      </c>
      <c r="O15" s="14">
        <f>N15*VLOOKUP('Données projet'!$B$9,Paramètres!$A$1:$I$89,3,0)*VLOOKUP('Données projet'!$B$9,Paramètres!$A$1:$I$89,5,0)</f>
        <v>89.213280000000012</v>
      </c>
      <c r="P15" s="14">
        <f t="shared" si="33"/>
        <v>24.375390230293569</v>
      </c>
      <c r="Q15" s="22">
        <f t="shared" si="2"/>
        <v>197.83360065109466</v>
      </c>
      <c r="R15" s="62">
        <f t="shared" si="0"/>
        <v>362.79396338576032</v>
      </c>
      <c r="S15" s="62">
        <f ca="1">AVERAGE(OFFSET($R$3,0,0,'Données projet'!$E$9+1,1))-AVERAGE(OFFSET($H$3,0,0,'Données projet'!$E$9+1,1))</f>
        <v>388.8309693898596</v>
      </c>
      <c r="T15" s="62">
        <f t="shared" si="34"/>
        <v>549.06702041234382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>
        <f>AI15*VLOOKUP('Données projet'!$B$10,Paramètres!$A$1:$I$89,3,0)*VLOOKUP('Données projet'!$B$10,Paramètres!$A$1:$I$89,5,0)</f>
        <v>63.388000000000012</v>
      </c>
      <c r="AK15" s="14">
        <f t="shared" si="35"/>
        <v>18.022104085041263</v>
      </c>
      <c r="AL15" s="22">
        <f t="shared" si="4"/>
        <v>141.78926461478019</v>
      </c>
      <c r="AM15" s="62">
        <f t="shared" si="5"/>
        <v>306.74962734944586</v>
      </c>
      <c r="AN15" s="62">
        <f ca="1">AVERAGE(OFFSET($AM$3,0,0,'Données projet'!$E$10+1,1))-AVERAGE(OFFSET($H$3,0,0,'Données projet'!$E$10+1,1))</f>
        <v>197.85998851681552</v>
      </c>
      <c r="AO15" s="62">
        <f t="shared" si="36"/>
        <v>474.54844785896239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1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23.020547073308105</v>
      </c>
      <c r="AX15" s="23">
        <f t="shared" si="6"/>
        <v>23.020547073308105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>
        <f>VLOOKUP(A15,'Données projet'!$A$87:$I$107,2,0)</f>
        <v>106</v>
      </c>
      <c r="BB15" s="13">
        <f>VLOOKUP(A15,'Données projet'!$A$87:$I$107,9,0)</f>
        <v>8.8333333333333339</v>
      </c>
      <c r="BC15" s="13">
        <f t="array" ref="BC15">INDEX(BB:BB,MIN(IF(ISNUMBER(BB15:BB211),ROW(BB15:BB211),"")))</f>
        <v>8.8333333333333339</v>
      </c>
      <c r="BD15" s="13">
        <f>IF('Données projet'!$A$88&gt;35,BD14+BC15-BL14,IF(A15&lt;'Données projet'!$A$88,$BA$205^A15,IF(A15='Données projet'!$A$88,'Données projet'!$B$88,BD14+BC15-BL14)))</f>
        <v>106</v>
      </c>
      <c r="BE15" s="14">
        <f>BD15*VLOOKUP('Données projet'!$B$11,Paramètres!$A$1:$I$89,3,0)*VLOOKUP('Données projet'!$B$11,Paramètres!$A$1:$I$89,5,0)</f>
        <v>63.388000000000012</v>
      </c>
      <c r="BF15" s="14">
        <f t="shared" si="37"/>
        <v>18.022104085041263</v>
      </c>
      <c r="BG15" s="22">
        <f t="shared" si="7"/>
        <v>141.78926461478019</v>
      </c>
      <c r="BH15" s="62">
        <f t="shared" si="8"/>
        <v>306.74962734944586</v>
      </c>
      <c r="BI15" s="62">
        <f ca="1">AVERAGE(OFFSET($BH$3,0,0,'Données projet'!$E$11+1,1))-AVERAGE(OFFSET($H$3,0,0,'Données projet'!$E$11+1,1))</f>
        <v>197.85998851681552</v>
      </c>
      <c r="BJ15" s="62">
        <f t="shared" si="38"/>
        <v>474.54844785896239</v>
      </c>
      <c r="BK15" s="16">
        <f>IF(ISNA(VLOOKUP(A15,'Données projet'!$A$87:$I$107,3,0)),0,VLOOKUP(A15,'Données projet'!$A$87:$I$107,3,0))</f>
        <v>1</v>
      </c>
      <c r="BL15" s="16">
        <f>IF(ISNA(VLOOKUP(A15,'Données projet'!$A$87:$I$107,4,0)),0,VLOOKUP(A15,'Données projet'!$A$87:$I$107,4,0))</f>
        <v>34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1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23.020547073308105</v>
      </c>
      <c r="BS15" s="24">
        <f t="shared" si="9"/>
        <v>23.020547073308105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14.882352941176471</v>
      </c>
      <c r="BY15" s="13">
        <f>IF('Données projet'!$A$114&gt;35,BY14+BX15-CG14,IF(A15&lt;'Données projet'!$A$114,$BV$205^A15,IF(A15='Données projet'!$A$114,'Données projet'!$B$114,BY14+BX15-CG14)))</f>
        <v>49.695878000280388</v>
      </c>
      <c r="BZ15" s="14">
        <f>BY15*VLOOKUP('Données projet'!$B$12,Paramètres!$A$1:$I$89,3,0)*VLOOKUP('Données projet'!$B$12,Paramètres!$A$1:$I$89,5,0)</f>
        <v>27.831679515277028</v>
      </c>
      <c r="CA15" s="14">
        <f t="shared" si="39"/>
        <v>8.7085749074053407</v>
      </c>
      <c r="CB15" s="22">
        <f t="shared" si="10"/>
        <v>63.640943119505124</v>
      </c>
      <c r="CC15" s="62">
        <f t="shared" si="11"/>
        <v>228.60130585417082</v>
      </c>
      <c r="CD15" s="62">
        <f ca="1">AVERAGE(OFFSET($CC$3,0,0,'Données projet'!$E$12+1,1))-AVERAGE(OFFSET($H$3,0,0,'Données projet'!$E$12+1,1))</f>
        <v>72.97248599808384</v>
      </c>
      <c r="CE15" s="62">
        <f t="shared" si="40"/>
        <v>346.88163654003574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14.882352941176471</v>
      </c>
      <c r="CT15" s="13">
        <f>IF('Données projet'!$A$140&gt;35,CT14+CS15-DB14,IF(A15&lt;'Données projet'!$A$140,$CQ$205^A15,IF(A15='Données projet'!$A$140,'Données projet'!$B$140,CT14+CS15-DB14)))</f>
        <v>49.695878000280388</v>
      </c>
      <c r="CU15" s="18">
        <f>CT15*VLOOKUP('Données projet'!$B$13,Paramètres!$A$1:$I$89,3,0)*VLOOKUP('Données projet'!$B$13,Paramètres!$A$1:$I$89,5,0)</f>
        <v>25.273335715822597</v>
      </c>
      <c r="CV15" s="14">
        <f t="shared" si="41"/>
        <v>7.9973243181379008</v>
      </c>
      <c r="CW15" s="22">
        <f t="shared" si="13"/>
        <v>57.946399559147856</v>
      </c>
      <c r="CX15" s="62">
        <f t="shared" si="14"/>
        <v>222.90676229381356</v>
      </c>
      <c r="CY15" s="62">
        <f ca="1">AVERAGE(OFFSET($CX$3,0,0,'Données projet'!$E$13+1,1))-AVERAGE(OFFSET($H$3,0,0,'Données projet'!$E$13+1,1))</f>
        <v>67.303283896086128</v>
      </c>
      <c r="CZ15" s="62">
        <f t="shared" si="42"/>
        <v>318.97925671653547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17.588235294117649</v>
      </c>
      <c r="DO15" s="13">
        <f>IF('Données projet'!$A$166&gt;35,DO14+DN15-DW14,IF(A15&lt;'Données projet'!$A$166,$DL$205^A15,IF(A15='Données projet'!$A$166,'Données projet'!$B$166,DO14+DN15-DW14)))</f>
        <v>55.915550313288826</v>
      </c>
      <c r="DP15" s="18">
        <f>DO15*VLOOKUP('Données projet'!$B$14,Paramètres!$A$1:$I$89,3,0)*VLOOKUP('Données projet'!$B$14,Paramètres!$A$1:$I$89,5,0)</f>
        <v>28.174727491859976</v>
      </c>
      <c r="DQ15" s="14">
        <f t="shared" si="43"/>
        <v>8.8033530097159147</v>
      </c>
      <c r="DR15" s="22">
        <f t="shared" si="16"/>
        <v>64.403490206911343</v>
      </c>
      <c r="DS15" s="62">
        <f t="shared" si="17"/>
        <v>229.36385294157702</v>
      </c>
      <c r="DT15" s="62">
        <f ca="1">AVERAGE(OFFSET($DS$3,0,0,'Données projet'!$E$14+1,1))-AVERAGE(OFFSET($H$3,0,0,'Données projet'!$E$14+1,1))</f>
        <v>75.244137291704476</v>
      </c>
      <c r="DU15" s="62">
        <f t="shared" si="44"/>
        <v>366.065475656937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2.84</v>
      </c>
      <c r="EJ15" s="13">
        <f>IF('Données projet'!$A$192&gt;35,EJ14+EI15-ER14,IF(A15&lt;'Données projet'!$A$192,$EG$205^A15,IF(A15='Données projet'!$A$192,'Données projet'!$B$192,EJ14+EI15-ER14)))</f>
        <v>7.7375596019531026</v>
      </c>
      <c r="EK15" s="18">
        <f>EJ15*VLOOKUP('Données projet'!$B$15,Paramètres!$A$1:$I$89,3,0)*VLOOKUP('Données projet'!$B$15,Paramètres!$A$1:$I$89,5,0)</f>
        <v>7.4837676470090404</v>
      </c>
      <c r="EL15" s="14">
        <f t="shared" si="45"/>
        <v>2.7285050237161208</v>
      </c>
      <c r="EM15" s="22">
        <f t="shared" si="19"/>
        <v>17.786374901512989</v>
      </c>
      <c r="EN15" s="62">
        <f t="shared" si="20"/>
        <v>182.74673763617869</v>
      </c>
      <c r="EO15" s="62">
        <f ca="1">AVERAGE(OFFSET($EN$3,0,0,'Données projet'!$E$15+1,1))-AVERAGE(OFFSET($H$3,0,0,'Données projet'!$E$15+1,1))</f>
        <v>452.74627739105745</v>
      </c>
      <c r="EP15" s="62">
        <f t="shared" si="46"/>
        <v>281.80695725575106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2.84</v>
      </c>
      <c r="FE15" s="13">
        <f>IF('Données projet'!$A$218&gt;35,FE14+FD15-FM14,IF(A15&lt;'Données projet'!$A$218,$FB$205^A15,IF(A15='Données projet'!$A$218,'Données projet'!$B$218,FE14+FD15-FM14)))</f>
        <v>7.7375596019531026</v>
      </c>
      <c r="FF15" s="18">
        <f>FE15*VLOOKUP('Données projet'!$B$16,Paramètres!$A$1:$I$89,3,0)*VLOOKUP('Données projet'!$B$16,Paramètres!$A$1:$I$89,5,0)</f>
        <v>8.3287091555423185</v>
      </c>
      <c r="FG15" s="14">
        <f t="shared" si="47"/>
        <v>2.99898654625401</v>
      </c>
      <c r="FH15" s="22">
        <f t="shared" si="22"/>
        <v>19.729070013961937</v>
      </c>
      <c r="FI15" s="62">
        <f t="shared" si="23"/>
        <v>184.68943274862764</v>
      </c>
      <c r="FJ15" s="62">
        <f ca="1">AVERAGE(OFFSET($FI$3,0,0,'Données projet'!$E$16+1,1))-AVERAGE(OFFSET($H$3,0,0,'Données projet'!$E$16+1,1))</f>
        <v>492.72391755143508</v>
      </c>
      <c r="FK15" s="62">
        <f t="shared" si="48"/>
        <v>304.88554179994355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40.989189836727007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143.77000000000001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13.8</v>
      </c>
      <c r="N16" s="14">
        <f>IF('Données projet'!$A$36&gt;35,N15+M16-V15,IF(A16&lt;'Données projet'!$A$36,$K$205^A16,IF(A16='Données projet'!$A$36,'Données projet'!$B$36,N15+M16-V15)))</f>
        <v>112.4</v>
      </c>
      <c r="O16" s="14">
        <f>N16*VLOOKUP('Données projet'!$B$9,Paramètres!$A$1:$I$89,3,0)*VLOOKUP('Données projet'!$B$9,Paramètres!$A$1:$I$89,5,0)</f>
        <v>101.69951999999999</v>
      </c>
      <c r="P16" s="14">
        <f t="shared" si="33"/>
        <v>27.366486780557949</v>
      </c>
      <c r="Q16" s="22">
        <f t="shared" si="2"/>
        <v>224.78996180947172</v>
      </c>
      <c r="R16" s="62">
        <f t="shared" si="0"/>
        <v>392.81787999191147</v>
      </c>
      <c r="S16" s="62">
        <f ca="1">AVERAGE(OFFSET($R$3,0,0,'Données projet'!$E$9+1,1))-AVERAGE(OFFSET($H$3,0,0,'Données projet'!$E$9+1,1))</f>
        <v>388.8309693898596</v>
      </c>
      <c r="T16" s="62">
        <f t="shared" si="34"/>
        <v>549.06702041234382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>
        <f>AI16*VLOOKUP('Données projet'!$B$10,Paramètres!$A$1:$I$89,3,0)*VLOOKUP('Données projet'!$B$10,Paramètres!$A$1:$I$89,5,0)</f>
        <v>55.494400000000006</v>
      </c>
      <c r="AK16" s="14">
        <f t="shared" si="35"/>
        <v>16.023988434505792</v>
      </c>
      <c r="AL16" s="22">
        <f t="shared" si="4"/>
        <v>124.5611931900976</v>
      </c>
      <c r="AM16" s="62">
        <f t="shared" si="5"/>
        <v>292.58911137253733</v>
      </c>
      <c r="AN16" s="62">
        <f ca="1">AVERAGE(OFFSET($AM$3,0,0,'Données projet'!$E$10+1,1))-AVERAGE(OFFSET($H$3,0,0,'Données projet'!$E$10+1,1))</f>
        <v>197.85998851681552</v>
      </c>
      <c r="AO16" s="62">
        <f t="shared" si="36"/>
        <v>474.54844785896239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16.277984942160291</v>
      </c>
      <c r="AX16" s="23">
        <f t="shared" si="6"/>
        <v>16.277984942160291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20.8</v>
      </c>
      <c r="BD16" s="13">
        <f>IF('Données projet'!$A$88&gt;35,BD15+BC16-BL15,IF(A16&lt;'Données projet'!$A$88,$BA$205^A16,IF(A16='Données projet'!$A$88,'Données projet'!$B$88,BD15+BC16-BL15)))</f>
        <v>92.8</v>
      </c>
      <c r="BE16" s="14">
        <f>BD16*VLOOKUP('Données projet'!$B$11,Paramètres!$A$1:$I$89,3,0)*VLOOKUP('Données projet'!$B$11,Paramètres!$A$1:$I$89,5,0)</f>
        <v>55.494400000000006</v>
      </c>
      <c r="BF16" s="14">
        <f t="shared" si="37"/>
        <v>16.023988434505792</v>
      </c>
      <c r="BG16" s="22">
        <f t="shared" si="7"/>
        <v>124.5611931900976</v>
      </c>
      <c r="BH16" s="62">
        <f t="shared" si="8"/>
        <v>292.58911137253733</v>
      </c>
      <c r="BI16" s="62">
        <f ca="1">AVERAGE(OFFSET($BH$3,0,0,'Données projet'!$E$11+1,1))-AVERAGE(OFFSET($H$3,0,0,'Données projet'!$E$11+1,1))</f>
        <v>197.85998851681552</v>
      </c>
      <c r="BJ16" s="62">
        <f t="shared" si="38"/>
        <v>474.54844785896239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16.277984942160291</v>
      </c>
      <c r="BS16" s="24">
        <f t="shared" si="9"/>
        <v>16.277984942160291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14.882352941176471</v>
      </c>
      <c r="BY16" s="13">
        <f>IF('Données projet'!$A$114&gt;35,BY15+BX16-CG15,IF(A16&lt;'Données projet'!$A$114,$BV$205^A16,IF(A16='Données projet'!$A$114,'Données projet'!$B$114,BY15+BX16-CG15)))</f>
        <v>68.814569697597605</v>
      </c>
      <c r="BZ16" s="14">
        <f>BY16*VLOOKUP('Données projet'!$B$12,Paramètres!$A$1:$I$89,3,0)*VLOOKUP('Données projet'!$B$12,Paramètres!$A$1:$I$89,5,0)</f>
        <v>38.538911613442565</v>
      </c>
      <c r="CA16" s="14">
        <f t="shared" si="39"/>
        <v>11.610550583632238</v>
      </c>
      <c r="CB16" s="22">
        <f t="shared" si="10"/>
        <v>87.343646659905289</v>
      </c>
      <c r="CC16" s="62">
        <f t="shared" si="11"/>
        <v>255.37156484234501</v>
      </c>
      <c r="CD16" s="62">
        <f ca="1">AVERAGE(OFFSET($CC$3,0,0,'Données projet'!$E$12+1,1))-AVERAGE(OFFSET($H$3,0,0,'Données projet'!$E$12+1,1))</f>
        <v>72.97248599808384</v>
      </c>
      <c r="CE16" s="62">
        <f t="shared" si="40"/>
        <v>346.88163654003574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14.882352941176471</v>
      </c>
      <c r="CT16" s="13">
        <f>IF('Données projet'!$A$140&gt;35,CT15+CS16-DB15,IF(A16&lt;'Données projet'!$A$140,$CQ$205^A16,IF(A16='Données projet'!$A$140,'Données projet'!$B$140,CT15+CS16-DB15)))</f>
        <v>68.814569697597605</v>
      </c>
      <c r="CU16" s="18">
        <f>CT16*VLOOKUP('Données projet'!$B$13,Paramètres!$A$1:$I$89,3,0)*VLOOKUP('Données projet'!$B$13,Paramètres!$A$1:$I$89,5,0)</f>
        <v>34.996337565410244</v>
      </c>
      <c r="CV16" s="14">
        <f t="shared" si="41"/>
        <v>10.662288550850542</v>
      </c>
      <c r="CW16" s="22">
        <f t="shared" si="13"/>
        <v>79.522107152487521</v>
      </c>
      <c r="CX16" s="62">
        <f t="shared" si="14"/>
        <v>247.55002533492723</v>
      </c>
      <c r="CY16" s="62">
        <f ca="1">AVERAGE(OFFSET($CX$3,0,0,'Données projet'!$E$13+1,1))-AVERAGE(OFFSET($H$3,0,0,'Données projet'!$E$13+1,1))</f>
        <v>67.303283896086128</v>
      </c>
      <c r="CZ16" s="62">
        <f t="shared" si="42"/>
        <v>318.97925671653547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17.588235294117649</v>
      </c>
      <c r="DO16" s="13">
        <f>IF('Données projet'!$A$166&gt;35,DO15+DN16-DW15,IF(A16&lt;'Données projet'!$A$166,$DL$205^A16,IF(A16='Données projet'!$A$166,'Données projet'!$B$166,DO15+DN16-DW15)))</f>
        <v>78.19163969718285</v>
      </c>
      <c r="DP16" s="18">
        <f>DO16*VLOOKUP('Données projet'!$B$14,Paramètres!$A$1:$I$89,3,0)*VLOOKUP('Données projet'!$B$14,Paramètres!$A$1:$I$89,5,0)</f>
        <v>39.399203410616494</v>
      </c>
      <c r="DQ16" s="14">
        <f t="shared" si="43"/>
        <v>11.839265718055559</v>
      </c>
      <c r="DR16" s="22">
        <f t="shared" si="16"/>
        <v>89.240333732437151</v>
      </c>
      <c r="DS16" s="62">
        <f t="shared" si="17"/>
        <v>257.26825191487688</v>
      </c>
      <c r="DT16" s="62">
        <f ca="1">AVERAGE(OFFSET($DS$3,0,0,'Données projet'!$E$14+1,1))-AVERAGE(OFFSET($H$3,0,0,'Données projet'!$E$14+1,1))</f>
        <v>75.244137291704476</v>
      </c>
      <c r="DU16" s="62">
        <f t="shared" si="44"/>
        <v>366.065475656937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2.84</v>
      </c>
      <c r="EJ16" s="13">
        <f>IF('Données projet'!$A$192&gt;35,EJ15+EI16-ER15,IF(A16&lt;'Données projet'!$A$192,$EG$205^A16,IF(A16='Données projet'!$A$192,'Données projet'!$B$192,EJ15+EI16-ER15)))</f>
        <v>9.1760197856283234</v>
      </c>
      <c r="EK16" s="18">
        <f>EJ16*VLOOKUP('Données projet'!$B$15,Paramètres!$A$1:$I$89,3,0)*VLOOKUP('Données projet'!$B$15,Paramètres!$A$1:$I$89,5,0)</f>
        <v>8.8750463366597145</v>
      </c>
      <c r="EL16" s="14">
        <f t="shared" si="45"/>
        <v>3.1721640050287161</v>
      </c>
      <c r="EM16" s="22">
        <f t="shared" si="19"/>
        <v>20.98222467844068</v>
      </c>
      <c r="EN16" s="62">
        <f t="shared" si="20"/>
        <v>189.01014286088039</v>
      </c>
      <c r="EO16" s="62">
        <f ca="1">AVERAGE(OFFSET($EN$3,0,0,'Données projet'!$E$15+1,1))-AVERAGE(OFFSET($H$3,0,0,'Données projet'!$E$15+1,1))</f>
        <v>452.74627739105745</v>
      </c>
      <c r="EP16" s="62">
        <f t="shared" si="46"/>
        <v>281.80695725575106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2.84</v>
      </c>
      <c r="FE16" s="13">
        <f>IF('Données projet'!$A$218&gt;35,FE15+FD16-FM15,IF(A16&lt;'Données projet'!$A$218,$FB$205^A16,IF(A16='Données projet'!$A$218,'Données projet'!$B$218,FE15+FD16-FM15)))</f>
        <v>9.1760197856283234</v>
      </c>
      <c r="FF16" s="18">
        <f>FE16*VLOOKUP('Données projet'!$B$16,Paramètres!$A$1:$I$89,3,0)*VLOOKUP('Données projet'!$B$16,Paramètres!$A$1:$I$89,5,0)</f>
        <v>9.8770676972503271</v>
      </c>
      <c r="FG16" s="14">
        <f t="shared" si="47"/>
        <v>3.4866262260480037</v>
      </c>
      <c r="FH16" s="22">
        <f t="shared" si="22"/>
        <v>23.275100249744593</v>
      </c>
      <c r="FI16" s="62">
        <f t="shared" si="23"/>
        <v>191.3030184321843</v>
      </c>
      <c r="FJ16" s="62">
        <f ca="1">AVERAGE(OFFSET($FI$3,0,0,'Données projet'!$E$16+1,1))-AVERAGE(OFFSET($H$3,0,0,'Données projet'!$E$16+1,1))</f>
        <v>492.72391755143508</v>
      </c>
      <c r="FK16" s="62">
        <f t="shared" si="48"/>
        <v>304.88554179994355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41.492462534604769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143.77000000000001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13.8</v>
      </c>
      <c r="N17" s="14">
        <f>IF('Données projet'!$A$36&gt;35,N16+M17-V16,IF(A17&lt;'Données projet'!$A$36,$K$205^A17,IF(A17='Données projet'!$A$36,'Données projet'!$B$36,N16+M17-V16)))</f>
        <v>126.2</v>
      </c>
      <c r="O17" s="14">
        <f>N17*VLOOKUP('Données projet'!$B$9,Paramètres!$A$1:$I$89,3,0)*VLOOKUP('Données projet'!$B$9,Paramètres!$A$1:$I$89,5,0)</f>
        <v>114.18576</v>
      </c>
      <c r="P17" s="14">
        <f t="shared" si="33"/>
        <v>30.315028515433259</v>
      </c>
      <c r="Q17" s="22">
        <f t="shared" si="2"/>
        <v>251.67220666437959</v>
      </c>
      <c r="R17" s="62">
        <f t="shared" si="0"/>
        <v>422.73566788867697</v>
      </c>
      <c r="S17" s="62">
        <f ca="1">AVERAGE(OFFSET($R$3,0,0,'Données projet'!$E$9+1,1))-AVERAGE(OFFSET($H$3,0,0,'Données projet'!$E$9+1,1))</f>
        <v>388.8309693898596</v>
      </c>
      <c r="T17" s="62">
        <f t="shared" si="34"/>
        <v>549.06702041234382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>
        <f>AI17*VLOOKUP('Données projet'!$B$10,Paramètres!$A$1:$I$89,3,0)*VLOOKUP('Données projet'!$B$10,Paramètres!$A$1:$I$89,5,0)</f>
        <v>67.9328</v>
      </c>
      <c r="AK17" s="14">
        <f t="shared" si="35"/>
        <v>19.159206778906245</v>
      </c>
      <c r="AL17" s="22">
        <f t="shared" si="4"/>
        <v>151.68524513992836</v>
      </c>
      <c r="AM17" s="62">
        <f t="shared" si="5"/>
        <v>322.74870636422577</v>
      </c>
      <c r="AN17" s="62">
        <f ca="1">AVERAGE(OFFSET($AM$3,0,0,'Données projet'!$E$10+1,1))-AVERAGE(OFFSET($H$3,0,0,'Données projet'!$E$10+1,1))</f>
        <v>197.85998851681552</v>
      </c>
      <c r="AO17" s="62">
        <f t="shared" si="36"/>
        <v>474.54844785896239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11.510273536654053</v>
      </c>
      <c r="AX17" s="23">
        <f t="shared" si="6"/>
        <v>11.510273536654053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20.8</v>
      </c>
      <c r="BD17" s="13">
        <f>IF('Données projet'!$A$88&gt;35,BD16+BC17-BL16,IF(A17&lt;'Données projet'!$A$88,$BA$205^A17,IF(A17='Données projet'!$A$88,'Données projet'!$B$88,BD16+BC17-BL16)))</f>
        <v>113.6</v>
      </c>
      <c r="BE17" s="14">
        <f>BD17*VLOOKUP('Données projet'!$B$11,Paramètres!$A$1:$I$89,3,0)*VLOOKUP('Données projet'!$B$11,Paramètres!$A$1:$I$89,5,0)</f>
        <v>67.9328</v>
      </c>
      <c r="BF17" s="14">
        <f t="shared" si="37"/>
        <v>19.159206778906245</v>
      </c>
      <c r="BG17" s="22">
        <f t="shared" si="7"/>
        <v>151.68524513992836</v>
      </c>
      <c r="BH17" s="62">
        <f t="shared" si="8"/>
        <v>322.74870636422577</v>
      </c>
      <c r="BI17" s="62">
        <f ca="1">AVERAGE(OFFSET($BH$3,0,0,'Données projet'!$E$11+1,1))-AVERAGE(OFFSET($H$3,0,0,'Données projet'!$E$11+1,1))</f>
        <v>197.85998851681552</v>
      </c>
      <c r="BJ17" s="62">
        <f t="shared" si="38"/>
        <v>474.54844785896239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11.510273536654053</v>
      </c>
      <c r="BS17" s="24">
        <f t="shared" si="9"/>
        <v>11.510273536654053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14.882352941176471</v>
      </c>
      <c r="BY17" s="13">
        <f>IF('Données projet'!$A$114&gt;35,BY16+BX17-CG16,IF(A17&lt;'Données projet'!$A$114,$BV$205^A17,IF(A17='Données projet'!$A$114,'Données projet'!$B$114,BY16+BX17-CG16)))</f>
        <v>95.288486554937251</v>
      </c>
      <c r="BZ17" s="14">
        <f>BY17*VLOOKUP('Données projet'!$B$12,Paramètres!$A$1:$I$89,3,0)*VLOOKUP('Données projet'!$B$12,Paramètres!$A$1:$I$89,5,0)</f>
        <v>53.365364010227054</v>
      </c>
      <c r="CA17" s="14">
        <f t="shared" si="39"/>
        <v>15.479557365976317</v>
      </c>
      <c r="CB17" s="22">
        <f t="shared" si="10"/>
        <v>119.90490473022085</v>
      </c>
      <c r="CC17" s="62">
        <f t="shared" si="11"/>
        <v>290.96836595451828</v>
      </c>
      <c r="CD17" s="62">
        <f ca="1">AVERAGE(OFFSET($CC$3,0,0,'Données projet'!$E$12+1,1))-AVERAGE(OFFSET($H$3,0,0,'Données projet'!$E$12+1,1))</f>
        <v>72.97248599808384</v>
      </c>
      <c r="CE17" s="62">
        <f t="shared" si="40"/>
        <v>346.88163654003574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14.882352941176471</v>
      </c>
      <c r="CT17" s="13">
        <f>IF('Données projet'!$A$140&gt;35,CT16+CS17-DB16,IF(A17&lt;'Données projet'!$A$140,$CQ$205^A17,IF(A17='Données projet'!$A$140,'Données projet'!$B$140,CT16+CS17-DB16)))</f>
        <v>95.288486554937251</v>
      </c>
      <c r="CU17" s="18">
        <f>CT17*VLOOKUP('Données projet'!$B$13,Paramètres!$A$1:$I$89,3,0)*VLOOKUP('Données projet'!$B$13,Paramètres!$A$1:$I$89,5,0)</f>
        <v>48.459912722378888</v>
      </c>
      <c r="CV17" s="14">
        <f t="shared" si="41"/>
        <v>14.215304096616761</v>
      </c>
      <c r="CW17" s="22">
        <f t="shared" si="13"/>
        <v>109.15933595975076</v>
      </c>
      <c r="CX17" s="62">
        <f t="shared" si="14"/>
        <v>280.2227971840482</v>
      </c>
      <c r="CY17" s="62">
        <f ca="1">AVERAGE(OFFSET($CX$3,0,0,'Données projet'!$E$13+1,1))-AVERAGE(OFFSET($H$3,0,0,'Données projet'!$E$13+1,1))</f>
        <v>67.303283896086128</v>
      </c>
      <c r="CZ17" s="62">
        <f t="shared" si="42"/>
        <v>318.97925671653547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17.588235294117649</v>
      </c>
      <c r="DO17" s="13">
        <f>IF('Données projet'!$A$166&gt;35,DO16+DN17-DW16,IF(A17&lt;'Données projet'!$A$166,$DL$205^A17,IF(A17='Données projet'!$A$166,'Données projet'!$B$166,DO16+DN17-DW16)))</f>
        <v>109.34225782055888</v>
      </c>
      <c r="DP17" s="18">
        <f>DO17*VLOOKUP('Données projet'!$B$14,Paramètres!$A$1:$I$89,3,0)*VLOOKUP('Données projet'!$B$14,Paramètres!$A$1:$I$89,5,0)</f>
        <v>55.09537687062322</v>
      </c>
      <c r="DQ17" s="14">
        <f t="shared" si="43"/>
        <v>15.922139278980122</v>
      </c>
      <c r="DR17" s="22">
        <f t="shared" si="16"/>
        <v>123.68884062722582</v>
      </c>
      <c r="DS17" s="62">
        <f t="shared" si="17"/>
        <v>294.75230185152321</v>
      </c>
      <c r="DT17" s="62">
        <f ca="1">AVERAGE(OFFSET($DS$3,0,0,'Données projet'!$E$14+1,1))-AVERAGE(OFFSET($H$3,0,0,'Données projet'!$E$14+1,1))</f>
        <v>75.244137291704476</v>
      </c>
      <c r="DU17" s="62">
        <f t="shared" si="44"/>
        <v>366.065475656937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2.84</v>
      </c>
      <c r="EJ17" s="13">
        <f>IF('Données projet'!$A$192&gt;35,EJ16+EI17-ER16,IF(A17&lt;'Données projet'!$A$192,$EG$205^A17,IF(A17='Données projet'!$A$192,'Données projet'!$B$192,EJ16+EI17-ER16)))</f>
        <v>10.881898613742376</v>
      </c>
      <c r="EK17" s="18">
        <f>EJ17*VLOOKUP('Données projet'!$B$15,Paramètres!$A$1:$I$89,3,0)*VLOOKUP('Données projet'!$B$15,Paramètres!$A$1:$I$89,5,0)</f>
        <v>10.524972339211626</v>
      </c>
      <c r="EL17" s="14">
        <f t="shared" si="45"/>
        <v>3.6879625975893942</v>
      </c>
      <c r="EM17" s="22">
        <f t="shared" si="19"/>
        <v>24.754195014928442</v>
      </c>
      <c r="EN17" s="62">
        <f t="shared" si="20"/>
        <v>195.81765623922587</v>
      </c>
      <c r="EO17" s="62">
        <f ca="1">AVERAGE(OFFSET($EN$3,0,0,'Données projet'!$E$15+1,1))-AVERAGE(OFFSET($H$3,0,0,'Données projet'!$E$15+1,1))</f>
        <v>452.74627739105745</v>
      </c>
      <c r="EP17" s="62">
        <f t="shared" si="46"/>
        <v>281.80695725575106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2.84</v>
      </c>
      <c r="FE17" s="13">
        <f>IF('Données projet'!$A$218&gt;35,FE16+FD17-FM16,IF(A17&lt;'Données projet'!$A$218,$FB$205^A17,IF(A17='Données projet'!$A$218,'Données projet'!$B$218,FE16+FD17-FM16)))</f>
        <v>10.881898613742376</v>
      </c>
      <c r="FF17" s="18">
        <f>FE17*VLOOKUP('Données projet'!$B$16,Paramètres!$A$1:$I$89,3,0)*VLOOKUP('Données projet'!$B$16,Paramètres!$A$1:$I$89,5,0)</f>
        <v>11.713275667832292</v>
      </c>
      <c r="FG17" s="14">
        <f t="shared" si="47"/>
        <v>4.0535568441780185</v>
      </c>
      <c r="FH17" s="22">
        <f t="shared" si="22"/>
        <v>27.460566625084624</v>
      </c>
      <c r="FI17" s="62">
        <f t="shared" si="23"/>
        <v>198.52402784938204</v>
      </c>
      <c r="FJ17" s="62">
        <f ca="1">AVERAGE(OFFSET($FI$3,0,0,'Données projet'!$E$16+1,1))-AVERAGE(OFFSET($H$3,0,0,'Données projet'!$E$16+1,1))</f>
        <v>492.72391755143508</v>
      </c>
      <c r="FK17" s="62">
        <f t="shared" si="48"/>
        <v>304.88554179994355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41.987004576323542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143.77000000000001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>
        <f>VLOOKUP(A18,'Données projet'!$A$35:$I$55,2,0)</f>
        <v>140</v>
      </c>
      <c r="L18" s="13">
        <f>VLOOKUP(A18,'Données projet'!$A$35:$I$55,9,0)</f>
        <v>13.8</v>
      </c>
      <c r="M18" s="13">
        <f t="array" ref="M18">INDEX(L:L,MIN(IF(ISNUMBER(L18:L214),ROW(L18:L214),"")))</f>
        <v>13.8</v>
      </c>
      <c r="N18" s="14">
        <f>IF('Données projet'!$A$36&gt;35,N17+M18-V17,IF(A18&lt;'Données projet'!$A$36,$K$205^A18,IF(A18='Données projet'!$A$36,'Données projet'!$B$36,N17+M18-V17)))</f>
        <v>140</v>
      </c>
      <c r="O18" s="14">
        <f>N18*VLOOKUP('Données projet'!$B$9,Paramètres!$A$1:$I$89,3,0)*VLOOKUP('Données projet'!$B$9,Paramètres!$A$1:$I$89,5,0)</f>
        <v>126.67199999999998</v>
      </c>
      <c r="P18" s="14">
        <f t="shared" si="33"/>
        <v>33.226199426361347</v>
      </c>
      <c r="Q18" s="22">
        <f t="shared" si="2"/>
        <v>278.48936400091264</v>
      </c>
      <c r="R18" s="62">
        <f t="shared" si="0"/>
        <v>452.55691120482516</v>
      </c>
      <c r="S18" s="62">
        <f ca="1">AVERAGE(OFFSET($R$3,0,0,'Données projet'!$E$9+1,1))-AVERAGE(OFFSET($H$3,0,0,'Données projet'!$E$9+1,1))</f>
        <v>388.8309693898596</v>
      </c>
      <c r="T18" s="62">
        <f t="shared" si="34"/>
        <v>549.06702041234382</v>
      </c>
      <c r="U18" s="16">
        <f>IF(ISNA(VLOOKUP(A18,'Données projet'!$A$35:$I$55,3,0)),0,VLOOKUP(A18,'Données projet'!$A$35:$I$55,3,0))</f>
        <v>3</v>
      </c>
      <c r="V18" s="16">
        <f>IF(ISNA(VLOOKUP(A18,'Données projet'!$A$35:$I$55,4,0)),0,VLOOKUP(A18,'Données projet'!$A$35:$I$55,4,0))</f>
        <v>23</v>
      </c>
      <c r="W18" s="17">
        <f>IF(ISNA(VLOOKUP(A18,'Données projet'!$A$35:$I$55,5,0)),0%,VLOOKUP(A18,'Données projet'!$A$35:$I$55,5,0)*VLOOKUP('Données projet'!$B$9,Paramètres!$A$1:$I$89,7,0))</f>
        <v>0.06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1.3803168471739502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1.3803168471739502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>
        <f>AI18*VLOOKUP('Données projet'!$B$10,Paramètres!$A$1:$I$89,3,0)*VLOOKUP('Données projet'!$B$10,Paramètres!$A$1:$I$89,5,0)</f>
        <v>80.371200000000016</v>
      </c>
      <c r="AK18" s="14">
        <f t="shared" si="35"/>
        <v>22.227919990990831</v>
      </c>
      <c r="AL18" s="22">
        <f t="shared" si="4"/>
        <v>178.69346731764236</v>
      </c>
      <c r="AM18" s="62">
        <f t="shared" si="5"/>
        <v>352.76101452155484</v>
      </c>
      <c r="AN18" s="62">
        <f ca="1">AVERAGE(OFFSET($AM$3,0,0,'Données projet'!$E$10+1,1))-AVERAGE(OFFSET($H$3,0,0,'Données projet'!$E$10+1,1))</f>
        <v>197.85998851681552</v>
      </c>
      <c r="AO18" s="62">
        <f t="shared" si="36"/>
        <v>474.54844785896239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8.1389924710801456</v>
      </c>
      <c r="AX18" s="23">
        <f t="shared" si="6"/>
        <v>8.1389924710801456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20.8</v>
      </c>
      <c r="BD18" s="13">
        <f>IF('Données projet'!$A$88&gt;35,BD17+BC18-BL17,IF(A18&lt;'Données projet'!$A$88,$BA$205^A18,IF(A18='Données projet'!$A$88,'Données projet'!$B$88,BD17+BC18-BL17)))</f>
        <v>134.4</v>
      </c>
      <c r="BE18" s="14">
        <f>BD18*VLOOKUP('Données projet'!$B$11,Paramètres!$A$1:$I$89,3,0)*VLOOKUP('Données projet'!$B$11,Paramètres!$A$1:$I$89,5,0)</f>
        <v>80.371200000000016</v>
      </c>
      <c r="BF18" s="14">
        <f t="shared" si="37"/>
        <v>22.227919990990831</v>
      </c>
      <c r="BG18" s="22">
        <f t="shared" si="7"/>
        <v>178.69346731764236</v>
      </c>
      <c r="BH18" s="62">
        <f t="shared" si="8"/>
        <v>352.76101452155484</v>
      </c>
      <c r="BI18" s="62">
        <f ca="1">AVERAGE(OFFSET($BH$3,0,0,'Données projet'!$E$11+1,1))-AVERAGE(OFFSET($H$3,0,0,'Données projet'!$E$11+1,1))</f>
        <v>197.85998851681552</v>
      </c>
      <c r="BJ18" s="62">
        <f t="shared" si="38"/>
        <v>474.54844785896239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8.1389924710801456</v>
      </c>
      <c r="BS18" s="24">
        <f t="shared" si="9"/>
        <v>8.1389924710801456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14.882352941176471</v>
      </c>
      <c r="BY18" s="13">
        <f>IF('Données projet'!$A$114&gt;35,BY17+BX18-CG17,IF(A18&lt;'Données projet'!$A$114,$BV$205^A18,IF(A18='Données projet'!$A$114,'Données projet'!$B$114,BY17+BX18-CG17)))</f>
        <v>131.9472854343438</v>
      </c>
      <c r="BZ18" s="14">
        <f>BY18*VLOOKUP('Données projet'!$B$12,Paramètres!$A$1:$I$89,3,0)*VLOOKUP('Données projet'!$B$12,Paramètres!$A$1:$I$89,5,0)</f>
        <v>73.895757734649905</v>
      </c>
      <c r="CA18" s="14">
        <f t="shared" si="39"/>
        <v>20.637840946522111</v>
      </c>
      <c r="CB18" s="22">
        <f t="shared" si="10"/>
        <v>164.64601770304122</v>
      </c>
      <c r="CC18" s="62">
        <f t="shared" si="11"/>
        <v>338.71356490695371</v>
      </c>
      <c r="CD18" s="62">
        <f ca="1">AVERAGE(OFFSET($CC$3,0,0,'Données projet'!$E$12+1,1))-AVERAGE(OFFSET($H$3,0,0,'Données projet'!$E$12+1,1))</f>
        <v>72.97248599808384</v>
      </c>
      <c r="CE18" s="62">
        <f t="shared" si="40"/>
        <v>346.88163654003574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14.882352941176471</v>
      </c>
      <c r="CT18" s="13">
        <f>IF('Données projet'!$A$140&gt;35,CT17+CS18-DB17,IF(A18&lt;'Données projet'!$A$140,$CQ$205^A18,IF(A18='Données projet'!$A$140,'Données projet'!$B$140,CT17+CS18-DB17)))</f>
        <v>131.9472854343438</v>
      </c>
      <c r="CU18" s="18">
        <f>CT18*VLOOKUP('Données projet'!$B$13,Paramètres!$A$1:$I$89,3,0)*VLOOKUP('Données projet'!$B$13,Paramètres!$A$1:$I$89,5,0)</f>
        <v>67.103111480489886</v>
      </c>
      <c r="CV18" s="14">
        <f t="shared" si="41"/>
        <v>18.952298054545668</v>
      </c>
      <c r="CW18" s="22">
        <f t="shared" si="13"/>
        <v>149.87983827352025</v>
      </c>
      <c r="CX18" s="62">
        <f t="shared" si="14"/>
        <v>323.9473854774327</v>
      </c>
      <c r="CY18" s="62">
        <f ca="1">AVERAGE(OFFSET($CX$3,0,0,'Données projet'!$E$13+1,1))-AVERAGE(OFFSET($H$3,0,0,'Données projet'!$E$13+1,1))</f>
        <v>67.303283896086128</v>
      </c>
      <c r="CZ18" s="62">
        <f t="shared" si="42"/>
        <v>318.97925671653547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17.588235294117649</v>
      </c>
      <c r="DO18" s="13">
        <f>IF('Données projet'!$A$166&gt;35,DO17+DN18-DW17,IF(A18&lt;'Données projet'!$A$166,$DL$205^A18,IF(A18='Données projet'!$A$166,'Données projet'!$B$166,DO17+DN18-DW17)))</f>
        <v>152.90291125239472</v>
      </c>
      <c r="DP18" s="18">
        <f>DO18*VLOOKUP('Données projet'!$B$14,Paramètres!$A$1:$I$89,3,0)*VLOOKUP('Données projet'!$B$14,Paramètres!$A$1:$I$89,5,0)</f>
        <v>77.044718921856656</v>
      </c>
      <c r="DQ18" s="14">
        <f t="shared" si="43"/>
        <v>21.413027231293352</v>
      </c>
      <c r="DR18" s="22">
        <f t="shared" si="16"/>
        <v>171.4805745500696</v>
      </c>
      <c r="DS18" s="62">
        <f t="shared" si="17"/>
        <v>345.54812175398206</v>
      </c>
      <c r="DT18" s="62">
        <f ca="1">AVERAGE(OFFSET($DS$3,0,0,'Données projet'!$E$14+1,1))-AVERAGE(OFFSET($H$3,0,0,'Données projet'!$E$14+1,1))</f>
        <v>75.244137291704476</v>
      </c>
      <c r="DU18" s="62">
        <f t="shared" si="44"/>
        <v>366.065475656937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2.84</v>
      </c>
      <c r="EJ18" s="13">
        <f>IF('Données projet'!$A$192&gt;35,EJ17+EI18-ER17,IF(A18&lt;'Données projet'!$A$192,$EG$205^A18,IF(A18='Données projet'!$A$192,'Données projet'!$B$192,EJ17+EI18-ER17)))</f>
        <v>12.904910866172436</v>
      </c>
      <c r="EK18" s="18">
        <f>EJ18*VLOOKUP('Données projet'!$B$15,Paramètres!$A$1:$I$89,3,0)*VLOOKUP('Données projet'!$B$15,Paramètres!$A$1:$I$89,5,0)</f>
        <v>12.481629789761982</v>
      </c>
      <c r="EL18" s="14">
        <f t="shared" si="45"/>
        <v>4.2876308096482552</v>
      </c>
      <c r="EM18" s="22">
        <f t="shared" si="19"/>
        <v>29.206462210639497</v>
      </c>
      <c r="EN18" s="62">
        <f t="shared" si="20"/>
        <v>203.27400941455198</v>
      </c>
      <c r="EO18" s="62">
        <f ca="1">AVERAGE(OFFSET($EN$3,0,0,'Données projet'!$E$15+1,1))-AVERAGE(OFFSET($H$3,0,0,'Données projet'!$E$15+1,1))</f>
        <v>452.74627739105745</v>
      </c>
      <c r="EP18" s="62">
        <f t="shared" si="46"/>
        <v>281.80695725575106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2.84</v>
      </c>
      <c r="FE18" s="13">
        <f>IF('Données projet'!$A$218&gt;35,FE17+FD18-FM17,IF(A18&lt;'Données projet'!$A$218,$FB$205^A18,IF(A18='Données projet'!$A$218,'Données projet'!$B$218,FE17+FD18-FM17)))</f>
        <v>12.904910866172436</v>
      </c>
      <c r="FF18" s="18">
        <f>FE18*VLOOKUP('Données projet'!$B$16,Paramètres!$A$1:$I$89,3,0)*VLOOKUP('Données projet'!$B$16,Paramètres!$A$1:$I$89,5,0)</f>
        <v>13.890846056348009</v>
      </c>
      <c r="FG18" s="14">
        <f t="shared" si="47"/>
        <v>4.7126712253314631</v>
      </c>
      <c r="FH18" s="22">
        <f t="shared" si="22"/>
        <v>32.401125932258417</v>
      </c>
      <c r="FI18" s="62">
        <f t="shared" si="23"/>
        <v>206.46867313617091</v>
      </c>
      <c r="FJ18" s="62">
        <f ca="1">AVERAGE(OFFSET($FI$3,0,0,'Données projet'!$E$16+1,1))-AVERAGE(OFFSET($H$3,0,0,'Données projet'!$E$16+1,1))</f>
        <v>492.72391755143508</v>
      </c>
      <c r="FK18" s="62">
        <f t="shared" si="48"/>
        <v>304.88554179994355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42.47296741924886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143.77000000000001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12.6</v>
      </c>
      <c r="N19" s="14">
        <f>IF('Données projet'!$A$36&gt;35,N18+M19-V18,IF(A19&lt;'Données projet'!$A$36,$K$205^A19,IF(A19='Données projet'!$A$36,'Données projet'!$B$36,N18+M19-V18)))</f>
        <v>129.6</v>
      </c>
      <c r="O19" s="14">
        <f>N19*VLOOKUP('Données projet'!$B$9,Paramètres!$A$1:$I$89,3,0)*VLOOKUP('Données projet'!$B$9,Paramètres!$A$1:$I$89,5,0)</f>
        <v>117.26208</v>
      </c>
      <c r="P19" s="14">
        <f t="shared" si="33"/>
        <v>31.035569170075775</v>
      </c>
      <c r="Q19" s="22">
        <f t="shared" si="2"/>
        <v>258.28507230454863</v>
      </c>
      <c r="R19" s="62">
        <f t="shared" si="0"/>
        <v>435.32579413553606</v>
      </c>
      <c r="S19" s="62">
        <f ca="1">AVERAGE(OFFSET($R$3,0,0,'Données projet'!$E$9+1,1))-AVERAGE(OFFSET($H$3,0,0,'Données projet'!$E$9+1,1))</f>
        <v>388.8309693898596</v>
      </c>
      <c r="T19" s="62">
        <f t="shared" si="34"/>
        <v>549.06702041234382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1.3532496757110142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1.3532496757110142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>
        <f>AI19*VLOOKUP('Données projet'!$B$10,Paramètres!$A$1:$I$89,3,0)*VLOOKUP('Données projet'!$B$10,Paramètres!$A$1:$I$89,5,0)</f>
        <v>92.809600000000017</v>
      </c>
      <c r="AK19" s="14">
        <f t="shared" si="35"/>
        <v>25.241615800824192</v>
      </c>
      <c r="AL19" s="22">
        <f t="shared" si="4"/>
        <v>205.60586751976882</v>
      </c>
      <c r="AM19" s="62">
        <f t="shared" si="5"/>
        <v>382.64658935075624</v>
      </c>
      <c r="AN19" s="62">
        <f ca="1">AVERAGE(OFFSET($AM$3,0,0,'Données projet'!$E$10+1,1))-AVERAGE(OFFSET($H$3,0,0,'Données projet'!$E$10+1,1))</f>
        <v>197.85998851681552</v>
      </c>
      <c r="AO19" s="62">
        <f t="shared" si="36"/>
        <v>474.54844785896239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5.7551367683270263</v>
      </c>
      <c r="AX19" s="23">
        <f t="shared" si="6"/>
        <v>5.7551367683270263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20.8</v>
      </c>
      <c r="BD19" s="13">
        <f>IF('Données projet'!$A$88&gt;35,BD18+BC19-BL18,IF(A19&lt;'Données projet'!$A$88,$BA$205^A19,IF(A19='Données projet'!$A$88,'Données projet'!$B$88,BD18+BC19-BL18)))</f>
        <v>155.20000000000002</v>
      </c>
      <c r="BE19" s="14">
        <f>BD19*VLOOKUP('Données projet'!$B$11,Paramètres!$A$1:$I$89,3,0)*VLOOKUP('Données projet'!$B$11,Paramètres!$A$1:$I$89,5,0)</f>
        <v>92.809600000000017</v>
      </c>
      <c r="BF19" s="14">
        <f t="shared" si="37"/>
        <v>25.241615800824192</v>
      </c>
      <c r="BG19" s="22">
        <f t="shared" si="7"/>
        <v>205.60586751976882</v>
      </c>
      <c r="BH19" s="62">
        <f t="shared" si="8"/>
        <v>382.64658935075624</v>
      </c>
      <c r="BI19" s="62">
        <f ca="1">AVERAGE(OFFSET($BH$3,0,0,'Données projet'!$E$11+1,1))-AVERAGE(OFFSET($H$3,0,0,'Données projet'!$E$11+1,1))</f>
        <v>197.85998851681552</v>
      </c>
      <c r="BJ19" s="62">
        <f t="shared" si="38"/>
        <v>474.54844785896239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5.7551367683270263</v>
      </c>
      <c r="BS19" s="24">
        <f t="shared" si="9"/>
        <v>5.7551367683270263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14.882352941176471</v>
      </c>
      <c r="BY19" s="13">
        <f>IF('Données projet'!$A$114&gt;35,BY18+BX19-CG18,IF(A19&lt;'Données projet'!$A$114,$BV$205^A19,IF(A19='Données projet'!$A$114,'Données projet'!$B$114,BY18+BX19-CG18)))</f>
        <v>182.70923133462352</v>
      </c>
      <c r="BZ19" s="14">
        <f>BY19*VLOOKUP('Données projet'!$B$12,Paramètres!$A$1:$I$89,3,0)*VLOOKUP('Données projet'!$B$12,Paramètres!$A$1:$I$89,5,0)</f>
        <v>102.32447791664256</v>
      </c>
      <c r="CA19" s="14">
        <f t="shared" si="39"/>
        <v>27.515029587997628</v>
      </c>
      <c r="CB19" s="22">
        <f t="shared" si="10"/>
        <v>226.1371422372483</v>
      </c>
      <c r="CC19" s="62">
        <f t="shared" si="11"/>
        <v>403.17786406823569</v>
      </c>
      <c r="CD19" s="62">
        <f ca="1">AVERAGE(OFFSET($CC$3,0,0,'Données projet'!$E$12+1,1))-AVERAGE(OFFSET($H$3,0,0,'Données projet'!$E$12+1,1))</f>
        <v>72.97248599808384</v>
      </c>
      <c r="CE19" s="62">
        <f t="shared" si="40"/>
        <v>346.88163654003574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14.882352941176471</v>
      </c>
      <c r="CT19" s="13">
        <f>IF('Données projet'!$A$140&gt;35,CT18+CS19-DB18,IF(A19&lt;'Données projet'!$A$140,$CQ$205^A19,IF(A19='Données projet'!$A$140,'Données projet'!$B$140,CT18+CS19-DB18)))</f>
        <v>182.70923133462352</v>
      </c>
      <c r="CU19" s="18">
        <f>CT19*VLOOKUP('Données projet'!$B$13,Paramètres!$A$1:$I$89,3,0)*VLOOKUP('Données projet'!$B$13,Paramètres!$A$1:$I$89,5,0)</f>
        <v>92.91860668753614</v>
      </c>
      <c r="CV19" s="14">
        <f t="shared" si="41"/>
        <v>25.267809897490867</v>
      </c>
      <c r="CW19" s="22">
        <f t="shared" si="13"/>
        <v>205.84134221892202</v>
      </c>
      <c r="CX19" s="62">
        <f t="shared" si="14"/>
        <v>382.88206404990945</v>
      </c>
      <c r="CY19" s="62">
        <f ca="1">AVERAGE(OFFSET($CX$3,0,0,'Données projet'!$E$13+1,1))-AVERAGE(OFFSET($H$3,0,0,'Données projet'!$E$13+1,1))</f>
        <v>67.303283896086128</v>
      </c>
      <c r="CZ19" s="62">
        <f t="shared" si="42"/>
        <v>318.97925671653547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17.588235294117649</v>
      </c>
      <c r="DO19" s="13">
        <f>IF('Données projet'!$A$166&gt;35,DO18+DN19-DW18,IF(A19&lt;'Données projet'!$A$166,$DL$205^A19,IF(A19='Données projet'!$A$166,'Données projet'!$B$166,DO18+DN19-DW18)))</f>
        <v>213.81761027676384</v>
      </c>
      <c r="DP19" s="18">
        <f>DO19*VLOOKUP('Données projet'!$B$14,Paramètres!$A$1:$I$89,3,0)*VLOOKUP('Données projet'!$B$14,Paramètres!$A$1:$I$89,5,0)</f>
        <v>107.73841746625577</v>
      </c>
      <c r="DQ19" s="14">
        <f t="shared" si="43"/>
        <v>28.797495561003593</v>
      </c>
      <c r="DR19" s="22">
        <f t="shared" si="16"/>
        <v>237.80004852247671</v>
      </c>
      <c r="DS19" s="62">
        <f t="shared" si="17"/>
        <v>414.84077035346411</v>
      </c>
      <c r="DT19" s="62">
        <f ca="1">AVERAGE(OFFSET($DS$3,0,0,'Données projet'!$E$14+1,1))-AVERAGE(OFFSET($H$3,0,0,'Données projet'!$E$14+1,1))</f>
        <v>75.244137291704476</v>
      </c>
      <c r="DU19" s="62">
        <f t="shared" si="44"/>
        <v>366.065475656937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2.84</v>
      </c>
      <c r="EJ19" s="13">
        <f>IF('Données projet'!$A$192&gt;35,EJ18+EI19-ER18,IF(A19&lt;'Données projet'!$A$192,$EG$205^A19,IF(A19='Données projet'!$A$192,'Données projet'!$B$192,EJ18+EI19-ER18)))</f>
        <v>15.304013607840634</v>
      </c>
      <c r="EK19" s="18">
        <f>EJ19*VLOOKUP('Données projet'!$B$15,Paramètres!$A$1:$I$89,3,0)*VLOOKUP('Données projet'!$B$15,Paramètres!$A$1:$I$89,5,0)</f>
        <v>14.802041961503461</v>
      </c>
      <c r="EL19" s="14">
        <f t="shared" si="45"/>
        <v>4.984805966270196</v>
      </c>
      <c r="EM19" s="22">
        <f t="shared" si="19"/>
        <v>34.462093474205787</v>
      </c>
      <c r="EN19" s="62">
        <f t="shared" si="20"/>
        <v>211.50281530519317</v>
      </c>
      <c r="EO19" s="62">
        <f ca="1">AVERAGE(OFFSET($EN$3,0,0,'Données projet'!$E$15+1,1))-AVERAGE(OFFSET($H$3,0,0,'Données projet'!$E$15+1,1))</f>
        <v>452.74627739105745</v>
      </c>
      <c r="EP19" s="62">
        <f t="shared" si="46"/>
        <v>281.80695725575106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2.84</v>
      </c>
      <c r="FE19" s="13">
        <f>IF('Données projet'!$A$218&gt;35,FE18+FD19-FM18,IF(A19&lt;'Données projet'!$A$218,$FB$205^A19,IF(A19='Données projet'!$A$218,'Données projet'!$B$218,FE18+FD19-FM18)))</f>
        <v>15.304013607840634</v>
      </c>
      <c r="FF19" s="18">
        <f>FE19*VLOOKUP('Données projet'!$B$16,Paramètres!$A$1:$I$89,3,0)*VLOOKUP('Données projet'!$B$16,Paramètres!$A$1:$I$89,5,0)</f>
        <v>16.473240247479655</v>
      </c>
      <c r="FG19" s="14">
        <f t="shared" si="47"/>
        <v>5.4789585866954251</v>
      </c>
      <c r="FH19" s="22">
        <f t="shared" si="22"/>
        <v>38.233412969521595</v>
      </c>
      <c r="FI19" s="62">
        <f t="shared" si="23"/>
        <v>215.27413480050899</v>
      </c>
      <c r="FJ19" s="62">
        <f ca="1">AVERAGE(OFFSET($FI$3,0,0,'Données projet'!$E$16+1,1))-AVERAGE(OFFSET($H$3,0,0,'Données projet'!$E$16+1,1))</f>
        <v>492.72391755143508</v>
      </c>
      <c r="FK19" s="62">
        <f t="shared" si="48"/>
        <v>304.88554179994355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42.950499893299586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143.77000000000001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12.6</v>
      </c>
      <c r="N20" s="14">
        <f>IF('Données projet'!$A$36&gt;35,N19+M20-V19,IF(A20&lt;'Données projet'!$A$36,$K$205^A20,IF(A20='Données projet'!$A$36,'Données projet'!$B$36,N19+M20-V19)))</f>
        <v>142.19999999999999</v>
      </c>
      <c r="O20" s="14">
        <f>N20*VLOOKUP('Données projet'!$B$9,Paramètres!$A$1:$I$89,3,0)*VLOOKUP('Données projet'!$B$9,Paramètres!$A$1:$I$89,5,0)</f>
        <v>128.66255999999998</v>
      </c>
      <c r="P20" s="14">
        <f t="shared" si="33"/>
        <v>33.687130461083775</v>
      </c>
      <c r="Q20" s="22">
        <f t="shared" si="2"/>
        <v>282.75904421972086</v>
      </c>
      <c r="R20" s="62">
        <f t="shared" si="0"/>
        <v>462.74256556810201</v>
      </c>
      <c r="S20" s="62">
        <f ca="1">AVERAGE(OFFSET($R$3,0,0,'Données projet'!$E$9+1,1))-AVERAGE(OFFSET($H$3,0,0,'Données projet'!$E$9+1,1))</f>
        <v>388.8309693898596</v>
      </c>
      <c r="T20" s="62">
        <f t="shared" si="34"/>
        <v>549.06702041234382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1.3267132749711219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1.3267132749711219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>
        <f>AI20*VLOOKUP('Données projet'!$B$10,Paramètres!$A$1:$I$89,3,0)*VLOOKUP('Données projet'!$B$10,Paramètres!$A$1:$I$89,5,0)</f>
        <v>105.24800000000003</v>
      </c>
      <c r="AK20" s="14">
        <f t="shared" si="35"/>
        <v>28.208515027560551</v>
      </c>
      <c r="AL20" s="22">
        <f t="shared" si="4"/>
        <v>232.43676367300134</v>
      </c>
      <c r="AM20" s="62">
        <f t="shared" si="5"/>
        <v>412.42028502138248</v>
      </c>
      <c r="AN20" s="62">
        <f ca="1">AVERAGE(OFFSET($AM$3,0,0,'Données projet'!$E$10+1,1))-AVERAGE(OFFSET($H$3,0,0,'Données projet'!$E$10+1,1))</f>
        <v>197.85998851681552</v>
      </c>
      <c r="AO20" s="62">
        <f t="shared" si="36"/>
        <v>474.54844785896239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>
        <f>IF(ISNA(VLOOKUP(A20,'Données projet'!$A$61:$I$81,5,0)),0%,VLOOKUP(A20,'Données projet'!$A$61:$I$81,5,0)*VLOOKUP('Données projet'!$B$10,Paramètres!$A$1:$I$89,7,0))</f>
        <v>9.0000000000000011E-2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0.8</v>
      </c>
      <c r="AU20" s="23">
        <f>EXP(-LN(2)/35)*AU19+(1-EXP(-LN(2)/35))/(LN(2)/35)*AQ20*AR20*VLOOKUP('Données projet'!$B$10,Paramètres!$A$1:$I$89,3,0)*0.475*44/12</f>
        <v>3.0700150566455107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27.360873274416509</v>
      </c>
      <c r="AX20" s="23">
        <f t="shared" si="6"/>
        <v>30.430888331062018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>
        <f>VLOOKUP(A20,'Données projet'!$A$87:$I$107,2,0)</f>
        <v>176</v>
      </c>
      <c r="BB20" s="13">
        <f>VLOOKUP(A20,'Données projet'!$A$87:$I$107,9,0)</f>
        <v>20.8</v>
      </c>
      <c r="BC20" s="13">
        <f t="array" ref="BC20">INDEX(BB:BB,MIN(IF(ISNUMBER(BB20:BB216),ROW(BB20:BB216),"")))</f>
        <v>20.8</v>
      </c>
      <c r="BD20" s="13">
        <f>IF('Données projet'!$A$88&gt;35,BD19+BC20-BL19,IF(A20&lt;'Données projet'!$A$88,$BA$205^A20,IF(A20='Données projet'!$A$88,'Données projet'!$B$88,BD19+BC20-BL19)))</f>
        <v>176.00000000000003</v>
      </c>
      <c r="BE20" s="14">
        <f>BD20*VLOOKUP('Données projet'!$B$11,Paramètres!$A$1:$I$89,3,0)*VLOOKUP('Données projet'!$B$11,Paramètres!$A$1:$I$89,5,0)</f>
        <v>105.24800000000003</v>
      </c>
      <c r="BF20" s="14">
        <f t="shared" si="37"/>
        <v>28.208515027560551</v>
      </c>
      <c r="BG20" s="22">
        <f t="shared" si="7"/>
        <v>232.43676367300134</v>
      </c>
      <c r="BH20" s="62">
        <f t="shared" si="8"/>
        <v>412.42028502138248</v>
      </c>
      <c r="BI20" s="62">
        <f ca="1">AVERAGE(OFFSET($BH$3,0,0,'Données projet'!$E$11+1,1))-AVERAGE(OFFSET($H$3,0,0,'Données projet'!$E$11+1,1))</f>
        <v>197.85998851681552</v>
      </c>
      <c r="BJ20" s="62">
        <f t="shared" si="38"/>
        <v>474.54844785896239</v>
      </c>
      <c r="BK20" s="16">
        <f>IF(ISNA(VLOOKUP(A20,'Données projet'!$A$87:$I$107,3,0)),0,VLOOKUP(A20,'Données projet'!$A$87:$I$107,3,0))</f>
        <v>2</v>
      </c>
      <c r="BL20" s="16">
        <f>IF(ISNA(VLOOKUP(A20,'Données projet'!$A$87:$I$107,4,0)),0,VLOOKUP(A20,'Données projet'!$A$87:$I$107,4,0))</f>
        <v>43</v>
      </c>
      <c r="BM20" s="17">
        <f>IF(ISNA(VLOOKUP(A20,'Données projet'!$A$87:$I$107,5,0)),0%,VLOOKUP(A20,'Données projet'!$A$87:$I$107,5,0)*VLOOKUP('Données projet'!$B$11,Paramètres!$A$1:$I$89,7,0))</f>
        <v>9.0000000000000011E-2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0.8</v>
      </c>
      <c r="BP20" s="23">
        <f>EXP(-LN(2)/35)*BP19+(1-EXP(-LN(2)/35))/(LN(2)/35)*BL20*BM20*VLOOKUP('Données projet'!$B$11,Paramètres!$A$1:$I$89,3,0)*0.475*44/12</f>
        <v>3.0700150566455107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27.360873274416509</v>
      </c>
      <c r="BS20" s="24">
        <f t="shared" si="9"/>
        <v>30.430888331062018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>
        <f>VLOOKUP(A20,'Données projet'!$A$113:$I$133,2,0)</f>
        <v>253</v>
      </c>
      <c r="BW20" s="13">
        <f>VLOOKUP(A20,'Données projet'!$A$113:$I$133,9,0)</f>
        <v>14.882352941176471</v>
      </c>
      <c r="BX20" s="13">
        <f t="array" ref="BX20">INDEX(BW:BW,MIN(IF(ISNUMBER(BW20:BW216),ROW(BW20:BW216),"")))</f>
        <v>14.882352941176471</v>
      </c>
      <c r="BY20" s="13">
        <f>IF('Données projet'!$A$114&gt;35,BY19+BX20-CG19,IF(A20&lt;'Données projet'!$A$114,$BV$205^A20,IF(A20='Données projet'!$A$114,'Données projet'!$B$114,BY19+BX20-CG19)))</f>
        <v>253</v>
      </c>
      <c r="BZ20" s="14">
        <f>BY20*VLOOKUP('Données projet'!$B$12,Paramètres!$A$1:$I$89,3,0)*VLOOKUP('Données projet'!$B$12,Paramètres!$A$1:$I$89,5,0)</f>
        <v>141.69012000000001</v>
      </c>
      <c r="CA20" s="14">
        <f t="shared" si="39"/>
        <v>36.683917430615089</v>
      </c>
      <c r="CB20" s="22">
        <f t="shared" si="10"/>
        <v>310.66811519165458</v>
      </c>
      <c r="CC20" s="62">
        <f t="shared" si="11"/>
        <v>490.65163654003572</v>
      </c>
      <c r="CD20" s="62">
        <f ca="1">AVERAGE(OFFSET($CC$3,0,0,'Données projet'!$E$12+1,1))-AVERAGE(OFFSET($H$3,0,0,'Données projet'!$E$12+1,1))</f>
        <v>72.97248599808384</v>
      </c>
      <c r="CE20" s="62">
        <f t="shared" si="40"/>
        <v>346.88163654003574</v>
      </c>
      <c r="CF20" s="16">
        <f>IF(ISNA(VLOOKUP(A20,'Données projet'!$A$113:$I$133,3,0)),0,VLOOKUP(A20,'Données projet'!$A$113:$I$133,3,0))</f>
        <v>1</v>
      </c>
      <c r="CG20" s="16">
        <f>IF(ISNA(VLOOKUP(A20,'Données projet'!$A$113:$I$133,4,0)),0,VLOOKUP(A20,'Données projet'!$A$113:$I$133,4,0))</f>
        <v>253</v>
      </c>
      <c r="CH20" s="17">
        <f>IF(ISNA(VLOOKUP(A20,'Données projet'!$A$113:$I$133,5,0)),0%,VLOOKUP(A20,'Données projet'!$A$113:$I$133,5,0)*VLOOKUP('Données projet'!$B$12,Paramètres!$A$1:$I$89,7,0))</f>
        <v>0.48</v>
      </c>
      <c r="CI20" s="17">
        <f>IF(ISNA(VLOOKUP(A20,'Données projet'!$A$113:$I$133,6,0)),0%,VLOOKUP(A20,'Données projet'!$A$113:$I$133,6,0)*VLOOKUP('Données projet'!$B$12,Paramètres!$A$1:$I$89,7,0))</f>
        <v>0.12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75.184430751585239</v>
      </c>
      <c r="CL20" s="23">
        <f>EXP(-LN(2)/25)*CL19+(1-EXP(-LN(2)/25))/(LN(2)/25)*Calculateur!CG20*Calculateur!CI20*VLOOKUP('Données projet'!$B$12,Paramètres!$A$1:$I$89,3,0)*0.475*44/12</f>
        <v>18.722100250050552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93.906531001635784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>
        <f>VLOOKUP(A20,'Données projet'!$A$139:$I$159,2,0)</f>
        <v>253</v>
      </c>
      <c r="CR20" s="13">
        <f>VLOOKUP(A20,'Données projet'!$A$139:$I$159,9,0)</f>
        <v>14.882352941176471</v>
      </c>
      <c r="CS20" s="13">
        <f t="array" ref="CS20">INDEX(CR:CR,MIN(IF(ISNUMBER(CR20:CR216),ROW(CR20:CR216),"")))</f>
        <v>14.882352941176471</v>
      </c>
      <c r="CT20" s="13">
        <f>IF('Données projet'!$A$140&gt;35,CT19+CS20-DB19,IF(A20&lt;'Données projet'!$A$140,$CQ$205^A20,IF(A20='Données projet'!$A$140,'Données projet'!$B$140,CT19+CS20-DB19)))</f>
        <v>253</v>
      </c>
      <c r="CU20" s="18">
        <f>CT20*VLOOKUP('Données projet'!$B$13,Paramètres!$A$1:$I$89,3,0)*VLOOKUP('Données projet'!$B$13,Paramètres!$A$1:$I$89,5,0)</f>
        <v>128.66568000000001</v>
      </c>
      <c r="CV20" s="14">
        <f t="shared" si="41"/>
        <v>33.687852268796711</v>
      </c>
      <c r="CW20" s="22">
        <f t="shared" si="13"/>
        <v>282.76573536815431</v>
      </c>
      <c r="CX20" s="62">
        <f t="shared" si="14"/>
        <v>462.74925671653546</v>
      </c>
      <c r="CY20" s="62">
        <f ca="1">AVERAGE(OFFSET($CX$3,0,0,'Données projet'!$E$13+1,1))-AVERAGE(OFFSET($H$3,0,0,'Données projet'!$E$13+1,1))</f>
        <v>67.303283896086128</v>
      </c>
      <c r="CZ20" s="62">
        <f t="shared" si="42"/>
        <v>318.97925671653547</v>
      </c>
      <c r="DA20" s="16">
        <f>IF(ISNA(VLOOKUP(A20,'Données projet'!$A$139:$I$159,3,0)),0,VLOOKUP(A20,'Données projet'!$A$139:$I$159,3,0))</f>
        <v>1</v>
      </c>
      <c r="DB20" s="16">
        <f>IF(ISNA(VLOOKUP(A20,'Données projet'!$A$139:$I$159,4,0)),0,VLOOKUP(A20,'Données projet'!$A$139:$I$159,4,0))</f>
        <v>253</v>
      </c>
      <c r="DC20" s="17">
        <f>IF(ISNA(VLOOKUP(A20,'Données projet'!$A$139:$I$159,5,0)),0%,VLOOKUP(A20,'Données projet'!$A$139:$I$159,5,0)*VLOOKUP('Données projet'!$B$13,Paramètres!$A$1:$I$89,7,0))</f>
        <v>0.48</v>
      </c>
      <c r="DD20" s="17">
        <f>IF(ISNA(VLOOKUP(A20,'Données projet'!$A$139:$I$159,6,0)),0%,VLOOKUP(A20,'Données projet'!$A$139:$I$159,6,0)*VLOOKUP('Données projet'!$B$13,Paramètres!$A$1:$I$89,7,0))</f>
        <v>0.12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68.273327089183255</v>
      </c>
      <c r="DG20" s="23">
        <f>EXP(-LN(2)/25)*DG19+(1-EXP(-LN(2)/25))/(LN(2)/25)*Calculateur!DB20*Calculateur!DD20*VLOOKUP('Données projet'!$B$13,Paramètres!$A$1:$I$89,3,0)*0.475*44/12</f>
        <v>17.00112724656401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85.274454335747265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>
        <f>VLOOKUP(A20,'Données projet'!$A$165:$I$185,2,0)</f>
        <v>299</v>
      </c>
      <c r="DM20" s="13">
        <f>VLOOKUP(A20,'Données projet'!$A$165:$I$185,9,0)</f>
        <v>17.588235294117649</v>
      </c>
      <c r="DN20" s="13">
        <f t="array" ref="DN20">INDEX(DM:DM,MIN(IF(ISNUMBER(DM20:DM216),ROW(DM20:DM216),"")))</f>
        <v>17.588235294117649</v>
      </c>
      <c r="DO20" s="13">
        <f>IF('Données projet'!$A$166&gt;35,DO19+DN20-DW19,IF(A20&lt;'Données projet'!$A$166,$DL$205^A20,IF(A20='Données projet'!$A$166,'Données projet'!$B$166,DO19+DN20-DW19)))</f>
        <v>299</v>
      </c>
      <c r="DP20" s="18">
        <f>DO20*VLOOKUP('Données projet'!$B$14,Paramètres!$A$1:$I$89,3,0)*VLOOKUP('Données projet'!$B$14,Paramètres!$A$1:$I$89,5,0)</f>
        <v>150.66012000000001</v>
      </c>
      <c r="DQ20" s="14">
        <f t="shared" si="43"/>
        <v>38.728561899649279</v>
      </c>
      <c r="DR20" s="22">
        <f t="shared" si="16"/>
        <v>329.85195430855583</v>
      </c>
      <c r="DS20" s="62">
        <f t="shared" si="17"/>
        <v>509.83547565693698</v>
      </c>
      <c r="DT20" s="62">
        <f ca="1">AVERAGE(OFFSET($DS$3,0,0,'Données projet'!$E$14+1,1))-AVERAGE(OFFSET($H$3,0,0,'Données projet'!$E$14+1,1))</f>
        <v>75.244137291704476</v>
      </c>
      <c r="DU20" s="62">
        <f t="shared" si="44"/>
        <v>366.065475656937</v>
      </c>
      <c r="DV20" s="16">
        <f>IF(ISNA(VLOOKUP(A20,'Données projet'!$A$165:$I$185,3,0)),0,VLOOKUP(A20,'Données projet'!$A$165:$I$185,3,0))</f>
        <v>1</v>
      </c>
      <c r="DW20" s="16">
        <f>IF(ISNA(VLOOKUP(A20,'Données projet'!$A$165:$I$185,4,0)),0,VLOOKUP(A20,'Données projet'!$A$165:$I$185,4,0))</f>
        <v>299</v>
      </c>
      <c r="DX20" s="17">
        <f>IF(ISNA(VLOOKUP(A20,'Données projet'!$A$165:$I$185,5,0)),0%,VLOOKUP(A20,'Données projet'!$A$165:$I$185,5,0)*VLOOKUP('Données projet'!$B$14,Paramètres!$A$1:$I$89,7,0))</f>
        <v>0.48</v>
      </c>
      <c r="DY20" s="17">
        <f>IF(ISNA(VLOOKUP(A20,'Données projet'!$A$165:$I$185,6,0)),0%,VLOOKUP(A20,'Données projet'!$A$165:$I$185,6,0)*VLOOKUP('Données projet'!$B$14,Paramètres!$A$1:$I$89,7,0))</f>
        <v>0.12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79.9441440177023</v>
      </c>
      <c r="EB20" s="23">
        <f>EXP(-LN(2)/25)*EB19+(1-EXP(-LN(2)/25))/(LN(2)/25)*Calculateur!DW20*Calculateur!DY20*VLOOKUP('Données projet'!$B$14,Paramètres!$A$1:$I$89,3,0)*0.475*44/12</f>
        <v>19.907343365399409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99.851487383101713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2.84</v>
      </c>
      <c r="EJ20" s="13">
        <f>IF('Données projet'!$A$192&gt;35,EJ19+EI20-ER19,IF(A20&lt;'Données projet'!$A$192,$EG$205^A20,IF(A20='Données projet'!$A$192,'Données projet'!$B$192,EJ19+EI20-ER19)))</f>
        <v>18.149124386663679</v>
      </c>
      <c r="EK20" s="18">
        <f>EJ20*VLOOKUP('Données projet'!$B$15,Paramètres!$A$1:$I$89,3,0)*VLOOKUP('Données projet'!$B$15,Paramètres!$A$1:$I$89,5,0)</f>
        <v>17.553833106781113</v>
      </c>
      <c r="EL20" s="14">
        <f t="shared" si="45"/>
        <v>5.7953428418902124</v>
      </c>
      <c r="EM20" s="22">
        <f t="shared" si="19"/>
        <v>40.666481443935886</v>
      </c>
      <c r="EN20" s="62">
        <f t="shared" si="20"/>
        <v>220.65000279231705</v>
      </c>
      <c r="EO20" s="62">
        <f ca="1">AVERAGE(OFFSET($EN$3,0,0,'Données projet'!$E$15+1,1))-AVERAGE(OFFSET($H$3,0,0,'Données projet'!$E$15+1,1))</f>
        <v>452.74627739105745</v>
      </c>
      <c r="EP20" s="62">
        <f t="shared" si="46"/>
        <v>281.80695725575106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2.84</v>
      </c>
      <c r="FE20" s="13">
        <f>IF('Données projet'!$A$218&gt;35,FE19+FD20-FM19,IF(A20&lt;'Données projet'!$A$218,$FB$205^A20,IF(A20='Données projet'!$A$218,'Données projet'!$B$218,FE19+FD20-FM19)))</f>
        <v>18.149124386663679</v>
      </c>
      <c r="FF20" s="18">
        <f>FE20*VLOOKUP('Données projet'!$B$16,Paramètres!$A$1:$I$89,3,0)*VLOOKUP('Données projet'!$B$16,Paramètres!$A$1:$I$89,5,0)</f>
        <v>19.535717489804782</v>
      </c>
      <c r="FG20" s="14">
        <f t="shared" si="47"/>
        <v>6.3698454144999568</v>
      </c>
      <c r="FH20" s="22">
        <f t="shared" si="22"/>
        <v>45.118855391664084</v>
      </c>
      <c r="FI20" s="62">
        <f t="shared" si="23"/>
        <v>225.10237674004526</v>
      </c>
      <c r="FJ20" s="62">
        <f ca="1">AVERAGE(OFFSET($FI$3,0,0,'Données projet'!$E$16+1,1))-AVERAGE(OFFSET($H$3,0,0,'Données projet'!$E$16+1,1))</f>
        <v>492.72391755143508</v>
      </c>
      <c r="FK20" s="62">
        <f t="shared" si="48"/>
        <v>304.88554179994355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43.419748246528201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143.77000000000001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12.6</v>
      </c>
      <c r="N21" s="14">
        <f>IF('Données projet'!$A$36&gt;35,N20+M21-V20,IF(A21&lt;'Données projet'!$A$36,$K$205^A21,IF(A21='Données projet'!$A$36,'Données projet'!$B$36,N20+M21-V20)))</f>
        <v>154.79999999999998</v>
      </c>
      <c r="O21" s="14">
        <f>N21*VLOOKUP('Données projet'!$B$9,Paramètres!$A$1:$I$89,3,0)*VLOOKUP('Données projet'!$B$9,Paramètres!$A$1:$I$89,5,0)</f>
        <v>140.06303999999997</v>
      </c>
      <c r="P21" s="14">
        <f t="shared" si="33"/>
        <v>36.31144669536954</v>
      </c>
      <c r="Q21" s="22">
        <f t="shared" si="2"/>
        <v>307.18556432776853</v>
      </c>
      <c r="R21" s="62">
        <f t="shared" si="0"/>
        <v>490.08203702410685</v>
      </c>
      <c r="S21" s="62">
        <f ca="1">AVERAGE(OFFSET($R$3,0,0,'Données projet'!$E$9+1,1))-AVERAGE(OFFSET($H$3,0,0,'Données projet'!$E$9+1,1))</f>
        <v>388.8309693898596</v>
      </c>
      <c r="T21" s="62">
        <f t="shared" si="34"/>
        <v>549.06702041234382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1.3006972368641325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1.3006972368641325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>
        <f>AI21*VLOOKUP('Données projet'!$B$10,Paramètres!$A$1:$I$89,3,0)*VLOOKUP('Données projet'!$B$10,Paramètres!$A$1:$I$89,5,0)</f>
        <v>91.374400000000037</v>
      </c>
      <c r="AK21" s="14">
        <f t="shared" si="35"/>
        <v>24.89640423383166</v>
      </c>
      <c r="AL21" s="22">
        <f t="shared" si="4"/>
        <v>202.50498404059022</v>
      </c>
      <c r="AM21" s="62">
        <f t="shared" si="5"/>
        <v>385.40145673692859</v>
      </c>
      <c r="AN21" s="62">
        <f ca="1">AVERAGE(OFFSET($AM$3,0,0,'Données projet'!$E$10+1,1))-AVERAGE(OFFSET($H$3,0,0,'Données projet'!$E$10+1,1))</f>
        <v>197.85998851681552</v>
      </c>
      <c r="AO21" s="62">
        <f t="shared" si="36"/>
        <v>474.54844785896239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3.0098139339089802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19.347059031525692</v>
      </c>
      <c r="AX21" s="23">
        <f t="shared" si="6"/>
        <v>22.356872965434672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19.8</v>
      </c>
      <c r="BD21" s="13">
        <f>IF('Données projet'!$A$88&gt;35,BD20+BC21-BL20,IF(A21&lt;'Données projet'!$A$88,$BA$205^A21,IF(A21='Données projet'!$A$88,'Données projet'!$B$88,BD20+BC21-BL20)))</f>
        <v>152.80000000000004</v>
      </c>
      <c r="BE21" s="14">
        <f>BD21*VLOOKUP('Données projet'!$B$11,Paramètres!$A$1:$I$89,3,0)*VLOOKUP('Données projet'!$B$11,Paramètres!$A$1:$I$89,5,0)</f>
        <v>91.374400000000037</v>
      </c>
      <c r="BF21" s="14">
        <f t="shared" si="37"/>
        <v>24.89640423383166</v>
      </c>
      <c r="BG21" s="22">
        <f t="shared" si="7"/>
        <v>202.50498404059022</v>
      </c>
      <c r="BH21" s="62">
        <f t="shared" si="8"/>
        <v>385.40145673692859</v>
      </c>
      <c r="BI21" s="62">
        <f ca="1">AVERAGE(OFFSET($BH$3,0,0,'Données projet'!$E$11+1,1))-AVERAGE(OFFSET($H$3,0,0,'Données projet'!$E$11+1,1))</f>
        <v>197.85998851681552</v>
      </c>
      <c r="BJ21" s="62">
        <f t="shared" si="38"/>
        <v>474.54844785896239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3.0098139339089802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19.347059031525692</v>
      </c>
      <c r="BS21" s="24">
        <f t="shared" si="9"/>
        <v>22.356872965434672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>
        <f>BY21*VLOOKUP('Données projet'!$B$12,Paramètres!$A$1:$I$89,3,0)*VLOOKUP('Données projet'!$B$12,Paramètres!$A$1:$I$89,5,0)</f>
        <v>0</v>
      </c>
      <c r="CA21" s="14" t="e">
        <f t="shared" si="39"/>
        <v>#NUM!</v>
      </c>
      <c r="CB21" s="22" t="e">
        <f t="shared" si="10"/>
        <v>#NUM!</v>
      </c>
      <c r="CC21" s="62" t="e">
        <f t="shared" si="11"/>
        <v>#NUM!</v>
      </c>
      <c r="CD21" s="62">
        <f ca="1">AVERAGE(OFFSET($CC$3,0,0,'Données projet'!$E$12+1,1))-AVERAGE(OFFSET($H$3,0,0,'Données projet'!$E$12+1,1))</f>
        <v>72.97248599808384</v>
      </c>
      <c r="CE21" s="62">
        <f t="shared" si="40"/>
        <v>346.88163654003574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73.710109922521312</v>
      </c>
      <c r="CL21" s="23">
        <f>EXP(-LN(2)/25)*CL20+(1-EXP(-LN(2)/25))/(LN(2)/25)*Calculateur!CG21*Calculateur!CI21*VLOOKUP('Données projet'!$B$12,Paramètres!$A$1:$I$89,3,0)*0.475*44/12</f>
        <v>18.210143434160457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91.920253356681769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>
        <f>CT21*VLOOKUP('Données projet'!$B$13,Paramètres!$A$1:$I$89,3,0)*VLOOKUP('Données projet'!$B$13,Paramètres!$A$1:$I$89,5,0)</f>
        <v>0</v>
      </c>
      <c r="CV21" s="14" t="e">
        <f t="shared" si="41"/>
        <v>#NUM!</v>
      </c>
      <c r="CW21" s="22" t="e">
        <f t="shared" si="13"/>
        <v>#NUM!</v>
      </c>
      <c r="CX21" s="62" t="e">
        <f t="shared" si="14"/>
        <v>#NUM!</v>
      </c>
      <c r="CY21" s="62">
        <f ca="1">AVERAGE(OFFSET($CX$3,0,0,'Données projet'!$E$13+1,1))-AVERAGE(OFFSET($H$3,0,0,'Données projet'!$E$13+1,1))</f>
        <v>67.303283896086128</v>
      </c>
      <c r="CZ21" s="62">
        <f t="shared" si="42"/>
        <v>318.97925671653547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66.934528787582025</v>
      </c>
      <c r="DG21" s="23">
        <f>EXP(-LN(2)/25)*DG20+(1-EXP(-LN(2)/25))/(LN(2)/25)*Calculateur!DB21*Calculateur!DD21*VLOOKUP('Données projet'!$B$13,Paramètres!$A$1:$I$89,3,0)*0.475*44/12</f>
        <v>16.536230527956292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83.470759315538317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>
        <f>DO21*VLOOKUP('Données projet'!$B$14,Paramètres!$A$1:$I$89,3,0)*VLOOKUP('Données projet'!$B$14,Paramètres!$A$1:$I$89,5,0)</f>
        <v>0</v>
      </c>
      <c r="DQ21" s="14" t="e">
        <f t="shared" si="43"/>
        <v>#NUM!</v>
      </c>
      <c r="DR21" s="22" t="e">
        <f t="shared" si="16"/>
        <v>#NUM!</v>
      </c>
      <c r="DS21" s="62" t="e">
        <f t="shared" si="17"/>
        <v>#NUM!</v>
      </c>
      <c r="DT21" s="62">
        <f ca="1">AVERAGE(OFFSET($DS$3,0,0,'Données projet'!$E$14+1,1))-AVERAGE(OFFSET($H$3,0,0,'Données projet'!$E$14+1,1))</f>
        <v>75.244137291704476</v>
      </c>
      <c r="DU21" s="62">
        <f t="shared" si="44"/>
        <v>366.065475656937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78.376488114628245</v>
      </c>
      <c r="EB21" s="23">
        <f>EXP(-LN(2)/25)*EB20+(1-EXP(-LN(2)/25))/(LN(2)/25)*Calculateur!DW21*Calculateur!DY21*VLOOKUP('Données projet'!$B$14,Paramètres!$A$1:$I$89,3,0)*0.475*44/12</f>
        <v>19.362976014190874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97.739464128819122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2.84</v>
      </c>
      <c r="EJ21" s="13">
        <f>IF('Données projet'!$A$192&gt;35,EJ20+EI21-ER20,IF(A21&lt;'Données projet'!$A$192,$EG$205^A21,IF(A21='Données projet'!$A$192,'Données projet'!$B$192,EJ20+EI21-ER20)))</f>
        <v>21.523158855127722</v>
      </c>
      <c r="EK21" s="18">
        <f>EJ21*VLOOKUP('Données projet'!$B$15,Paramètres!$A$1:$I$89,3,0)*VLOOKUP('Données projet'!$B$15,Paramètres!$A$1:$I$89,5,0)</f>
        <v>20.817199244679532</v>
      </c>
      <c r="EL21" s="14">
        <f t="shared" si="45"/>
        <v>6.7376742208841316</v>
      </c>
      <c r="EM21" s="22">
        <f t="shared" si="19"/>
        <v>47.991404619190043</v>
      </c>
      <c r="EN21" s="62">
        <f t="shared" si="20"/>
        <v>230.88787731552839</v>
      </c>
      <c r="EO21" s="62">
        <f ca="1">AVERAGE(OFFSET($EN$3,0,0,'Données projet'!$E$15+1,1))-AVERAGE(OFFSET($H$3,0,0,'Données projet'!$E$15+1,1))</f>
        <v>452.74627739105745</v>
      </c>
      <c r="EP21" s="62">
        <f t="shared" si="46"/>
        <v>281.80695725575106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2.84</v>
      </c>
      <c r="FE21" s="13">
        <f>IF('Données projet'!$A$218&gt;35,FE20+FD21-FM20,IF(A21&lt;'Données projet'!$A$218,$FB$205^A21,IF(A21='Données projet'!$A$218,'Données projet'!$B$218,FE20+FD21-FM20)))</f>
        <v>21.523158855127722</v>
      </c>
      <c r="FF21" s="18">
        <f>FE21*VLOOKUP('Données projet'!$B$16,Paramètres!$A$1:$I$89,3,0)*VLOOKUP('Données projet'!$B$16,Paramètres!$A$1:$I$89,5,0)</f>
        <v>23.167528191659478</v>
      </c>
      <c r="FG21" s="14">
        <f t="shared" si="47"/>
        <v>7.4055917675951024</v>
      </c>
      <c r="FH21" s="22">
        <f t="shared" si="22"/>
        <v>53.248183929035058</v>
      </c>
      <c r="FI21" s="62">
        <f t="shared" si="23"/>
        <v>236.14465662537341</v>
      </c>
      <c r="FJ21" s="62">
        <f ca="1">AVERAGE(OFFSET($FI$3,0,0,'Données projet'!$E$16+1,1))-AVERAGE(OFFSET($H$3,0,0,'Données projet'!$E$16+1,1))</f>
        <v>492.72391755143508</v>
      </c>
      <c r="FK21" s="62">
        <f t="shared" si="48"/>
        <v>304.88554179994355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43.88085618991046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143.77000000000001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12.6</v>
      </c>
      <c r="N22" s="14">
        <f>IF('Données projet'!$A$36&gt;35,N21+M22-V21,IF(A22&lt;'Données projet'!$A$36,$K$205^A22,IF(A22='Données projet'!$A$36,'Données projet'!$B$36,N21+M22-V21)))</f>
        <v>167.39999999999998</v>
      </c>
      <c r="O22" s="14">
        <f>N22*VLOOKUP('Données projet'!$B$9,Paramètres!$A$1:$I$89,3,0)*VLOOKUP('Données projet'!$B$9,Paramètres!$A$1:$I$89,5,0)</f>
        <v>151.46351999999999</v>
      </c>
      <c r="P22" s="14">
        <f t="shared" si="33"/>
        <v>38.910987614777085</v>
      </c>
      <c r="Q22" s="22">
        <f t="shared" si="2"/>
        <v>331.56893409573678</v>
      </c>
      <c r="R22" s="62">
        <f t="shared" si="0"/>
        <v>517.34902776960485</v>
      </c>
      <c r="S22" s="62">
        <f ca="1">AVERAGE(OFFSET($R$3,0,0,'Données projet'!$E$9+1,1))-AVERAGE(OFFSET($H$3,0,0,'Données projet'!$E$9+1,1))</f>
        <v>388.8309693898596</v>
      </c>
      <c r="T22" s="62">
        <f t="shared" si="34"/>
        <v>549.06702041234382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1.2751913573962048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1.2751913573962048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>
        <f>AI22*VLOOKUP('Données projet'!$B$10,Paramètres!$A$1:$I$89,3,0)*VLOOKUP('Données projet'!$B$10,Paramètres!$A$1:$I$89,5,0)</f>
        <v>103.21480000000004</v>
      </c>
      <c r="AK22" s="14">
        <f t="shared" si="35"/>
        <v>27.726463199430338</v>
      </c>
      <c r="AL22" s="22">
        <f t="shared" si="4"/>
        <v>228.05603340567458</v>
      </c>
      <c r="AM22" s="62">
        <f t="shared" si="5"/>
        <v>413.83612707954262</v>
      </c>
      <c r="AN22" s="62">
        <f ca="1">AVERAGE(OFFSET($AM$3,0,0,'Données projet'!$E$10+1,1))-AVERAGE(OFFSET($H$3,0,0,'Données projet'!$E$10+1,1))</f>
        <v>197.85998851681552</v>
      </c>
      <c r="AO22" s="62">
        <f t="shared" si="36"/>
        <v>474.54844785896239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2.9507933184702542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13.680436637208256</v>
      </c>
      <c r="AX22" s="23">
        <f t="shared" si="6"/>
        <v>16.63122995567851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19.8</v>
      </c>
      <c r="BD22" s="13">
        <f>IF('Données projet'!$A$88&gt;35,BD21+BC22-BL21,IF(A22&lt;'Données projet'!$A$88,$BA$205^A22,IF(A22='Données projet'!$A$88,'Données projet'!$B$88,BD21+BC22-BL21)))</f>
        <v>172.60000000000005</v>
      </c>
      <c r="BE22" s="14">
        <f>BD22*VLOOKUP('Données projet'!$B$11,Paramètres!$A$1:$I$89,3,0)*VLOOKUP('Données projet'!$B$11,Paramètres!$A$1:$I$89,5,0)</f>
        <v>103.21480000000004</v>
      </c>
      <c r="BF22" s="14">
        <f t="shared" si="37"/>
        <v>27.726463199430338</v>
      </c>
      <c r="BG22" s="22">
        <f t="shared" si="7"/>
        <v>228.05603340567458</v>
      </c>
      <c r="BH22" s="62">
        <f t="shared" si="8"/>
        <v>413.83612707954262</v>
      </c>
      <c r="BI22" s="62">
        <f ca="1">AVERAGE(OFFSET($BH$3,0,0,'Données projet'!$E$11+1,1))-AVERAGE(OFFSET($H$3,0,0,'Données projet'!$E$11+1,1))</f>
        <v>197.85998851681552</v>
      </c>
      <c r="BJ22" s="62">
        <f t="shared" si="38"/>
        <v>474.54844785896239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2.9507933184702542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13.680436637208256</v>
      </c>
      <c r="BS22" s="24">
        <f t="shared" si="9"/>
        <v>16.63122995567851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>
        <f>BY22*VLOOKUP('Données projet'!$B$12,Paramètres!$A$1:$I$89,3,0)*VLOOKUP('Données projet'!$B$12,Paramètres!$A$1:$I$89,5,0)</f>
        <v>0</v>
      </c>
      <c r="CA22" s="14" t="e">
        <f t="shared" si="39"/>
        <v>#NUM!</v>
      </c>
      <c r="CB22" s="22" t="e">
        <f t="shared" si="10"/>
        <v>#NUM!</v>
      </c>
      <c r="CC22" s="62" t="e">
        <f t="shared" si="11"/>
        <v>#NUM!</v>
      </c>
      <c r="CD22" s="62">
        <f ca="1">AVERAGE(OFFSET($CC$3,0,0,'Données projet'!$E$12+1,1))-AVERAGE(OFFSET($H$3,0,0,'Données projet'!$E$12+1,1))</f>
        <v>72.97248599808384</v>
      </c>
      <c r="CE22" s="62">
        <f t="shared" si="40"/>
        <v>346.88163654003574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72.264699625668413</v>
      </c>
      <c r="CL22" s="23">
        <f>EXP(-LN(2)/25)*CL21+(1-EXP(-LN(2)/25))/(LN(2)/25)*Calculateur!CG22*Calculateur!CI22*VLOOKUP('Données projet'!$B$12,Paramètres!$A$1:$I$89,3,0)*0.475*44/12</f>
        <v>17.712186104323518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89.976885729991935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>
        <f>CT22*VLOOKUP('Données projet'!$B$13,Paramètres!$A$1:$I$89,3,0)*VLOOKUP('Données projet'!$B$13,Paramètres!$A$1:$I$89,5,0)</f>
        <v>0</v>
      </c>
      <c r="CV22" s="14" t="e">
        <f t="shared" si="41"/>
        <v>#NUM!</v>
      </c>
      <c r="CW22" s="22" t="e">
        <f t="shared" si="13"/>
        <v>#NUM!</v>
      </c>
      <c r="CX22" s="62" t="e">
        <f t="shared" si="14"/>
        <v>#NUM!</v>
      </c>
      <c r="CY22" s="62">
        <f ca="1">AVERAGE(OFFSET($CX$3,0,0,'Données projet'!$E$13+1,1))-AVERAGE(OFFSET($H$3,0,0,'Données projet'!$E$13+1,1))</f>
        <v>67.303283896086128</v>
      </c>
      <c r="CZ22" s="62">
        <f t="shared" si="42"/>
        <v>318.97925671653547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65.62198350408886</v>
      </c>
      <c r="DG22" s="23">
        <f>EXP(-LN(2)/25)*DG21+(1-EXP(-LN(2)/25))/(LN(2)/25)*Calculateur!DB22*Calculateur!DD22*VLOOKUP('Données projet'!$B$13,Paramètres!$A$1:$I$89,3,0)*0.475*44/12</f>
        <v>16.084046434566758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81.706029938655618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>
        <f>DO22*VLOOKUP('Données projet'!$B$14,Paramètres!$A$1:$I$89,3,0)*VLOOKUP('Données projet'!$B$14,Paramètres!$A$1:$I$89,5,0)</f>
        <v>0</v>
      </c>
      <c r="DQ22" s="14" t="e">
        <f t="shared" si="43"/>
        <v>#NUM!</v>
      </c>
      <c r="DR22" s="22" t="e">
        <f t="shared" si="16"/>
        <v>#NUM!</v>
      </c>
      <c r="DS22" s="62" t="e">
        <f t="shared" si="17"/>
        <v>#NUM!</v>
      </c>
      <c r="DT22" s="62">
        <f ca="1">AVERAGE(OFFSET($DS$3,0,0,'Données projet'!$E$14+1,1))-AVERAGE(OFFSET($H$3,0,0,'Données projet'!$E$14+1,1))</f>
        <v>75.244137291704476</v>
      </c>
      <c r="DU22" s="62">
        <f t="shared" si="44"/>
        <v>366.065475656937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76.839572987637794</v>
      </c>
      <c r="EB22" s="23">
        <f>EXP(-LN(2)/25)*EB21+(1-EXP(-LN(2)/25))/(LN(2)/25)*Calculateur!DW22*Calculateur!DY22*VLOOKUP('Données projet'!$B$14,Paramètres!$A$1:$I$89,3,0)*0.475*44/12</f>
        <v>18.83349441682817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95.673067404465968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2.84</v>
      </c>
      <c r="EJ22" s="13">
        <f>IF('Données projet'!$A$192&gt;35,EJ21+EI22-ER21,IF(A22&lt;'Données projet'!$A$192,$EG$205^A22,IF(A22='Données projet'!$A$192,'Données projet'!$B$192,EJ21+EI22-ER21)))</f>
        <v>25.524447198315809</v>
      </c>
      <c r="EK22" s="18">
        <f>EJ22*VLOOKUP('Données projet'!$B$15,Paramètres!$A$1:$I$89,3,0)*VLOOKUP('Données projet'!$B$15,Paramètres!$A$1:$I$89,5,0)</f>
        <v>24.687245330211052</v>
      </c>
      <c r="EL22" s="14">
        <f t="shared" si="45"/>
        <v>7.8332300858252779</v>
      </c>
      <c r="EM22" s="22">
        <f t="shared" si="19"/>
        <v>56.639828016263273</v>
      </c>
      <c r="EN22" s="62">
        <f t="shared" si="20"/>
        <v>242.4199216901313</v>
      </c>
      <c r="EO22" s="62">
        <f ca="1">AVERAGE(OFFSET($EN$3,0,0,'Données projet'!$E$15+1,1))-AVERAGE(OFFSET($H$3,0,0,'Données projet'!$E$15+1,1))</f>
        <v>452.74627739105745</v>
      </c>
      <c r="EP22" s="62">
        <f t="shared" si="46"/>
        <v>281.80695725575106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2.84</v>
      </c>
      <c r="FE22" s="13">
        <f>IF('Données projet'!$A$218&gt;35,FE21+FD22-FM21,IF(A22&lt;'Données projet'!$A$218,$FB$205^A22,IF(A22='Données projet'!$A$218,'Données projet'!$B$218,FE21+FD22-FM21)))</f>
        <v>25.524447198315809</v>
      </c>
      <c r="FF22" s="18">
        <f>FE22*VLOOKUP('Données projet'!$B$16,Paramètres!$A$1:$I$89,3,0)*VLOOKUP('Données projet'!$B$16,Paramètres!$A$1:$I$89,5,0)</f>
        <v>27.474514964267133</v>
      </c>
      <c r="FG22" s="14">
        <f t="shared" si="47"/>
        <v>8.6097520205798528</v>
      </c>
      <c r="FH22" s="22">
        <f t="shared" si="22"/>
        <v>62.846764998608485</v>
      </c>
      <c r="FI22" s="62">
        <f t="shared" si="23"/>
        <v>248.62685867247652</v>
      </c>
      <c r="FJ22" s="62">
        <f ca="1">AVERAGE(OFFSET($FI$3,0,0,'Données projet'!$E$16+1,1))-AVERAGE(OFFSET($H$3,0,0,'Données projet'!$E$16+1,1))</f>
        <v>492.72391755143508</v>
      </c>
      <c r="FK22" s="62">
        <f t="shared" si="48"/>
        <v>304.88554179994355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44.333964941357955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143.77000000000001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180</v>
      </c>
      <c r="L23" s="13">
        <f>VLOOKUP(A23,'Données projet'!$A$35:$I$55,9,0)</f>
        <v>12.6</v>
      </c>
      <c r="M23" s="13">
        <f t="array" ref="M23">INDEX(L:L,MIN(IF(ISNUMBER(L23:L219),ROW(L23:L219),"")))</f>
        <v>12.6</v>
      </c>
      <c r="N23" s="14">
        <f>IF('Données projet'!$A$36&gt;35,N22+M23-V22,IF(A23&lt;'Données projet'!$A$36,$K$205^A23,IF(A23='Données projet'!$A$36,'Données projet'!$B$36,N22+M23-V22)))</f>
        <v>179.99999999999997</v>
      </c>
      <c r="O23" s="14">
        <f>N23*VLOOKUP('Données projet'!$B$9,Paramètres!$A$1:$I$89,3,0)*VLOOKUP('Données projet'!$B$9,Paramètres!$A$1:$I$89,5,0)</f>
        <v>162.86399999999998</v>
      </c>
      <c r="P23" s="14">
        <f t="shared" si="33"/>
        <v>41.487830069509123</v>
      </c>
      <c r="Q23" s="22">
        <f t="shared" si="2"/>
        <v>355.91277070439497</v>
      </c>
      <c r="R23" s="62">
        <f t="shared" si="0"/>
        <v>544.5476638017193</v>
      </c>
      <c r="S23" s="62">
        <f ca="1">AVERAGE(OFFSET($R$3,0,0,'Données projet'!$E$9+1,1))-AVERAGE(OFFSET($H$3,0,0,'Données projet'!$E$9+1,1))</f>
        <v>388.8309693898596</v>
      </c>
      <c r="T23" s="62">
        <f t="shared" si="34"/>
        <v>549.06702041234382</v>
      </c>
      <c r="U23" s="16">
        <f>IF(ISNA(VLOOKUP(A23,'Données projet'!$A$35:$I$55,3,0)),0,VLOOKUP(A23,'Données projet'!$A$35:$I$55,3,0))</f>
        <v>4</v>
      </c>
      <c r="V23" s="16">
        <f>IF(ISNA(VLOOKUP(A23,'Données projet'!$A$35:$I$55,4,0)),0,VLOOKUP(A23,'Données projet'!$A$35:$I$55,4,0))</f>
        <v>18</v>
      </c>
      <c r="W23" s="17">
        <f>IF(ISNA(VLOOKUP(A23,'Données projet'!$A$35:$I$55,5,0)),0%,VLOOKUP(A23,'Données projet'!$A$35:$I$55,5,0)*VLOOKUP('Données projet'!$B$9,Paramètres!$A$1:$I$89,7,0))</f>
        <v>0.24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5.5711775020816985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5.5711775020816985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>
        <f>AI23*VLOOKUP('Données projet'!$B$10,Paramètres!$A$1:$I$89,3,0)*VLOOKUP('Données projet'!$B$10,Paramètres!$A$1:$I$89,5,0)</f>
        <v>115.05520000000004</v>
      </c>
      <c r="AK23" s="14">
        <f t="shared" si="35"/>
        <v>30.5188966745568</v>
      </c>
      <c r="AL23" s="22">
        <f t="shared" si="4"/>
        <v>253.54155170818649</v>
      </c>
      <c r="AM23" s="62">
        <f t="shared" si="5"/>
        <v>442.17644480551087</v>
      </c>
      <c r="AN23" s="62">
        <f ca="1">AVERAGE(OFFSET($AM$3,0,0,'Données projet'!$E$10+1,1))-AVERAGE(OFFSET($H$3,0,0,'Données projet'!$E$10+1,1))</f>
        <v>197.85998851681552</v>
      </c>
      <c r="AO23" s="62">
        <f t="shared" si="36"/>
        <v>474.54844785896239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2.8929300613012607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9.6735295157628478</v>
      </c>
      <c r="AX23" s="23">
        <f t="shared" si="6"/>
        <v>12.566459577064109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19.8</v>
      </c>
      <c r="BD23" s="13">
        <f>IF('Données projet'!$A$88&gt;35,BD22+BC23-BL22,IF(A23&lt;'Données projet'!$A$88,$BA$205^A23,IF(A23='Données projet'!$A$88,'Données projet'!$B$88,BD22+BC23-BL22)))</f>
        <v>192.40000000000006</v>
      </c>
      <c r="BE23" s="14">
        <f>BD23*VLOOKUP('Données projet'!$B$11,Paramètres!$A$1:$I$89,3,0)*VLOOKUP('Données projet'!$B$11,Paramètres!$A$1:$I$89,5,0)</f>
        <v>115.05520000000004</v>
      </c>
      <c r="BF23" s="14">
        <f t="shared" si="37"/>
        <v>30.5188966745568</v>
      </c>
      <c r="BG23" s="22">
        <f t="shared" si="7"/>
        <v>253.54155170818649</v>
      </c>
      <c r="BH23" s="62">
        <f t="shared" si="8"/>
        <v>442.17644480551087</v>
      </c>
      <c r="BI23" s="62">
        <f ca="1">AVERAGE(OFFSET($BH$3,0,0,'Données projet'!$E$11+1,1))-AVERAGE(OFFSET($H$3,0,0,'Données projet'!$E$11+1,1))</f>
        <v>197.85998851681552</v>
      </c>
      <c r="BJ23" s="62">
        <f t="shared" si="38"/>
        <v>474.54844785896239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2.8929300613012607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9.6735295157628478</v>
      </c>
      <c r="BS23" s="24">
        <f t="shared" si="9"/>
        <v>12.566459577064109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>
        <f>BY23*VLOOKUP('Données projet'!$B$12,Paramètres!$A$1:$I$89,3,0)*VLOOKUP('Données projet'!$B$12,Paramètres!$A$1:$I$89,5,0)</f>
        <v>0</v>
      </c>
      <c r="CA23" s="14" t="e">
        <f t="shared" si="39"/>
        <v>#NUM!</v>
      </c>
      <c r="CB23" s="22" t="e">
        <f t="shared" si="10"/>
        <v>#NUM!</v>
      </c>
      <c r="CC23" s="62" t="e">
        <f t="shared" si="11"/>
        <v>#NUM!</v>
      </c>
      <c r="CD23" s="62">
        <f ca="1">AVERAGE(OFFSET($CC$3,0,0,'Données projet'!$E$12+1,1))-AVERAGE(OFFSET($H$3,0,0,'Données projet'!$E$12+1,1))</f>
        <v>72.97248599808384</v>
      </c>
      <c r="CE23" s="62">
        <f t="shared" si="40"/>
        <v>346.88163654003574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70.847632943123571</v>
      </c>
      <c r="CL23" s="23">
        <f>EXP(-LN(2)/25)*CL22+(1-EXP(-LN(2)/25))/(LN(2)/25)*Calculateur!CG23*Calculateur!CI23*VLOOKUP('Données projet'!$B$12,Paramètres!$A$1:$I$89,3,0)*0.475*44/12</f>
        <v>17.227845443857404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88.075478386980976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>
        <f>CT23*VLOOKUP('Données projet'!$B$13,Paramètres!$A$1:$I$89,3,0)*VLOOKUP('Données projet'!$B$13,Paramètres!$A$1:$I$89,5,0)</f>
        <v>0</v>
      </c>
      <c r="CV23" s="14" t="e">
        <f t="shared" si="41"/>
        <v>#NUM!</v>
      </c>
      <c r="CW23" s="22" t="e">
        <f t="shared" si="13"/>
        <v>#NUM!</v>
      </c>
      <c r="CX23" s="62" t="e">
        <f t="shared" si="14"/>
        <v>#NUM!</v>
      </c>
      <c r="CY23" s="62">
        <f ca="1">AVERAGE(OFFSET($CX$3,0,0,'Données projet'!$E$13+1,1))-AVERAGE(OFFSET($H$3,0,0,'Données projet'!$E$13+1,1))</f>
        <v>67.303283896086128</v>
      </c>
      <c r="CZ23" s="62">
        <f t="shared" si="42"/>
        <v>318.97925671653547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64.335176433031435</v>
      </c>
      <c r="DG23" s="23">
        <f>EXP(-LN(2)/25)*DG22+(1-EXP(-LN(2)/25))/(LN(2)/25)*Calculateur!DB23*Calculateur!DD23*VLOOKUP('Données projet'!$B$13,Paramètres!$A$1:$I$89,3,0)*0.475*44/12</f>
        <v>15.644227338990289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79.979403772021726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>
        <f>DO23*VLOOKUP('Données projet'!$B$14,Paramètres!$A$1:$I$89,3,0)*VLOOKUP('Données projet'!$B$14,Paramètres!$A$1:$I$89,5,0)</f>
        <v>0</v>
      </c>
      <c r="DQ23" s="14" t="e">
        <f t="shared" si="43"/>
        <v>#NUM!</v>
      </c>
      <c r="DR23" s="22" t="e">
        <f t="shared" si="16"/>
        <v>#NUM!</v>
      </c>
      <c r="DS23" s="62" t="e">
        <f t="shared" si="17"/>
        <v>#NUM!</v>
      </c>
      <c r="DT23" s="62">
        <f ca="1">AVERAGE(OFFSET($DS$3,0,0,'Données projet'!$E$14+1,1))-AVERAGE(OFFSET($H$3,0,0,'Données projet'!$E$14+1,1))</f>
        <v>75.244137291704476</v>
      </c>
      <c r="DU23" s="62">
        <f t="shared" si="44"/>
        <v>366.065475656937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75.332795828861961</v>
      </c>
      <c r="EB23" s="23">
        <f>EXP(-LN(2)/25)*EB22+(1-EXP(-LN(2)/25))/(LN(2)/25)*Calculateur!DW23*Calculateur!DY23*VLOOKUP('Données projet'!$B$14,Paramètres!$A$1:$I$89,3,0)*0.475*44/12</f>
        <v>18.318491521589578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93.65128735045154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2.84</v>
      </c>
      <c r="EJ23" s="13">
        <f>IF('Données projet'!$A$192&gt;35,EJ22+EI23-ER22,IF(A23&lt;'Données projet'!$A$192,$EG$205^A23,IF(A23='Données projet'!$A$192,'Données projet'!$B$192,EJ22+EI23-ER22)))</f>
        <v>30.269599790850293</v>
      </c>
      <c r="EK23" s="18">
        <f>EJ23*VLOOKUP('Données projet'!$B$15,Paramètres!$A$1:$I$89,3,0)*VLOOKUP('Données projet'!$B$15,Paramètres!$A$1:$I$89,5,0)</f>
        <v>29.276756917710408</v>
      </c>
      <c r="EL23" s="14">
        <f t="shared" si="45"/>
        <v>9.1069249663760985</v>
      </c>
      <c r="EM23" s="22">
        <f t="shared" si="19"/>
        <v>66.851579281450668</v>
      </c>
      <c r="EN23" s="62">
        <f t="shared" si="20"/>
        <v>255.48647237877503</v>
      </c>
      <c r="EO23" s="62">
        <f ca="1">AVERAGE(OFFSET($EN$3,0,0,'Données projet'!$E$15+1,1))-AVERAGE(OFFSET($H$3,0,0,'Données projet'!$E$15+1,1))</f>
        <v>452.74627739105745</v>
      </c>
      <c r="EP23" s="62">
        <f t="shared" si="46"/>
        <v>281.80695725575106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2.84</v>
      </c>
      <c r="FE23" s="13">
        <f>IF('Données projet'!$A$218&gt;35,FE22+FD23-FM22,IF(A23&lt;'Données projet'!$A$218,$FB$205^A23,IF(A23='Données projet'!$A$218,'Données projet'!$B$218,FE22+FD23-FM22)))</f>
        <v>30.269599790850293</v>
      </c>
      <c r="FF23" s="18">
        <f>FE23*VLOOKUP('Données projet'!$B$16,Paramètres!$A$1:$I$89,3,0)*VLOOKUP('Données projet'!$B$16,Paramètres!$A$1:$I$89,5,0)</f>
        <v>32.582197214871258</v>
      </c>
      <c r="FG23" s="14">
        <f t="shared" si="47"/>
        <v>10.009710524450265</v>
      </c>
      <c r="FH23" s="22">
        <f t="shared" si="22"/>
        <v>74.180905979318311</v>
      </c>
      <c r="FI23" s="62">
        <f t="shared" si="23"/>
        <v>262.81579907664263</v>
      </c>
      <c r="FJ23" s="62">
        <f ca="1">AVERAGE(OFFSET($FI$3,0,0,'Données projet'!$E$16+1,1))-AVERAGE(OFFSET($H$3,0,0,'Données projet'!$E$16+1,1))</f>
        <v>492.72391755143508</v>
      </c>
      <c r="FK23" s="62">
        <f t="shared" si="48"/>
        <v>304.88554179994355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44.779213268967247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143.77000000000001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10.4</v>
      </c>
      <c r="N24" s="14">
        <f>IF('Données projet'!$A$36&gt;35,N23+M24-V23,IF(A24&lt;'Données projet'!$A$36,$K$205^A24,IF(A24='Données projet'!$A$36,'Données projet'!$B$36,N23+M24-V23)))</f>
        <v>172.39999999999998</v>
      </c>
      <c r="O24" s="14">
        <f>N24*VLOOKUP('Données projet'!$B$9,Paramètres!$A$1:$I$89,3,0)*VLOOKUP('Données projet'!$B$9,Paramètres!$A$1:$I$89,5,0)</f>
        <v>155.98751999999996</v>
      </c>
      <c r="P24" s="14">
        <f t="shared" si="33"/>
        <v>39.936155927663087</v>
      </c>
      <c r="Q24" s="22">
        <f t="shared" si="2"/>
        <v>341.23373557401311</v>
      </c>
      <c r="R24" s="62">
        <f t="shared" si="0"/>
        <v>532.69510653024815</v>
      </c>
      <c r="S24" s="62">
        <f ca="1">AVERAGE(OFFSET($R$3,0,0,'Données projet'!$E$9+1,1))-AVERAGE(OFFSET($H$3,0,0,'Données projet'!$E$9+1,1))</f>
        <v>388.8309693898596</v>
      </c>
      <c r="T24" s="62">
        <f t="shared" si="34"/>
        <v>549.06702041234382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5.4619301093486197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5.4619301093486197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>
        <f>AI24*VLOOKUP('Données projet'!$B$10,Paramètres!$A$1:$I$89,3,0)*VLOOKUP('Données projet'!$B$10,Paramètres!$A$1:$I$89,5,0)</f>
        <v>126.89560000000006</v>
      </c>
      <c r="AK24" s="14">
        <f t="shared" si="35"/>
        <v>33.278017701950326</v>
      </c>
      <c r="AL24" s="22">
        <f t="shared" si="4"/>
        <v>278.96905083089689</v>
      </c>
      <c r="AM24" s="62">
        <f t="shared" si="5"/>
        <v>470.43042178713199</v>
      </c>
      <c r="AN24" s="62">
        <f ca="1">AVERAGE(OFFSET($AM$3,0,0,'Données projet'!$E$10+1,1))-AVERAGE(OFFSET($H$3,0,0,'Données projet'!$E$10+1,1))</f>
        <v>197.85998851681552</v>
      </c>
      <c r="AO24" s="62">
        <f t="shared" si="36"/>
        <v>474.54844785896239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2.8362014673122493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6.8402183186041299</v>
      </c>
      <c r="AX24" s="23">
        <f t="shared" si="6"/>
        <v>9.6764197859163801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19.8</v>
      </c>
      <c r="BD24" s="13">
        <f>IF('Données projet'!$A$88&gt;35,BD23+BC24-BL23,IF(A24&lt;'Données projet'!$A$88,$BA$205^A24,IF(A24='Données projet'!$A$88,'Données projet'!$B$88,BD23+BC24-BL23)))</f>
        <v>212.20000000000007</v>
      </c>
      <c r="BE24" s="14">
        <f>BD24*VLOOKUP('Données projet'!$B$11,Paramètres!$A$1:$I$89,3,0)*VLOOKUP('Données projet'!$B$11,Paramètres!$A$1:$I$89,5,0)</f>
        <v>126.89560000000006</v>
      </c>
      <c r="BF24" s="14">
        <f t="shared" si="37"/>
        <v>33.278017701950326</v>
      </c>
      <c r="BG24" s="22">
        <f t="shared" si="7"/>
        <v>278.96905083089689</v>
      </c>
      <c r="BH24" s="62">
        <f t="shared" si="8"/>
        <v>470.43042178713199</v>
      </c>
      <c r="BI24" s="62">
        <f ca="1">AVERAGE(OFFSET($BH$3,0,0,'Données projet'!$E$11+1,1))-AVERAGE(OFFSET($H$3,0,0,'Données projet'!$E$11+1,1))</f>
        <v>197.85998851681552</v>
      </c>
      <c r="BJ24" s="62">
        <f t="shared" si="38"/>
        <v>474.54844785896239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2.8362014673122493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6.8402183186041299</v>
      </c>
      <c r="BS24" s="24">
        <f t="shared" si="9"/>
        <v>9.6764197859163801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>
        <f>BY24*VLOOKUP('Données projet'!$B$12,Paramètres!$A$1:$I$89,3,0)*VLOOKUP('Données projet'!$B$12,Paramètres!$A$1:$I$89,5,0)</f>
        <v>0</v>
      </c>
      <c r="CA24" s="14" t="e">
        <f t="shared" si="39"/>
        <v>#NUM!</v>
      </c>
      <c r="CB24" s="22" t="e">
        <f t="shared" si="10"/>
        <v>#NUM!</v>
      </c>
      <c r="CC24" s="62" t="e">
        <f t="shared" si="11"/>
        <v>#NUM!</v>
      </c>
      <c r="CD24" s="62">
        <f ca="1">AVERAGE(OFFSET($CC$3,0,0,'Données projet'!$E$12+1,1))-AVERAGE(OFFSET($H$3,0,0,'Données projet'!$E$12+1,1))</f>
        <v>72.97248599808384</v>
      </c>
      <c r="CE24" s="62">
        <f t="shared" si="40"/>
        <v>346.88163654003574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69.458354073898107</v>
      </c>
      <c r="CL24" s="23">
        <f>EXP(-LN(2)/25)*CL23+(1-EXP(-LN(2)/25))/(LN(2)/25)*Calculateur!CG24*Calculateur!CI24*VLOOKUP('Données projet'!$B$12,Paramètres!$A$1:$I$89,3,0)*0.475*44/12</f>
        <v>16.756749104222106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86.215103178120216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>
        <f>CT24*VLOOKUP('Données projet'!$B$13,Paramètres!$A$1:$I$89,3,0)*VLOOKUP('Données projet'!$B$13,Paramètres!$A$1:$I$89,5,0)</f>
        <v>0</v>
      </c>
      <c r="CV24" s="14" t="e">
        <f t="shared" si="41"/>
        <v>#NUM!</v>
      </c>
      <c r="CW24" s="22" t="e">
        <f t="shared" si="13"/>
        <v>#NUM!</v>
      </c>
      <c r="CX24" s="62" t="e">
        <f t="shared" si="14"/>
        <v>#NUM!</v>
      </c>
      <c r="CY24" s="62">
        <f ca="1">AVERAGE(OFFSET($CX$3,0,0,'Données projet'!$E$13+1,1))-AVERAGE(OFFSET($H$3,0,0,'Données projet'!$E$13+1,1))</f>
        <v>67.303283896086128</v>
      </c>
      <c r="CZ24" s="62">
        <f t="shared" si="42"/>
        <v>318.97925671653547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63.07360286376263</v>
      </c>
      <c r="DG24" s="23">
        <f>EXP(-LN(2)/25)*DG23+(1-EXP(-LN(2)/25))/(LN(2)/25)*Calculateur!DB24*Calculateur!DD24*VLOOKUP('Données projet'!$B$13,Paramètres!$A$1:$I$89,3,0)*0.475*44/12</f>
        <v>15.21643511971144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78.290037983474065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>
        <f>DO24*VLOOKUP('Données projet'!$B$14,Paramètres!$A$1:$I$89,3,0)*VLOOKUP('Données projet'!$B$14,Paramètres!$A$1:$I$89,5,0)</f>
        <v>0</v>
      </c>
      <c r="DQ24" s="14" t="e">
        <f t="shared" si="43"/>
        <v>#NUM!</v>
      </c>
      <c r="DR24" s="22" t="e">
        <f t="shared" si="16"/>
        <v>#NUM!</v>
      </c>
      <c r="DS24" s="62" t="e">
        <f t="shared" si="17"/>
        <v>#NUM!</v>
      </c>
      <c r="DT24" s="62">
        <f ca="1">AVERAGE(OFFSET($DS$3,0,0,'Données projet'!$E$14+1,1))-AVERAGE(OFFSET($H$3,0,0,'Données projet'!$E$14+1,1))</f>
        <v>75.244137291704476</v>
      </c>
      <c r="DU24" s="62">
        <f t="shared" si="44"/>
        <v>366.065475656937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73.855565651126398</v>
      </c>
      <c r="EB24" s="23">
        <f>EXP(-LN(2)/25)*EB23+(1-EXP(-LN(2)/25))/(LN(2)/25)*Calculateur!DW24*Calculateur!DY24*VLOOKUP('Données projet'!$B$14,Paramètres!$A$1:$I$89,3,0)*0.475*44/12</f>
        <v>17.81757140760411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91.673137058730504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2.84</v>
      </c>
      <c r="EJ24" s="13">
        <f>IF('Données projet'!$A$192&gt;35,EJ23+EI24-ER23,IF(A24&lt;'Données projet'!$A$192,$EG$205^A24,IF(A24='Données projet'!$A$192,'Données projet'!$B$192,EJ23+EI24-ER23)))</f>
        <v>35.896905597183761</v>
      </c>
      <c r="EK24" s="18">
        <f>EJ24*VLOOKUP('Données projet'!$B$15,Paramètres!$A$1:$I$89,3,0)*VLOOKUP('Données projet'!$B$15,Paramètres!$A$1:$I$89,5,0)</f>
        <v>34.719487093596136</v>
      </c>
      <c r="EL24" s="14">
        <f t="shared" si="45"/>
        <v>10.58772453183551</v>
      </c>
      <c r="EM24" s="22">
        <f t="shared" si="19"/>
        <v>78.910060247626788</v>
      </c>
      <c r="EN24" s="62">
        <f t="shared" si="20"/>
        <v>270.37143120386185</v>
      </c>
      <c r="EO24" s="62">
        <f ca="1">AVERAGE(OFFSET($EN$3,0,0,'Données projet'!$E$15+1,1))-AVERAGE(OFFSET($H$3,0,0,'Données projet'!$E$15+1,1))</f>
        <v>452.74627739105745</v>
      </c>
      <c r="EP24" s="62">
        <f t="shared" si="46"/>
        <v>281.80695725575106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2.84</v>
      </c>
      <c r="FE24" s="13">
        <f>IF('Données projet'!$A$218&gt;35,FE23+FD24-FM23,IF(A24&lt;'Données projet'!$A$218,$FB$205^A24,IF(A24='Données projet'!$A$218,'Données projet'!$B$218,FE23+FD24-FM23)))</f>
        <v>35.896905597183761</v>
      </c>
      <c r="FF24" s="18">
        <f>FE24*VLOOKUP('Données projet'!$B$16,Paramètres!$A$1:$I$89,3,0)*VLOOKUP('Données projet'!$B$16,Paramètres!$A$1:$I$89,5,0)</f>
        <v>38.639429184808598</v>
      </c>
      <c r="FG24" s="14">
        <f t="shared" si="47"/>
        <v>11.637304366466807</v>
      </c>
      <c r="FH24" s="22">
        <f t="shared" si="22"/>
        <v>87.565310935137987</v>
      </c>
      <c r="FI24" s="62">
        <f t="shared" si="23"/>
        <v>279.02668189137307</v>
      </c>
      <c r="FJ24" s="62">
        <f ca="1">AVERAGE(OFFSET($FI$3,0,0,'Données projet'!$E$16+1,1))-AVERAGE(OFFSET($H$3,0,0,'Données projet'!$E$16+1,1))</f>
        <v>492.72391755143508</v>
      </c>
      <c r="FK24" s="62">
        <f t="shared" si="48"/>
        <v>304.88554179994355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45.216737533518653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143.77000000000001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10.4</v>
      </c>
      <c r="N25" s="14">
        <f>IF('Données projet'!$A$36&gt;35,N24+M25-V24,IF(A25&lt;'Données projet'!$A$36,$K$205^A25,IF(A25='Données projet'!$A$36,'Données projet'!$B$36,N24+M25-V24)))</f>
        <v>182.79999999999998</v>
      </c>
      <c r="O25" s="14">
        <f>N25*VLOOKUP('Données projet'!$B$9,Paramètres!$A$1:$I$89,3,0)*VLOOKUP('Données projet'!$B$9,Paramètres!$A$1:$I$89,5,0)</f>
        <v>165.39743999999999</v>
      </c>
      <c r="P25" s="14">
        <f t="shared" si="33"/>
        <v>42.057562385840804</v>
      </c>
      <c r="Q25" s="22">
        <f t="shared" si="2"/>
        <v>361.31746248867267</v>
      </c>
      <c r="R25" s="62">
        <f t="shared" si="0"/>
        <v>555.57748105510018</v>
      </c>
      <c r="S25" s="62">
        <f ca="1">AVERAGE(OFFSET($R$3,0,0,'Données projet'!$E$9+1,1))-AVERAGE(OFFSET($H$3,0,0,'Données projet'!$E$9+1,1))</f>
        <v>388.8309693898596</v>
      </c>
      <c r="T25" s="62">
        <f t="shared" si="34"/>
        <v>549.06702041234382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5.3548249913527064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5.3548249913527064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>
        <f>AI25*VLOOKUP('Données projet'!$B$10,Paramètres!$A$1:$I$89,3,0)*VLOOKUP('Données projet'!$B$10,Paramètres!$A$1:$I$89,5,0)</f>
        <v>138.73600000000005</v>
      </c>
      <c r="AK25" s="14">
        <f t="shared" si="35"/>
        <v>36.007288175538072</v>
      </c>
      <c r="AL25" s="22">
        <f t="shared" si="4"/>
        <v>304.34456023906222</v>
      </c>
      <c r="AM25" s="62">
        <f t="shared" si="5"/>
        <v>498.60457880548972</v>
      </c>
      <c r="AN25" s="62">
        <f ca="1">AVERAGE(OFFSET($AM$3,0,0,'Données projet'!$E$10+1,1))-AVERAGE(OFFSET($H$3,0,0,'Données projet'!$E$10+1,1))</f>
        <v>197.85998851681552</v>
      </c>
      <c r="AO25" s="62">
        <f t="shared" si="36"/>
        <v>474.54844785896239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>
        <f>IF(ISNA(VLOOKUP(A25,'Données projet'!$A$61:$I$81,5,0)),0%,VLOOKUP(A25,'Données projet'!$A$61:$I$81,5,0)*VLOOKUP('Données projet'!$B$10,Paramètres!$A$1:$I$89,7,0))</f>
        <v>0.18000000000000002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0.6</v>
      </c>
      <c r="AU25" s="23">
        <f>EXP(-LN(2)/35)*AU24+(1-EXP(-LN(2)/35))/(LN(2)/35)*AQ25*AR25*VLOOKUP('Données projet'!$B$10,Paramètres!$A$1:$I$89,3,0)*0.475*44/12</f>
        <v>10.776903573527015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27.586481865621199</v>
      </c>
      <c r="AX25" s="23">
        <f t="shared" si="6"/>
        <v>38.363385439148217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>
        <f>VLOOKUP(A25,'Données projet'!$A$87:$I$107,2,0)</f>
        <v>232</v>
      </c>
      <c r="BB25" s="13">
        <f>VLOOKUP(A25,'Données projet'!$A$87:$I$107,9,0)</f>
        <v>19.8</v>
      </c>
      <c r="BC25" s="13">
        <f t="array" ref="BC25">INDEX(BB:BB,MIN(IF(ISNUMBER(BB25:BB221),ROW(BB25:BB221),"")))</f>
        <v>19.8</v>
      </c>
      <c r="BD25" s="13">
        <f>IF('Données projet'!$A$88&gt;35,BD24+BC25-BL24,IF(A25&lt;'Données projet'!$A$88,$BA$205^A25,IF(A25='Données projet'!$A$88,'Données projet'!$B$88,BD24+BC25-BL24)))</f>
        <v>232.00000000000009</v>
      </c>
      <c r="BE25" s="14">
        <f>BD25*VLOOKUP('Données projet'!$B$11,Paramètres!$A$1:$I$89,3,0)*VLOOKUP('Données projet'!$B$11,Paramètres!$A$1:$I$89,5,0)</f>
        <v>138.73600000000005</v>
      </c>
      <c r="BF25" s="14">
        <f t="shared" si="37"/>
        <v>36.007288175538072</v>
      </c>
      <c r="BG25" s="22">
        <f t="shared" si="7"/>
        <v>304.34456023906222</v>
      </c>
      <c r="BH25" s="62">
        <f t="shared" si="8"/>
        <v>498.60457880548972</v>
      </c>
      <c r="BI25" s="62">
        <f ca="1">AVERAGE(OFFSET($BH$3,0,0,'Données projet'!$E$11+1,1))-AVERAGE(OFFSET($H$3,0,0,'Données projet'!$E$11+1,1))</f>
        <v>197.85998851681552</v>
      </c>
      <c r="BJ25" s="62">
        <f t="shared" si="38"/>
        <v>474.54844785896239</v>
      </c>
      <c r="BK25" s="16">
        <f>IF(ISNA(VLOOKUP(A25,'Données projet'!$A$87:$I$107,3,0)),0,VLOOKUP(A25,'Données projet'!$A$87:$I$107,3,0))</f>
        <v>3</v>
      </c>
      <c r="BL25" s="16">
        <f>IF(ISNA(VLOOKUP(A25,'Données projet'!$A$87:$I$107,4,0)),0,VLOOKUP(A25,'Données projet'!$A$87:$I$107,4,0))</f>
        <v>56</v>
      </c>
      <c r="BM25" s="17">
        <f>IF(ISNA(VLOOKUP(A25,'Données projet'!$A$87:$I$107,5,0)),0%,VLOOKUP(A25,'Données projet'!$A$87:$I$107,5,0)*VLOOKUP('Données projet'!$B$11,Paramètres!$A$1:$I$89,7,0))</f>
        <v>0.18000000000000002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0.6</v>
      </c>
      <c r="BP25" s="23">
        <f>EXP(-LN(2)/35)*BP24+(1-EXP(-LN(2)/35))/(LN(2)/35)*BL25*BM25*VLOOKUP('Données projet'!$B$11,Paramètres!$A$1:$I$89,3,0)*0.475*44/12</f>
        <v>10.776903573527015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27.586481865621199</v>
      </c>
      <c r="BS25" s="24">
        <f t="shared" si="9"/>
        <v>38.363385439148217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>
        <f>BY25*VLOOKUP('Données projet'!$B$12,Paramètres!$A$1:$I$89,3,0)*VLOOKUP('Données projet'!$B$12,Paramètres!$A$1:$I$89,5,0)</f>
        <v>0</v>
      </c>
      <c r="CA25" s="14" t="e">
        <f t="shared" si="39"/>
        <v>#NUM!</v>
      </c>
      <c r="CB25" s="22" t="e">
        <f t="shared" si="10"/>
        <v>#NUM!</v>
      </c>
      <c r="CC25" s="62" t="e">
        <f t="shared" si="11"/>
        <v>#NUM!</v>
      </c>
      <c r="CD25" s="62">
        <f ca="1">AVERAGE(OFFSET($CC$3,0,0,'Données projet'!$E$12+1,1))-AVERAGE(OFFSET($H$3,0,0,'Données projet'!$E$12+1,1))</f>
        <v>72.97248599808384</v>
      </c>
      <c r="CE25" s="62">
        <f t="shared" si="40"/>
        <v>346.88163654003574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68.096318115921719</v>
      </c>
      <c r="CL25" s="23">
        <f>EXP(-LN(2)/25)*CL24+(1-EXP(-LN(2)/25))/(LN(2)/25)*Calculateur!CG25*Calculateur!CI25*VLOOKUP('Données projet'!$B$12,Paramètres!$A$1:$I$89,3,0)*0.475*44/12</f>
        <v>16.298534918768016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84.394853034689731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>
        <f>CT25*VLOOKUP('Données projet'!$B$13,Paramètres!$A$1:$I$89,3,0)*VLOOKUP('Données projet'!$B$13,Paramètres!$A$1:$I$89,5,0)</f>
        <v>0</v>
      </c>
      <c r="CV25" s="14" t="e">
        <f t="shared" si="41"/>
        <v>#NUM!</v>
      </c>
      <c r="CW25" s="22" t="e">
        <f t="shared" si="13"/>
        <v>#NUM!</v>
      </c>
      <c r="CX25" s="62" t="e">
        <f t="shared" si="14"/>
        <v>#NUM!</v>
      </c>
      <c r="CY25" s="62">
        <f ca="1">AVERAGE(OFFSET($CX$3,0,0,'Données projet'!$E$13+1,1))-AVERAGE(OFFSET($H$3,0,0,'Données projet'!$E$13+1,1))</f>
        <v>67.303283896086128</v>
      </c>
      <c r="CZ25" s="62">
        <f t="shared" si="42"/>
        <v>318.97925671653547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61.836767982703286</v>
      </c>
      <c r="DG25" s="23">
        <f>EXP(-LN(2)/25)*DG24+(1-EXP(-LN(2)/25))/(LN(2)/25)*Calculateur!DB25*Calculateur!DD25*VLOOKUP('Données projet'!$B$13,Paramètres!$A$1:$I$89,3,0)*0.475*44/12</f>
        <v>14.800340901165384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76.637108883868677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>
        <f>DO25*VLOOKUP('Données projet'!$B$14,Paramètres!$A$1:$I$89,3,0)*VLOOKUP('Données projet'!$B$14,Paramètres!$A$1:$I$89,5,0)</f>
        <v>0</v>
      </c>
      <c r="DQ25" s="14" t="e">
        <f t="shared" si="43"/>
        <v>#NUM!</v>
      </c>
      <c r="DR25" s="22" t="e">
        <f t="shared" si="16"/>
        <v>#NUM!</v>
      </c>
      <c r="DS25" s="62" t="e">
        <f t="shared" si="17"/>
        <v>#NUM!</v>
      </c>
      <c r="DT25" s="62">
        <f ca="1">AVERAGE(OFFSET($DS$3,0,0,'Données projet'!$E$14+1,1))-AVERAGE(OFFSET($H$3,0,0,'Données projet'!$E$14+1,1))</f>
        <v>75.244137291704476</v>
      </c>
      <c r="DU25" s="62">
        <f t="shared" si="44"/>
        <v>366.065475656937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72.407303056154788</v>
      </c>
      <c r="EB25" s="23">
        <f>EXP(-LN(2)/25)*EB24+(1-EXP(-LN(2)/25))/(LN(2)/25)*Calculateur!DW25*Calculateur!DY25*VLOOKUP('Données projet'!$B$14,Paramètres!$A$1:$I$89,3,0)*0.475*44/12</f>
        <v>17.330348980477819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89.73765203663261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2.84</v>
      </c>
      <c r="EJ25" s="13">
        <f>IF('Données projet'!$A$192&gt;35,EJ24+EI25-ER24,IF(A25&lt;'Données projet'!$A$192,$EG$205^A25,IF(A25='Données projet'!$A$192,'Données projet'!$B$192,EJ24+EI25-ER24)))</f>
        <v>42.570362355521766</v>
      </c>
      <c r="EK25" s="18">
        <f>EJ25*VLOOKUP('Données projet'!$B$15,Paramètres!$A$1:$I$89,3,0)*VLOOKUP('Données projet'!$B$15,Paramètres!$A$1:$I$89,5,0)</f>
        <v>41.17405447026065</v>
      </c>
      <c r="EL25" s="14">
        <f t="shared" si="45"/>
        <v>12.309304312478504</v>
      </c>
      <c r="EM25" s="22">
        <f t="shared" si="19"/>
        <v>93.150183213270694</v>
      </c>
      <c r="EN25" s="62">
        <f t="shared" si="20"/>
        <v>287.41020177969824</v>
      </c>
      <c r="EO25" s="62">
        <f ca="1">AVERAGE(OFFSET($EN$3,0,0,'Données projet'!$E$15+1,1))-AVERAGE(OFFSET($H$3,0,0,'Données projet'!$E$15+1,1))</f>
        <v>452.74627739105745</v>
      </c>
      <c r="EP25" s="62">
        <f t="shared" si="46"/>
        <v>281.80695725575106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2.84</v>
      </c>
      <c r="FE25" s="13">
        <f>IF('Données projet'!$A$218&gt;35,FE24+FD25-FM24,IF(A25&lt;'Données projet'!$A$218,$FB$205^A25,IF(A25='Données projet'!$A$218,'Données projet'!$B$218,FE24+FD25-FM24)))</f>
        <v>42.570362355521766</v>
      </c>
      <c r="FF25" s="18">
        <f>FE25*VLOOKUP('Données projet'!$B$16,Paramètres!$A$1:$I$89,3,0)*VLOOKUP('Données projet'!$B$16,Paramètres!$A$1:$I$89,5,0)</f>
        <v>45.822738039483632</v>
      </c>
      <c r="FG25" s="14">
        <f t="shared" si="47"/>
        <v>13.529547391703932</v>
      </c>
      <c r="FH25" s="22">
        <f t="shared" si="22"/>
        <v>103.371897125985</v>
      </c>
      <c r="FI25" s="62">
        <f t="shared" si="23"/>
        <v>297.63191569241252</v>
      </c>
      <c r="FJ25" s="62">
        <f ca="1">AVERAGE(OFFSET($FI$3,0,0,'Données projet'!$E$16+1,1))-AVERAGE(OFFSET($H$3,0,0,'Données projet'!$E$16+1,1))</f>
        <v>492.72391755143508</v>
      </c>
      <c r="FK25" s="62">
        <f t="shared" si="48"/>
        <v>304.88554179994355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45.646671730237806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143.77000000000001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10.4</v>
      </c>
      <c r="N26" s="14">
        <f>IF('Données projet'!$A$36&gt;35,N25+M26-V25,IF(A26&lt;'Données projet'!$A$36,$K$205^A26,IF(A26='Données projet'!$A$36,'Données projet'!$B$36,N25+M26-V25)))</f>
        <v>193.2</v>
      </c>
      <c r="O26" s="14">
        <f>N26*VLOOKUP('Données projet'!$B$9,Paramètres!$A$1:$I$89,3,0)*VLOOKUP('Données projet'!$B$9,Paramètres!$A$1:$I$89,5,0)</f>
        <v>174.80735999999999</v>
      </c>
      <c r="P26" s="14">
        <f t="shared" si="33"/>
        <v>44.164958649772579</v>
      </c>
      <c r="Q26" s="22">
        <f t="shared" si="2"/>
        <v>381.37678831502052</v>
      </c>
      <c r="R26" s="62">
        <f t="shared" si="0"/>
        <v>578.40810703551836</v>
      </c>
      <c r="S26" s="62">
        <f ca="1">AVERAGE(OFFSET($R$3,0,0,'Données projet'!$E$9+1,1))-AVERAGE(OFFSET($H$3,0,0,'Données projet'!$E$9+1,1))</f>
        <v>388.8309693898596</v>
      </c>
      <c r="T26" s="62">
        <f t="shared" si="34"/>
        <v>549.06702041234382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5.2498201393930222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5.2498201393930222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>
        <f>AI26*VLOOKUP('Données projet'!$B$10,Paramètres!$A$1:$I$89,3,0)*VLOOKUP('Données projet'!$B$10,Paramètres!$A$1:$I$89,5,0)</f>
        <v>115.18975000000006</v>
      </c>
      <c r="AK26" s="14">
        <f t="shared" si="35"/>
        <v>30.550430193620951</v>
      </c>
      <c r="AL26" s="22">
        <f t="shared" si="4"/>
        <v>253.83081383722325</v>
      </c>
      <c r="AM26" s="62">
        <f t="shared" si="5"/>
        <v>450.86213255772111</v>
      </c>
      <c r="AN26" s="62">
        <f ca="1">AVERAGE(OFFSET($AM$3,0,0,'Données projet'!$E$10+1,1))-AVERAGE(OFFSET($H$3,0,0,'Données projet'!$E$10+1,1))</f>
        <v>197.85998851681552</v>
      </c>
      <c r="AO26" s="62">
        <f t="shared" si="36"/>
        <v>474.54844785896239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10.565575067712274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19.506588396260472</v>
      </c>
      <c r="AX26" s="23">
        <f t="shared" si="6"/>
        <v>30.072163463972746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16.625</v>
      </c>
      <c r="BD26" s="13">
        <f>IF('Données projet'!$A$88&gt;35,BD25+BC26-BL25,IF(A26&lt;'Données projet'!$A$88,$BA$205^A26,IF(A26='Données projet'!$A$88,'Données projet'!$B$88,BD25+BC26-BL25)))</f>
        <v>192.62500000000009</v>
      </c>
      <c r="BE26" s="14">
        <f>BD26*VLOOKUP('Données projet'!$B$11,Paramètres!$A$1:$I$89,3,0)*VLOOKUP('Données projet'!$B$11,Paramètres!$A$1:$I$89,5,0)</f>
        <v>115.18975000000006</v>
      </c>
      <c r="BF26" s="14">
        <f t="shared" si="37"/>
        <v>30.550430193620951</v>
      </c>
      <c r="BG26" s="22">
        <f t="shared" si="7"/>
        <v>253.83081383722325</v>
      </c>
      <c r="BH26" s="62">
        <f t="shared" si="8"/>
        <v>450.86213255772111</v>
      </c>
      <c r="BI26" s="62">
        <f ca="1">AVERAGE(OFFSET($BH$3,0,0,'Données projet'!$E$11+1,1))-AVERAGE(OFFSET($H$3,0,0,'Données projet'!$E$11+1,1))</f>
        <v>197.85998851681552</v>
      </c>
      <c r="BJ26" s="62">
        <f t="shared" si="38"/>
        <v>474.54844785896239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10.565575067712274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19.506588396260472</v>
      </c>
      <c r="BS26" s="24">
        <f t="shared" si="9"/>
        <v>30.072163463972746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>
        <f>BY26*VLOOKUP('Données projet'!$B$12,Paramètres!$A$1:$I$89,3,0)*VLOOKUP('Données projet'!$B$12,Paramètres!$A$1:$I$89,5,0)</f>
        <v>0</v>
      </c>
      <c r="CA26" s="14" t="e">
        <f t="shared" si="39"/>
        <v>#NUM!</v>
      </c>
      <c r="CB26" s="22" t="e">
        <f t="shared" si="10"/>
        <v>#NUM!</v>
      </c>
      <c r="CC26" s="62" t="e">
        <f t="shared" si="11"/>
        <v>#NUM!</v>
      </c>
      <c r="CD26" s="62">
        <f ca="1">AVERAGE(OFFSET($CC$3,0,0,'Données projet'!$E$12+1,1))-AVERAGE(OFFSET($H$3,0,0,'Données projet'!$E$12+1,1))</f>
        <v>72.97248599808384</v>
      </c>
      <c r="CE26" s="62">
        <f t="shared" si="40"/>
        <v>346.88163654003574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66.760990852321342</v>
      </c>
      <c r="CL26" s="23">
        <f>EXP(-LN(2)/25)*CL25+(1-EXP(-LN(2)/25))/(LN(2)/25)*Calculateur!CG26*Calculateur!CI26*VLOOKUP('Données projet'!$B$12,Paramètres!$A$1:$I$89,3,0)*0.475*44/12</f>
        <v>15.852850624311605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82.613841476632942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>
        <f>CT26*VLOOKUP('Données projet'!$B$13,Paramètres!$A$1:$I$89,3,0)*VLOOKUP('Données projet'!$B$13,Paramètres!$A$1:$I$89,5,0)</f>
        <v>0</v>
      </c>
      <c r="CV26" s="14" t="e">
        <f t="shared" si="41"/>
        <v>#NUM!</v>
      </c>
      <c r="CW26" s="22" t="e">
        <f t="shared" si="13"/>
        <v>#NUM!</v>
      </c>
      <c r="CX26" s="62" t="e">
        <f t="shared" si="14"/>
        <v>#NUM!</v>
      </c>
      <c r="CY26" s="62">
        <f ca="1">AVERAGE(OFFSET($CX$3,0,0,'Données projet'!$E$13+1,1))-AVERAGE(OFFSET($H$3,0,0,'Données projet'!$E$13+1,1))</f>
        <v>67.303283896086128</v>
      </c>
      <c r="CZ26" s="62">
        <f t="shared" si="42"/>
        <v>318.97925671653547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60.624186679266728</v>
      </c>
      <c r="DG26" s="23">
        <f>EXP(-LN(2)/25)*DG25+(1-EXP(-LN(2)/25))/(LN(2)/25)*Calculateur!DB26*Calculateur!DD26*VLOOKUP('Données projet'!$B$13,Paramètres!$A$1:$I$89,3,0)*0.475*44/12</f>
        <v>14.395624800906916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75.019811480173644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>
        <f>DO26*VLOOKUP('Données projet'!$B$14,Paramètres!$A$1:$I$89,3,0)*VLOOKUP('Données projet'!$B$14,Paramètres!$A$1:$I$89,5,0)</f>
        <v>0</v>
      </c>
      <c r="DQ26" s="14" t="e">
        <f t="shared" si="43"/>
        <v>#NUM!</v>
      </c>
      <c r="DR26" s="22" t="e">
        <f t="shared" si="16"/>
        <v>#NUM!</v>
      </c>
      <c r="DS26" s="62" t="e">
        <f t="shared" si="17"/>
        <v>#NUM!</v>
      </c>
      <c r="DT26" s="62">
        <f ca="1">AVERAGE(OFFSET($DS$3,0,0,'Données projet'!$E$14+1,1))-AVERAGE(OFFSET($H$3,0,0,'Données projet'!$E$14+1,1))</f>
        <v>75.244137291704476</v>
      </c>
      <c r="DU26" s="62">
        <f t="shared" si="44"/>
        <v>366.065475656937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70.987440007317616</v>
      </c>
      <c r="EB26" s="23">
        <f>EXP(-LN(2)/25)*EB25+(1-EXP(-LN(2)/25))/(LN(2)/25)*Calculateur!DW26*Calculateur!DY26*VLOOKUP('Données projet'!$B$14,Paramètres!$A$1:$I$89,3,0)*0.475*44/12</f>
        <v>16.856449676243209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87.843889683560832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2.84</v>
      </c>
      <c r="EJ26" s="13">
        <f>IF('Données projet'!$A$192&gt;35,EJ25+EI26-ER25,IF(A26&lt;'Données projet'!$A$192,$EG$205^A26,IF(A26='Données projet'!$A$192,'Données projet'!$B$192,EJ25+EI26-ER25)))</f>
        <v>50.484455997861858</v>
      </c>
      <c r="EK26" s="18">
        <f>EJ26*VLOOKUP('Données projet'!$B$15,Paramètres!$A$1:$I$89,3,0)*VLOOKUP('Données projet'!$B$15,Paramètres!$A$1:$I$89,5,0)</f>
        <v>48.82856584113199</v>
      </c>
      <c r="EL26" s="14">
        <f t="shared" si="45"/>
        <v>14.310815529966783</v>
      </c>
      <c r="EM26" s="22">
        <f t="shared" si="19"/>
        <v>109.96775588799703</v>
      </c>
      <c r="EN26" s="62">
        <f t="shared" si="20"/>
        <v>306.99907460849488</v>
      </c>
      <c r="EO26" s="62">
        <f ca="1">AVERAGE(OFFSET($EN$3,0,0,'Données projet'!$E$15+1,1))-AVERAGE(OFFSET($H$3,0,0,'Données projet'!$E$15+1,1))</f>
        <v>452.74627739105745</v>
      </c>
      <c r="EP26" s="62">
        <f t="shared" si="46"/>
        <v>281.80695725575106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2.84</v>
      </c>
      <c r="FE26" s="13">
        <f>IF('Données projet'!$A$218&gt;35,FE25+FD26-FM25,IF(A26&lt;'Données projet'!$A$218,$FB$205^A26,IF(A26='Données projet'!$A$218,'Données projet'!$B$218,FE25+FD26-FM25)))</f>
        <v>50.484455997861858</v>
      </c>
      <c r="FF26" s="18">
        <f>FE26*VLOOKUP('Données projet'!$B$16,Paramètres!$A$1:$I$89,3,0)*VLOOKUP('Données projet'!$B$16,Paramètres!$A$1:$I$89,5,0)</f>
        <v>54.341468436098509</v>
      </c>
      <c r="FG26" s="14">
        <f t="shared" si="47"/>
        <v>15.729471951582019</v>
      </c>
      <c r="FH26" s="22">
        <f t="shared" si="22"/>
        <v>122.04022117521025</v>
      </c>
      <c r="FI26" s="62">
        <f t="shared" si="23"/>
        <v>319.0715398957081</v>
      </c>
      <c r="FJ26" s="62">
        <f ca="1">AVERAGE(OFFSET($FI$3,0,0,'Données projet'!$E$16+1,1))-AVERAGE(OFFSET($H$3,0,0,'Données projet'!$E$16+1,1))</f>
        <v>492.72391755143508</v>
      </c>
      <c r="FK26" s="62">
        <f t="shared" si="48"/>
        <v>304.88554179994355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46.069147529832755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143.77000000000001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10.4</v>
      </c>
      <c r="N27" s="14">
        <f>IF('Données projet'!$A$36&gt;35,N26+M27-V26,IF(A27&lt;'Données projet'!$A$36,$K$205^A27,IF(A27='Données projet'!$A$36,'Données projet'!$B$36,N26+M27-V26)))</f>
        <v>203.6</v>
      </c>
      <c r="O27" s="14">
        <f>N27*VLOOKUP('Données projet'!$B$9,Paramètres!$A$1:$I$89,3,0)*VLOOKUP('Données projet'!$B$9,Paramètres!$A$1:$I$89,5,0)</f>
        <v>184.21727999999999</v>
      </c>
      <c r="P27" s="14">
        <f t="shared" si="33"/>
        <v>46.25918487744358</v>
      </c>
      <c r="Q27" s="22">
        <f t="shared" si="2"/>
        <v>401.41317632821421</v>
      </c>
      <c r="R27" s="62">
        <f t="shared" si="0"/>
        <v>601.18892216388429</v>
      </c>
      <c r="S27" s="62">
        <f ca="1">AVERAGE(OFFSET($R$3,0,0,'Données projet'!$E$9+1,1))-AVERAGE(OFFSET($H$3,0,0,'Données projet'!$E$9+1,1))</f>
        <v>388.8309693898596</v>
      </c>
      <c r="T27" s="62">
        <f t="shared" si="34"/>
        <v>549.06702041234382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5.1468743685336316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5.1468743685336316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>
        <f>AI27*VLOOKUP('Données projet'!$B$10,Paramètres!$A$1:$I$89,3,0)*VLOOKUP('Données projet'!$B$10,Paramètres!$A$1:$I$89,5,0)</f>
        <v>125.13150000000006</v>
      </c>
      <c r="AK27" s="14">
        <f t="shared" si="35"/>
        <v>32.868905092404546</v>
      </c>
      <c r="AL27" s="22">
        <f t="shared" si="4"/>
        <v>275.18403886927132</v>
      </c>
      <c r="AM27" s="62">
        <f t="shared" si="5"/>
        <v>474.9597847049414</v>
      </c>
      <c r="AN27" s="62">
        <f ca="1">AVERAGE(OFFSET($AM$3,0,0,'Données projet'!$E$10+1,1))-AVERAGE(OFFSET($H$3,0,0,'Données projet'!$E$10+1,1))</f>
        <v>197.85998851681552</v>
      </c>
      <c r="AO27" s="62">
        <f t="shared" si="36"/>
        <v>474.54844785896239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10.358390584998899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13.793240932810601</v>
      </c>
      <c r="AX27" s="23">
        <f t="shared" si="6"/>
        <v>24.151631517809498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16.625</v>
      </c>
      <c r="BD27" s="13">
        <f>IF('Données projet'!$A$88&gt;35,BD26+BC27-BL26,IF(A27&lt;'Données projet'!$A$88,$BA$205^A27,IF(A27='Données projet'!$A$88,'Données projet'!$B$88,BD26+BC27-BL26)))</f>
        <v>209.25000000000009</v>
      </c>
      <c r="BE27" s="14">
        <f>BD27*VLOOKUP('Données projet'!$B$11,Paramètres!$A$1:$I$89,3,0)*VLOOKUP('Données projet'!$B$11,Paramètres!$A$1:$I$89,5,0)</f>
        <v>125.13150000000006</v>
      </c>
      <c r="BF27" s="14">
        <f t="shared" si="37"/>
        <v>32.868905092404546</v>
      </c>
      <c r="BG27" s="22">
        <f t="shared" si="7"/>
        <v>275.18403886927132</v>
      </c>
      <c r="BH27" s="62">
        <f t="shared" si="8"/>
        <v>474.9597847049414</v>
      </c>
      <c r="BI27" s="62">
        <f ca="1">AVERAGE(OFFSET($BH$3,0,0,'Données projet'!$E$11+1,1))-AVERAGE(OFFSET($H$3,0,0,'Données projet'!$E$11+1,1))</f>
        <v>197.85998851681552</v>
      </c>
      <c r="BJ27" s="62">
        <f t="shared" si="38"/>
        <v>474.54844785896239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10.358390584998899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13.793240932810601</v>
      </c>
      <c r="BS27" s="24">
        <f t="shared" si="9"/>
        <v>24.151631517809498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>
        <f>BY27*VLOOKUP('Données projet'!$B$12,Paramètres!$A$1:$I$89,3,0)*VLOOKUP('Données projet'!$B$12,Paramètres!$A$1:$I$89,5,0)</f>
        <v>0</v>
      </c>
      <c r="CA27" s="14" t="e">
        <f t="shared" si="39"/>
        <v>#NUM!</v>
      </c>
      <c r="CB27" s="22" t="e">
        <f t="shared" si="10"/>
        <v>#NUM!</v>
      </c>
      <c r="CC27" s="62" t="e">
        <f t="shared" si="11"/>
        <v>#NUM!</v>
      </c>
      <c r="CD27" s="62">
        <f ca="1">AVERAGE(OFFSET($CC$3,0,0,'Données projet'!$E$12+1,1))-AVERAGE(OFFSET($H$3,0,0,'Données projet'!$E$12+1,1))</f>
        <v>72.97248599808384</v>
      </c>
      <c r="CE27" s="62">
        <f t="shared" si="40"/>
        <v>346.88163654003574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65.451848541890953</v>
      </c>
      <c r="CL27" s="23">
        <f>EXP(-LN(2)/25)*CL26+(1-EXP(-LN(2)/25))/(LN(2)/25)*Calculateur!CG27*Calculateur!CI27*VLOOKUP('Données projet'!$B$12,Paramètres!$A$1:$I$89,3,0)*0.475*44/12</f>
        <v>15.419353590324622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80.871202132215572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>
        <f>CT27*VLOOKUP('Données projet'!$B$13,Paramètres!$A$1:$I$89,3,0)*VLOOKUP('Données projet'!$B$13,Paramètres!$A$1:$I$89,5,0)</f>
        <v>0</v>
      </c>
      <c r="CV27" s="14" t="e">
        <f t="shared" si="41"/>
        <v>#NUM!</v>
      </c>
      <c r="CW27" s="22" t="e">
        <f t="shared" si="13"/>
        <v>#NUM!</v>
      </c>
      <c r="CX27" s="62" t="e">
        <f t="shared" si="14"/>
        <v>#NUM!</v>
      </c>
      <c r="CY27" s="62">
        <f ca="1">AVERAGE(OFFSET($CX$3,0,0,'Données projet'!$E$13+1,1))-AVERAGE(OFFSET($H$3,0,0,'Données projet'!$E$13+1,1))</f>
        <v>67.303283896086128</v>
      </c>
      <c r="CZ27" s="62">
        <f t="shared" si="42"/>
        <v>318.97925671653547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59.435383355588996</v>
      </c>
      <c r="DG27" s="23">
        <f>EXP(-LN(2)/25)*DG26+(1-EXP(-LN(2)/25))/(LN(2)/25)*Calculateur!DB27*Calculateur!DD27*VLOOKUP('Données projet'!$B$13,Paramètres!$A$1:$I$89,3,0)*0.475*44/12</f>
        <v>14.001975683693109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73.4373590392821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>
        <f>DO27*VLOOKUP('Données projet'!$B$14,Paramètres!$A$1:$I$89,3,0)*VLOOKUP('Données projet'!$B$14,Paramètres!$A$1:$I$89,5,0)</f>
        <v>0</v>
      </c>
      <c r="DQ27" s="14" t="e">
        <f t="shared" si="43"/>
        <v>#NUM!</v>
      </c>
      <c r="DR27" s="22" t="e">
        <f t="shared" si="16"/>
        <v>#NUM!</v>
      </c>
      <c r="DS27" s="62" t="e">
        <f t="shared" si="17"/>
        <v>#NUM!</v>
      </c>
      <c r="DT27" s="62">
        <f ca="1">AVERAGE(OFFSET($DS$3,0,0,'Données projet'!$E$14+1,1))-AVERAGE(OFFSET($H$3,0,0,'Données projet'!$E$14+1,1))</f>
        <v>75.244137291704476</v>
      </c>
      <c r="DU27" s="62">
        <f t="shared" si="44"/>
        <v>366.065475656937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69.595419606837197</v>
      </c>
      <c r="EB27" s="23">
        <f>EXP(-LN(2)/25)*EB26+(1-EXP(-LN(2)/25))/(LN(2)/25)*Calculateur!DW27*Calculateur!DY27*VLOOKUP('Données projet'!$B$14,Paramètres!$A$1:$I$89,3,0)*0.475*44/12</f>
        <v>16.395509173404175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85.990928780241376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2.84</v>
      </c>
      <c r="EJ27" s="13">
        <f>IF('Données projet'!$A$192&gt;35,EJ26+EI27-ER26,IF(A27&lt;'Données projet'!$A$192,$EG$205^A27,IF(A27='Données projet'!$A$192,'Données projet'!$B$192,EJ26+EI27-ER26)))</f>
        <v>59.869828593776646</v>
      </c>
      <c r="EK27" s="18">
        <f>EJ27*VLOOKUP('Données projet'!$B$15,Paramètres!$A$1:$I$89,3,0)*VLOOKUP('Données projet'!$B$15,Paramètres!$A$1:$I$89,5,0)</f>
        <v>57.906098215900776</v>
      </c>
      <c r="EL27" s="14">
        <f t="shared" si="45"/>
        <v>16.637775452924981</v>
      </c>
      <c r="EM27" s="22">
        <f t="shared" si="19"/>
        <v>129.83057997320486</v>
      </c>
      <c r="EN27" s="62">
        <f t="shared" si="20"/>
        <v>329.606325808875</v>
      </c>
      <c r="EO27" s="62">
        <f ca="1">AVERAGE(OFFSET($EN$3,0,0,'Données projet'!$E$15+1,1))-AVERAGE(OFFSET($H$3,0,0,'Données projet'!$E$15+1,1))</f>
        <v>452.74627739105745</v>
      </c>
      <c r="EP27" s="62">
        <f t="shared" si="46"/>
        <v>281.80695725575106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2.84</v>
      </c>
      <c r="FE27" s="13">
        <f>IF('Données projet'!$A$218&gt;35,FE26+FD27-FM26,IF(A27&lt;'Données projet'!$A$218,$FB$205^A27,IF(A27='Données projet'!$A$218,'Données projet'!$B$218,FE26+FD27-FM26)))</f>
        <v>59.869828593776646</v>
      </c>
      <c r="FF27" s="18">
        <f>FE27*VLOOKUP('Données projet'!$B$16,Paramètres!$A$1:$I$89,3,0)*VLOOKUP('Données projet'!$B$16,Paramètres!$A$1:$I$89,5,0)</f>
        <v>64.443883498341179</v>
      </c>
      <c r="FG27" s="14">
        <f t="shared" si="47"/>
        <v>18.287107521964597</v>
      </c>
      <c r="FH27" s="22">
        <f t="shared" si="22"/>
        <v>144.08980936036588</v>
      </c>
      <c r="FI27" s="62">
        <f t="shared" si="23"/>
        <v>343.86555519603598</v>
      </c>
      <c r="FJ27" s="62">
        <f ca="1">AVERAGE(OFFSET($FI$3,0,0,'Données projet'!$E$16+1,1))-AVERAGE(OFFSET($H$3,0,0,'Données projet'!$E$16+1,1))</f>
        <v>492.72391755143508</v>
      </c>
      <c r="FK27" s="62">
        <f t="shared" si="48"/>
        <v>304.88554179994355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46.484294318819117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143.77000000000001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214</v>
      </c>
      <c r="L28" s="13">
        <f>VLOOKUP(A28,'Données projet'!$A$35:$I$55,9,0)</f>
        <v>10.4</v>
      </c>
      <c r="M28" s="13">
        <f t="array" ref="M28">INDEX(L:L,MIN(IF(ISNUMBER(L28:L224),ROW(L28:L224),"")))</f>
        <v>10.4</v>
      </c>
      <c r="N28" s="14">
        <f>IF('Données projet'!$A$36&gt;35,N27+M28-V27,IF(A28&lt;'Données projet'!$A$36,$K$205^A28,IF(A28='Données projet'!$A$36,'Données projet'!$B$36,N27+M28-V27)))</f>
        <v>214</v>
      </c>
      <c r="O28" s="14">
        <f>N28*VLOOKUP('Données projet'!$B$9,Paramètres!$A$1:$I$89,3,0)*VLOOKUP('Données projet'!$B$9,Paramètres!$A$1:$I$89,5,0)</f>
        <v>193.62719999999999</v>
      </c>
      <c r="P28" s="14">
        <f t="shared" si="33"/>
        <v>48.340990547231193</v>
      </c>
      <c r="Q28" s="22">
        <f t="shared" si="2"/>
        <v>421.42793186976093</v>
      </c>
      <c r="R28" s="62">
        <f t="shared" si="0"/>
        <v>623.92169796885082</v>
      </c>
      <c r="S28" s="62">
        <f ca="1">AVERAGE(OFFSET($R$3,0,0,'Données projet'!$E$9+1,1))-AVERAGE(OFFSET($H$3,0,0,'Données projet'!$E$9+1,1))</f>
        <v>388.8309693898596</v>
      </c>
      <c r="T28" s="62">
        <f t="shared" si="34"/>
        <v>549.06702041234382</v>
      </c>
      <c r="U28" s="16">
        <f>IF(ISNA(VLOOKUP(A28,'Données projet'!$A$35:$I$55,3,0)),0,VLOOKUP(A28,'Données projet'!$A$35:$I$55,3,0))</f>
        <v>5</v>
      </c>
      <c r="V28" s="16">
        <f>IF(ISNA(VLOOKUP(A28,'Données projet'!$A$35:$I$55,4,0)),0,VLOOKUP(A28,'Données projet'!$A$35:$I$55,4,0))</f>
        <v>14</v>
      </c>
      <c r="W28" s="17">
        <f>IF(ISNA(VLOOKUP(A28,'Données projet'!$A$35:$I$55,5,0)),0%,VLOOKUP(A28,'Données projet'!$A$35:$I$55,5,0)*VLOOKUP('Données projet'!$B$9,Paramètres!$A$1:$I$89,7,0))</f>
        <v>0.24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8.4067187554388223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8.4067187554388223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>
        <f>AI28*VLOOKUP('Données projet'!$B$10,Paramètres!$A$1:$I$89,3,0)*VLOOKUP('Données projet'!$B$10,Paramètres!$A$1:$I$89,5,0)</f>
        <v>135.07325000000006</v>
      </c>
      <c r="AK28" s="14">
        <f t="shared" si="35"/>
        <v>35.166013795582487</v>
      </c>
      <c r="AL28" s="22">
        <f t="shared" si="4"/>
        <v>296.50005111063956</v>
      </c>
      <c r="AM28" s="62">
        <f t="shared" si="5"/>
        <v>498.99381720972951</v>
      </c>
      <c r="AN28" s="62">
        <f ca="1">AVERAGE(OFFSET($AM$3,0,0,'Données projet'!$E$10+1,1))-AVERAGE(OFFSET($H$3,0,0,'Données projet'!$E$10+1,1))</f>
        <v>197.85998851681552</v>
      </c>
      <c r="AO28" s="62">
        <f t="shared" si="36"/>
        <v>474.54844785896239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10.155268863621478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9.7532941981302379</v>
      </c>
      <c r="AX28" s="23">
        <f t="shared" si="6"/>
        <v>19.908563061751714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16.625</v>
      </c>
      <c r="BD28" s="13">
        <f>IF('Données projet'!$A$88&gt;35,BD27+BC28-BL27,IF(A28&lt;'Données projet'!$A$88,$BA$205^A28,IF(A28='Données projet'!$A$88,'Données projet'!$B$88,BD27+BC28-BL27)))</f>
        <v>225.87500000000009</v>
      </c>
      <c r="BE28" s="14">
        <f>BD28*VLOOKUP('Données projet'!$B$11,Paramètres!$A$1:$I$89,3,0)*VLOOKUP('Données projet'!$B$11,Paramètres!$A$1:$I$89,5,0)</f>
        <v>135.07325000000006</v>
      </c>
      <c r="BF28" s="14">
        <f t="shared" si="37"/>
        <v>35.166013795582487</v>
      </c>
      <c r="BG28" s="22">
        <f t="shared" si="7"/>
        <v>296.50005111063956</v>
      </c>
      <c r="BH28" s="62">
        <f t="shared" si="8"/>
        <v>498.99381720972951</v>
      </c>
      <c r="BI28" s="62">
        <f ca="1">AVERAGE(OFFSET($BH$3,0,0,'Données projet'!$E$11+1,1))-AVERAGE(OFFSET($H$3,0,0,'Données projet'!$E$11+1,1))</f>
        <v>197.85998851681552</v>
      </c>
      <c r="BJ28" s="62">
        <f t="shared" si="38"/>
        <v>474.54844785896239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10.155268863621478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9.7532941981302379</v>
      </c>
      <c r="BS28" s="24">
        <f t="shared" si="9"/>
        <v>19.908563061751714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>
        <f>BY28*VLOOKUP('Données projet'!$B$12,Paramètres!$A$1:$I$89,3,0)*VLOOKUP('Données projet'!$B$12,Paramètres!$A$1:$I$89,5,0)</f>
        <v>0</v>
      </c>
      <c r="CA28" s="14" t="e">
        <f t="shared" si="39"/>
        <v>#NUM!</v>
      </c>
      <c r="CB28" s="22" t="e">
        <f t="shared" si="10"/>
        <v>#NUM!</v>
      </c>
      <c r="CC28" s="62" t="e">
        <f t="shared" si="11"/>
        <v>#NUM!</v>
      </c>
      <c r="CD28" s="62">
        <f ca="1">AVERAGE(OFFSET($CC$3,0,0,'Données projet'!$E$12+1,1))-AVERAGE(OFFSET($H$3,0,0,'Données projet'!$E$12+1,1))</f>
        <v>72.97248599808384</v>
      </c>
      <c r="CE28" s="62">
        <f t="shared" si="40"/>
        <v>346.88163654003574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64.168377713670139</v>
      </c>
      <c r="CL28" s="23">
        <f>EXP(-LN(2)/25)*CL27+(1-EXP(-LN(2)/25))/(LN(2)/25)*Calculateur!CG28*Calculateur!CI28*VLOOKUP('Données projet'!$B$12,Paramètres!$A$1:$I$89,3,0)*0.475*44/12</f>
        <v>14.997710555528631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79.166088269198767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>
        <f>CT28*VLOOKUP('Données projet'!$B$13,Paramètres!$A$1:$I$89,3,0)*VLOOKUP('Données projet'!$B$13,Paramètres!$A$1:$I$89,5,0)</f>
        <v>0</v>
      </c>
      <c r="CV28" s="14" t="e">
        <f t="shared" si="41"/>
        <v>#NUM!</v>
      </c>
      <c r="CW28" s="22" t="e">
        <f t="shared" si="13"/>
        <v>#NUM!</v>
      </c>
      <c r="CX28" s="62" t="e">
        <f t="shared" si="14"/>
        <v>#NUM!</v>
      </c>
      <c r="CY28" s="62">
        <f ca="1">AVERAGE(OFFSET($CX$3,0,0,'Données projet'!$E$13+1,1))-AVERAGE(OFFSET($H$3,0,0,'Données projet'!$E$13+1,1))</f>
        <v>67.303283896086128</v>
      </c>
      <c r="CZ28" s="62">
        <f t="shared" si="42"/>
        <v>318.97925671653547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58.269891739990157</v>
      </c>
      <c r="DG28" s="23">
        <f>EXP(-LN(2)/25)*DG27+(1-EXP(-LN(2)/25))/(LN(2)/25)*Calculateur!DB28*Calculateur!DD28*VLOOKUP('Données projet'!$B$13,Paramètres!$A$1:$I$89,3,0)*0.475*44/12</f>
        <v>13.619090922290622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71.888982662280782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>
        <f>DO28*VLOOKUP('Données projet'!$B$14,Paramètres!$A$1:$I$89,3,0)*VLOOKUP('Données projet'!$B$14,Paramètres!$A$1:$I$89,5,0)</f>
        <v>0</v>
      </c>
      <c r="DQ28" s="14" t="e">
        <f t="shared" si="43"/>
        <v>#NUM!</v>
      </c>
      <c r="DR28" s="22" t="e">
        <f t="shared" si="16"/>
        <v>#NUM!</v>
      </c>
      <c r="DS28" s="62" t="e">
        <f t="shared" si="17"/>
        <v>#NUM!</v>
      </c>
      <c r="DT28" s="62">
        <f ca="1">AVERAGE(OFFSET($DS$3,0,0,'Données projet'!$E$14+1,1))-AVERAGE(OFFSET($H$3,0,0,'Données projet'!$E$14+1,1))</f>
        <v>75.244137291704476</v>
      </c>
      <c r="DU28" s="62">
        <f t="shared" si="44"/>
        <v>366.065475656937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68.230695877361583</v>
      </c>
      <c r="EB28" s="23">
        <f>EXP(-LN(2)/25)*EB27+(1-EXP(-LN(2)/25))/(LN(2)/25)*Calculateur!DW28*Calculateur!DY28*VLOOKUP('Données projet'!$B$14,Paramètres!$A$1:$I$89,3,0)*0.475*44/12</f>
        <v>15.947173112855083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84.177868990216666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71</v>
      </c>
      <c r="EH28" s="13">
        <f>VLOOKUP(A28,'Données projet'!$A$191:$I$211,9,0)</f>
        <v>2.84</v>
      </c>
      <c r="EI28" s="13">
        <f t="array" ref="EI28">INDEX(EH:EH,MIN(IF(ISNUMBER(EH28:EH224),ROW(EH28:EH224),"")))</f>
        <v>2.84</v>
      </c>
      <c r="EJ28" s="13">
        <f>IF('Données projet'!$A$192&gt;35,EJ27+EI28-ER27,IF(A28&lt;'Données projet'!$A$192,$EG$205^A28,IF(A28='Données projet'!$A$192,'Données projet'!$B$192,EJ27+EI28-ER27)))</f>
        <v>71</v>
      </c>
      <c r="EK28" s="18">
        <f>EJ28*VLOOKUP('Données projet'!$B$15,Paramètres!$A$1:$I$89,3,0)*VLOOKUP('Données projet'!$B$15,Paramètres!$A$1:$I$89,5,0)</f>
        <v>68.671200000000013</v>
      </c>
      <c r="EL28" s="14">
        <f t="shared" si="45"/>
        <v>19.343102525659866</v>
      </c>
      <c r="EM28" s="22">
        <f t="shared" si="19"/>
        <v>153.29157689885758</v>
      </c>
      <c r="EN28" s="62">
        <f t="shared" si="20"/>
        <v>355.78534299794751</v>
      </c>
      <c r="EO28" s="62">
        <f ca="1">AVERAGE(OFFSET($EN$3,0,0,'Données projet'!$E$15+1,1))-AVERAGE(OFFSET($H$3,0,0,'Données projet'!$E$15+1,1))</f>
        <v>452.74627739105745</v>
      </c>
      <c r="EP28" s="62">
        <f t="shared" si="46"/>
        <v>281.80695725575106</v>
      </c>
      <c r="EQ28" s="16">
        <f>IF(ISNA(VLOOKUP(A28,'Données projet'!$A$191:$I$211,3,0)),0,VLOOKUP(A28,'Données projet'!$A$191:$I$211,3,0))</f>
        <v>1</v>
      </c>
      <c r="ER28" s="16">
        <f>IF(ISNA(VLOOKUP(A28,'Données projet'!$A$191:$I$211,4,0)),0,VLOOKUP(A28,'Données projet'!$A$191:$I$211,4,0))</f>
        <v>8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71</v>
      </c>
      <c r="FC28" s="13">
        <f>VLOOKUP(A28,'Données projet'!$A$217:$I$237,9,0)</f>
        <v>2.84</v>
      </c>
      <c r="FD28" s="13">
        <f t="array" ref="FD28">INDEX(FC:FC,MIN(IF(ISNUMBER(FC28:FC224),ROW(FC28:FC224),"")))</f>
        <v>2.84</v>
      </c>
      <c r="FE28" s="13">
        <f>IF('Données projet'!$A$218&gt;35,FE27+FD28-FM27,IF(A28&lt;'Données projet'!$A$218,$FB$205^A28,IF(A28='Données projet'!$A$218,'Données projet'!$B$218,FE27+FD28-FM27)))</f>
        <v>71</v>
      </c>
      <c r="FF28" s="18">
        <f>FE28*VLOOKUP('Données projet'!$B$16,Paramètres!$A$1:$I$89,3,0)*VLOOKUP('Données projet'!$B$16,Paramètres!$A$1:$I$89,5,0)</f>
        <v>76.424399999999991</v>
      </c>
      <c r="FG28" s="14">
        <f t="shared" si="47"/>
        <v>21.260618446015851</v>
      </c>
      <c r="FH28" s="22">
        <f t="shared" si="22"/>
        <v>170.13474046014426</v>
      </c>
      <c r="FI28" s="62">
        <f t="shared" si="23"/>
        <v>372.62850655923421</v>
      </c>
      <c r="FJ28" s="62">
        <f ca="1">AVERAGE(OFFSET($FI$3,0,0,'Données projet'!$E$16+1,1))-AVERAGE(OFFSET($H$3,0,0,'Données projet'!$E$16+1,1))</f>
        <v>492.72391755143508</v>
      </c>
      <c r="FK28" s="62">
        <f t="shared" si="48"/>
        <v>304.88554179994355</v>
      </c>
      <c r="FL28" s="16">
        <f>IF(ISNA(VLOOKUP(A28,'Données projet'!$A$217:$I$237,3,0)),0,VLOOKUP(A28,'Données projet'!$A$217:$I$237,3,0))</f>
        <v>1</v>
      </c>
      <c r="FM28" s="16">
        <f>IF(ISNA(VLOOKUP(A28,'Données projet'!$A$217:$I$237,4,0)),0,VLOOKUP(A28,'Données projet'!$A$217:$I$237,4,0))</f>
        <v>8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46.892239239145738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143.77000000000001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8.6</v>
      </c>
      <c r="N29" s="14">
        <f>IF('Données projet'!$A$36&gt;35,N28+M29-V28,IF(A29&lt;'Données projet'!$A$36,$K$205^A29,IF(A29='Données projet'!$A$36,'Données projet'!$B$36,N28+M29-V28)))</f>
        <v>208.6</v>
      </c>
      <c r="O29" s="14">
        <f>N29*VLOOKUP('Données projet'!$B$9,Paramètres!$A$1:$I$89,3,0)*VLOOKUP('Données projet'!$B$9,Paramètres!$A$1:$I$89,5,0)</f>
        <v>188.74127999999999</v>
      </c>
      <c r="P29" s="14">
        <f t="shared" si="33"/>
        <v>47.261560168122358</v>
      </c>
      <c r="Q29" s="22">
        <f t="shared" si="2"/>
        <v>411.03827995947972</v>
      </c>
      <c r="R29" s="62">
        <f t="shared" si="0"/>
        <v>616.22411757007819</v>
      </c>
      <c r="S29" s="62">
        <f ca="1">AVERAGE(OFFSET($R$3,0,0,'Données projet'!$E$9+1,1))-AVERAGE(OFFSET($H$3,0,0,'Données projet'!$E$9+1,1))</f>
        <v>388.8309693898596</v>
      </c>
      <c r="T29" s="62">
        <f t="shared" si="34"/>
        <v>549.06702041234382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8.2418681282368009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8.2418681282368009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>
        <f>AI29*VLOOKUP('Données projet'!$B$10,Paramètres!$A$1:$I$89,3,0)*VLOOKUP('Données projet'!$B$10,Paramètres!$A$1:$I$89,5,0)</f>
        <v>145.01500000000004</v>
      </c>
      <c r="AK29" s="14">
        <f t="shared" si="35"/>
        <v>37.443507744276459</v>
      </c>
      <c r="AL29" s="22">
        <f t="shared" si="4"/>
        <v>317.78190098794829</v>
      </c>
      <c r="AM29" s="62">
        <f t="shared" si="5"/>
        <v>522.9677385985467</v>
      </c>
      <c r="AN29" s="62">
        <f ca="1">AVERAGE(OFFSET($AM$3,0,0,'Données projet'!$E$10+1,1))-AVERAGE(OFFSET($H$3,0,0,'Données projet'!$E$10+1,1))</f>
        <v>197.85998851681552</v>
      </c>
      <c r="AO29" s="62">
        <f t="shared" si="36"/>
        <v>474.54844785896239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9.956130235308251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6.8966204664053024</v>
      </c>
      <c r="AX29" s="23">
        <f t="shared" si="6"/>
        <v>16.852750701713553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16.625</v>
      </c>
      <c r="BD29" s="13">
        <f>IF('Données projet'!$A$88&gt;35,BD28+BC29-BL28,IF(A29&lt;'Données projet'!$A$88,$BA$205^A29,IF(A29='Données projet'!$A$88,'Données projet'!$B$88,BD28+BC29-BL28)))</f>
        <v>242.50000000000009</v>
      </c>
      <c r="BE29" s="14">
        <f>BD29*VLOOKUP('Données projet'!$B$11,Paramètres!$A$1:$I$89,3,0)*VLOOKUP('Données projet'!$B$11,Paramètres!$A$1:$I$89,5,0)</f>
        <v>145.01500000000004</v>
      </c>
      <c r="BF29" s="14">
        <f t="shared" si="37"/>
        <v>37.443507744276459</v>
      </c>
      <c r="BG29" s="22">
        <f t="shared" si="7"/>
        <v>317.78190098794829</v>
      </c>
      <c r="BH29" s="62">
        <f t="shared" si="8"/>
        <v>522.9677385985467</v>
      </c>
      <c r="BI29" s="62">
        <f ca="1">AVERAGE(OFFSET($BH$3,0,0,'Données projet'!$E$11+1,1))-AVERAGE(OFFSET($H$3,0,0,'Données projet'!$E$11+1,1))</f>
        <v>197.85998851681552</v>
      </c>
      <c r="BJ29" s="62">
        <f t="shared" si="38"/>
        <v>474.54844785896239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9.956130235308251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6.8966204664053024</v>
      </c>
      <c r="BS29" s="24">
        <f t="shared" si="9"/>
        <v>16.852750701713553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>
        <f>BY29*VLOOKUP('Données projet'!$B$12,Paramètres!$A$1:$I$89,3,0)*VLOOKUP('Données projet'!$B$12,Paramètres!$A$1:$I$89,5,0)</f>
        <v>0</v>
      </c>
      <c r="CA29" s="14" t="e">
        <f t="shared" si="39"/>
        <v>#NUM!</v>
      </c>
      <c r="CB29" s="22" t="e">
        <f t="shared" si="10"/>
        <v>#NUM!</v>
      </c>
      <c r="CC29" s="62" t="e">
        <f t="shared" si="11"/>
        <v>#NUM!</v>
      </c>
      <c r="CD29" s="62">
        <f ca="1">AVERAGE(OFFSET($CC$3,0,0,'Données projet'!$E$12+1,1))-AVERAGE(OFFSET($H$3,0,0,'Données projet'!$E$12+1,1))</f>
        <v>72.97248599808384</v>
      </c>
      <c r="CE29" s="62">
        <f t="shared" si="40"/>
        <v>346.88163654003574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62.910074965550834</v>
      </c>
      <c r="CL29" s="23">
        <f>EXP(-LN(2)/25)*CL28+(1-EXP(-LN(2)/25))/(LN(2)/25)*Calculateur!CG29*Calculateur!CI29*VLOOKUP('Données projet'!$B$12,Paramètres!$A$1:$I$89,3,0)*0.475*44/12</f>
        <v>14.587597371692381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77.497672337243216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>
        <f>CT29*VLOOKUP('Données projet'!$B$13,Paramètres!$A$1:$I$89,3,0)*VLOOKUP('Données projet'!$B$13,Paramètres!$A$1:$I$89,5,0)</f>
        <v>0</v>
      </c>
      <c r="CV29" s="14" t="e">
        <f t="shared" si="41"/>
        <v>#NUM!</v>
      </c>
      <c r="CW29" s="22" t="e">
        <f t="shared" si="13"/>
        <v>#NUM!</v>
      </c>
      <c r="CX29" s="62" t="e">
        <f t="shared" si="14"/>
        <v>#NUM!</v>
      </c>
      <c r="CY29" s="62">
        <f ca="1">AVERAGE(OFFSET($CX$3,0,0,'Données projet'!$E$13+1,1))-AVERAGE(OFFSET($H$3,0,0,'Données projet'!$E$13+1,1))</f>
        <v>67.303283896086128</v>
      </c>
      <c r="CZ29" s="62">
        <f t="shared" si="42"/>
        <v>318.97925671653547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57.127254704093517</v>
      </c>
      <c r="DG29" s="23">
        <f>EXP(-LN(2)/25)*DG28+(1-EXP(-LN(2)/25))/(LN(2)/25)*Calculateur!DB29*Calculateur!DD29*VLOOKUP('Données projet'!$B$13,Paramètres!$A$1:$I$89,3,0)*0.475*44/12</f>
        <v>13.24667616482372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70.373930868917242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>
        <f>DO29*VLOOKUP('Données projet'!$B$14,Paramètres!$A$1:$I$89,3,0)*VLOOKUP('Données projet'!$B$14,Paramètres!$A$1:$I$89,5,0)</f>
        <v>0</v>
      </c>
      <c r="DQ29" s="14" t="e">
        <f t="shared" si="43"/>
        <v>#NUM!</v>
      </c>
      <c r="DR29" s="22" t="e">
        <f t="shared" si="16"/>
        <v>#NUM!</v>
      </c>
      <c r="DS29" s="62" t="e">
        <f t="shared" si="17"/>
        <v>#NUM!</v>
      </c>
      <c r="DT29" s="62">
        <f ca="1">AVERAGE(OFFSET($DS$3,0,0,'Données projet'!$E$14+1,1))-AVERAGE(OFFSET($H$3,0,0,'Données projet'!$E$14+1,1))</f>
        <v>75.244137291704476</v>
      </c>
      <c r="DU29" s="62">
        <f t="shared" si="44"/>
        <v>366.065475656937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66.892733547821706</v>
      </c>
      <c r="EB29" s="23">
        <f>EXP(-LN(2)/25)*EB28+(1-EXP(-LN(2)/25))/(LN(2)/25)*Calculateur!DW29*Calculateur!DY29*VLOOKUP('Données projet'!$B$14,Paramètres!$A$1:$I$89,3,0)*0.475*44/12</f>
        <v>15.511096825458674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82.403830373280385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7</v>
      </c>
      <c r="EJ29" s="13">
        <f>IF('Données projet'!$A$192&gt;35,EJ28+EI29-ER28,IF(A29&lt;'Données projet'!$A$192,$EG$205^A29,IF(A29='Données projet'!$A$192,'Données projet'!$B$192,EJ28+EI29-ER28)))</f>
        <v>70</v>
      </c>
      <c r="EK29" s="18">
        <f>EJ29*VLOOKUP('Données projet'!$B$15,Paramètres!$A$1:$I$89,3,0)*VLOOKUP('Données projet'!$B$15,Paramètres!$A$1:$I$89,5,0)</f>
        <v>67.703999999999994</v>
      </c>
      <c r="EL29" s="14">
        <f t="shared" si="45"/>
        <v>19.102177882771514</v>
      </c>
      <c r="EM29" s="22">
        <f t="shared" si="19"/>
        <v>151.18742647916039</v>
      </c>
      <c r="EN29" s="62">
        <f t="shared" si="20"/>
        <v>356.37326408975889</v>
      </c>
      <c r="EO29" s="62">
        <f ca="1">AVERAGE(OFFSET($EN$3,0,0,'Données projet'!$E$15+1,1))-AVERAGE(OFFSET($H$3,0,0,'Données projet'!$E$15+1,1))</f>
        <v>452.74627739105745</v>
      </c>
      <c r="EP29" s="62">
        <f t="shared" si="46"/>
        <v>281.80695725575106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7</v>
      </c>
      <c r="FE29" s="13">
        <f>IF('Données projet'!$A$218&gt;35,FE28+FD29-FM28,IF(A29&lt;'Données projet'!$A$218,$FB$205^A29,IF(A29='Données projet'!$A$218,'Données projet'!$B$218,FE28+FD29-FM28)))</f>
        <v>70</v>
      </c>
      <c r="FF29" s="18">
        <f>FE29*VLOOKUP('Données projet'!$B$16,Paramètres!$A$1:$I$89,3,0)*VLOOKUP('Données projet'!$B$16,Paramètres!$A$1:$I$89,5,0)</f>
        <v>75.347999999999999</v>
      </c>
      <c r="FG29" s="14">
        <f t="shared" si="47"/>
        <v>20.99581051771704</v>
      </c>
      <c r="FH29" s="22">
        <f t="shared" si="22"/>
        <v>167.79880331835713</v>
      </c>
      <c r="FI29" s="62">
        <f t="shared" si="23"/>
        <v>372.98464092895563</v>
      </c>
      <c r="FJ29" s="62">
        <f ca="1">AVERAGE(OFFSET($FI$3,0,0,'Données projet'!$E$16+1,1))-AVERAGE(OFFSET($H$3,0,0,'Données projet'!$E$16+1,1))</f>
        <v>492.72391755143508</v>
      </c>
      <c r="FK29" s="62">
        <f t="shared" si="48"/>
        <v>304.88554179994355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47.293107227132914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143.77000000000001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8.6</v>
      </c>
      <c r="N30" s="14">
        <f>IF('Données projet'!$A$36&gt;35,N29+M30-V29,IF(A30&lt;'Données projet'!$A$36,$K$205^A30,IF(A30='Données projet'!$A$36,'Données projet'!$B$36,N29+M30-V29)))</f>
        <v>217.2</v>
      </c>
      <c r="O30" s="14">
        <f>N30*VLOOKUP('Données projet'!$B$9,Paramètres!$A$1:$I$89,3,0)*VLOOKUP('Données projet'!$B$9,Paramètres!$A$1:$I$89,5,0)</f>
        <v>196.52255999999997</v>
      </c>
      <c r="P30" s="14">
        <f t="shared" si="33"/>
        <v>48.979153257338155</v>
      </c>
      <c r="Q30" s="22">
        <f t="shared" si="2"/>
        <v>427.58215058986383</v>
      </c>
      <c r="R30" s="62">
        <f t="shared" si="0"/>
        <v>635.43456111289242</v>
      </c>
      <c r="S30" s="62">
        <f ca="1">AVERAGE(OFFSET($R$3,0,0,'Données projet'!$E$9+1,1))-AVERAGE(OFFSET($H$3,0,0,'Données projet'!$E$9+1,1))</f>
        <v>388.8309693898596</v>
      </c>
      <c r="T30" s="62">
        <f t="shared" si="34"/>
        <v>549.06702041234382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8.0802501212852569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8.0802501212852569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>
        <f>AI30*VLOOKUP('Données projet'!$B$10,Paramètres!$A$1:$I$89,3,0)*VLOOKUP('Données projet'!$B$10,Paramètres!$A$1:$I$89,5,0)</f>
        <v>154.95675000000008</v>
      </c>
      <c r="AK30" s="14">
        <f t="shared" si="35"/>
        <v>39.702884639661342</v>
      </c>
      <c r="AL30" s="22">
        <f t="shared" si="4"/>
        <v>339.03219699741027</v>
      </c>
      <c r="AM30" s="62">
        <f t="shared" si="5"/>
        <v>546.88460752043886</v>
      </c>
      <c r="AN30" s="62">
        <f ca="1">AVERAGE(OFFSET($AM$3,0,0,'Données projet'!$E$10+1,1))-AVERAGE(OFFSET($H$3,0,0,'Données projet'!$E$10+1,1))</f>
        <v>197.85998851681552</v>
      </c>
      <c r="AO30" s="62">
        <f t="shared" si="36"/>
        <v>474.54844785896239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9.7608965940336763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4.8766470990651198</v>
      </c>
      <c r="AX30" s="23">
        <f t="shared" si="6"/>
        <v>14.637543693098795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16.625</v>
      </c>
      <c r="BD30" s="13">
        <f>IF('Données projet'!$A$88&gt;35,BD29+BC30-BL29,IF(A30&lt;'Données projet'!$A$88,$BA$205^A30,IF(A30='Données projet'!$A$88,'Données projet'!$B$88,BD29+BC30-BL29)))</f>
        <v>259.12500000000011</v>
      </c>
      <c r="BE30" s="14">
        <f>BD30*VLOOKUP('Données projet'!$B$11,Paramètres!$A$1:$I$89,3,0)*VLOOKUP('Données projet'!$B$11,Paramètres!$A$1:$I$89,5,0)</f>
        <v>154.95675000000008</v>
      </c>
      <c r="BF30" s="14">
        <f t="shared" si="37"/>
        <v>39.702884639661342</v>
      </c>
      <c r="BG30" s="22">
        <f t="shared" si="7"/>
        <v>339.03219699741027</v>
      </c>
      <c r="BH30" s="62">
        <f t="shared" si="8"/>
        <v>546.88460752043886</v>
      </c>
      <c r="BI30" s="62">
        <f ca="1">AVERAGE(OFFSET($BH$3,0,0,'Données projet'!$E$11+1,1))-AVERAGE(OFFSET($H$3,0,0,'Données projet'!$E$11+1,1))</f>
        <v>197.85998851681552</v>
      </c>
      <c r="BJ30" s="62">
        <f t="shared" si="38"/>
        <v>474.54844785896239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9.7608965940336763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4.8766470990651198</v>
      </c>
      <c r="BS30" s="24">
        <f t="shared" si="9"/>
        <v>14.637543693098795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>
        <f>BY30*VLOOKUP('Données projet'!$B$12,Paramètres!$A$1:$I$89,3,0)*VLOOKUP('Données projet'!$B$12,Paramètres!$A$1:$I$89,5,0)</f>
        <v>0</v>
      </c>
      <c r="CA30" s="14" t="e">
        <f t="shared" si="39"/>
        <v>#NUM!</v>
      </c>
      <c r="CB30" s="22" t="e">
        <f t="shared" si="10"/>
        <v>#NUM!</v>
      </c>
      <c r="CC30" s="62" t="e">
        <f t="shared" si="11"/>
        <v>#NUM!</v>
      </c>
      <c r="CD30" s="62">
        <f ca="1">AVERAGE(OFFSET($CC$3,0,0,'Données projet'!$E$12+1,1))-AVERAGE(OFFSET($H$3,0,0,'Données projet'!$E$12+1,1))</f>
        <v>72.97248599808384</v>
      </c>
      <c r="CE30" s="62">
        <f t="shared" si="40"/>
        <v>346.88163654003574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61.676446766833251</v>
      </c>
      <c r="CL30" s="23">
        <f>EXP(-LN(2)/25)*CL29+(1-EXP(-LN(2)/25))/(LN(2)/25)*Calculateur!CG30*Calculateur!CI30*VLOOKUP('Données projet'!$B$12,Paramètres!$A$1:$I$89,3,0)*0.475*44/12</f>
        <v>14.188698754435046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75.865145521268303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>
        <f>CT30*VLOOKUP('Données projet'!$B$13,Paramètres!$A$1:$I$89,3,0)*VLOOKUP('Données projet'!$B$13,Paramètres!$A$1:$I$89,5,0)</f>
        <v>0</v>
      </c>
      <c r="CV30" s="14" t="e">
        <f t="shared" si="41"/>
        <v>#NUM!</v>
      </c>
      <c r="CW30" s="22" t="e">
        <f t="shared" si="13"/>
        <v>#NUM!</v>
      </c>
      <c r="CX30" s="62" t="e">
        <f t="shared" si="14"/>
        <v>#NUM!</v>
      </c>
      <c r="CY30" s="62">
        <f ca="1">AVERAGE(OFFSET($CX$3,0,0,'Données projet'!$E$13+1,1))-AVERAGE(OFFSET($H$3,0,0,'Données projet'!$E$13+1,1))</f>
        <v>67.303283896086128</v>
      </c>
      <c r="CZ30" s="62">
        <f t="shared" si="42"/>
        <v>318.97925671653547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56.007024083531036</v>
      </c>
      <c r="DG30" s="23">
        <f>EXP(-LN(2)/25)*DG29+(1-EXP(-LN(2)/25))/(LN(2)/25)*Calculateur!DB30*Calculateur!DD30*VLOOKUP('Données projet'!$B$13,Paramètres!$A$1:$I$89,3,0)*0.475*44/12</f>
        <v>12.884445108484192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68.891469192015222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>
        <f>DO30*VLOOKUP('Données projet'!$B$14,Paramètres!$A$1:$I$89,3,0)*VLOOKUP('Données projet'!$B$14,Paramètres!$A$1:$I$89,5,0)</f>
        <v>0</v>
      </c>
      <c r="DQ30" s="14" t="e">
        <f t="shared" si="43"/>
        <v>#NUM!</v>
      </c>
      <c r="DR30" s="22" t="e">
        <f t="shared" si="16"/>
        <v>#NUM!</v>
      </c>
      <c r="DS30" s="62" t="e">
        <f t="shared" si="17"/>
        <v>#NUM!</v>
      </c>
      <c r="DT30" s="62">
        <f ca="1">AVERAGE(OFFSET($DS$3,0,0,'Données projet'!$E$14+1,1))-AVERAGE(OFFSET($H$3,0,0,'Données projet'!$E$14+1,1))</f>
        <v>75.244137291704476</v>
      </c>
      <c r="DU30" s="62">
        <f t="shared" si="44"/>
        <v>366.065475656937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65.581007843487669</v>
      </c>
      <c r="EB30" s="23">
        <f>EXP(-LN(2)/25)*EB29+(1-EXP(-LN(2)/25))/(LN(2)/25)*Calculateur!DW30*Calculateur!DY30*VLOOKUP('Données projet'!$B$14,Paramètres!$A$1:$I$89,3,0)*0.475*44/12</f>
        <v>15.086945067073376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80.667952910561041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7</v>
      </c>
      <c r="EJ30" s="13">
        <f>IF('Données projet'!$A$192&gt;35,EJ29+EI30-ER29,IF(A30&lt;'Données projet'!$A$192,$EG$205^A30,IF(A30='Données projet'!$A$192,'Données projet'!$B$192,EJ29+EI30-ER29)))</f>
        <v>77</v>
      </c>
      <c r="EK30" s="18">
        <f>EJ30*VLOOKUP('Données projet'!$B$15,Paramètres!$A$1:$I$89,3,0)*VLOOKUP('Données projet'!$B$15,Paramètres!$A$1:$I$89,5,0)</f>
        <v>74.474400000000003</v>
      </c>
      <c r="EL30" s="14">
        <f t="shared" si="45"/>
        <v>20.780570274034375</v>
      </c>
      <c r="EM30" s="22">
        <f t="shared" si="19"/>
        <v>165.90240656060988</v>
      </c>
      <c r="EN30" s="62">
        <f t="shared" si="20"/>
        <v>373.75481708363844</v>
      </c>
      <c r="EO30" s="62">
        <f ca="1">AVERAGE(OFFSET($EN$3,0,0,'Données projet'!$E$15+1,1))-AVERAGE(OFFSET($H$3,0,0,'Données projet'!$E$15+1,1))</f>
        <v>452.74627739105745</v>
      </c>
      <c r="EP30" s="62">
        <f t="shared" si="46"/>
        <v>281.80695725575106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7</v>
      </c>
      <c r="FE30" s="13">
        <f>IF('Données projet'!$A$218&gt;35,FE29+FD30-FM29,IF(A30&lt;'Données projet'!$A$218,$FB$205^A30,IF(A30='Données projet'!$A$218,'Données projet'!$B$218,FE29+FD30-FM29)))</f>
        <v>77</v>
      </c>
      <c r="FF30" s="18">
        <f>FE30*VLOOKUP('Données projet'!$B$16,Paramètres!$A$1:$I$89,3,0)*VLOOKUP('Données projet'!$B$16,Paramètres!$A$1:$I$89,5,0)</f>
        <v>82.882799999999989</v>
      </c>
      <c r="FG30" s="14">
        <f t="shared" si="47"/>
        <v>22.840584911380041</v>
      </c>
      <c r="FH30" s="22">
        <f t="shared" si="22"/>
        <v>184.1348953873202</v>
      </c>
      <c r="FI30" s="62">
        <f t="shared" si="23"/>
        <v>391.98730591034877</v>
      </c>
      <c r="FJ30" s="62">
        <f ca="1">AVERAGE(OFFSET($FI$3,0,0,'Données projet'!$E$16+1,1))-AVERAGE(OFFSET($H$3,0,0,'Données projet'!$E$16+1,1))</f>
        <v>492.72391755143508</v>
      </c>
      <c r="FK30" s="62">
        <f t="shared" si="48"/>
        <v>304.88554179994355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47.687021051735066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143.77000000000001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8.6</v>
      </c>
      <c r="N31" s="14">
        <f>IF('Données projet'!$A$36&gt;35,N30+M31-V30,IF(A31&lt;'Données projet'!$A$36,$K$205^A31,IF(A31='Données projet'!$A$36,'Données projet'!$B$36,N30+M31-V30)))</f>
        <v>225.79999999999998</v>
      </c>
      <c r="O31" s="14">
        <f>N31*VLOOKUP('Données projet'!$B$9,Paramètres!$A$1:$I$89,3,0)*VLOOKUP('Données projet'!$B$9,Paramètres!$A$1:$I$89,5,0)</f>
        <v>204.30383999999995</v>
      </c>
      <c r="P31" s="14">
        <f t="shared" si="33"/>
        <v>50.688846269088558</v>
      </c>
      <c r="Q31" s="22">
        <f t="shared" si="2"/>
        <v>444.11226191866245</v>
      </c>
      <c r="R31" s="62">
        <f t="shared" si="0"/>
        <v>654.6061890987304</v>
      </c>
      <c r="S31" s="62">
        <f ca="1">AVERAGE(OFFSET($R$3,0,0,'Données projet'!$E$9+1,1))-AVERAGE(OFFSET($H$3,0,0,'Données projet'!$E$9+1,1))</f>
        <v>388.8309693898596</v>
      </c>
      <c r="T31" s="62">
        <f t="shared" si="34"/>
        <v>549.06702041234382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7.9218013448727813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7.9218013448727813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>
        <f>AI31*VLOOKUP('Données projet'!$B$10,Paramètres!$A$1:$I$89,3,0)*VLOOKUP('Données projet'!$B$10,Paramètres!$A$1:$I$89,5,0)</f>
        <v>164.89850000000007</v>
      </c>
      <c r="AK31" s="14">
        <f t="shared" si="35"/>
        <v>41.94543913753872</v>
      </c>
      <c r="AL31" s="22">
        <f t="shared" si="4"/>
        <v>360.25319399788003</v>
      </c>
      <c r="AM31" s="62">
        <f t="shared" si="5"/>
        <v>570.74712117794797</v>
      </c>
      <c r="AN31" s="62">
        <f ca="1">AVERAGE(OFFSET($AM$3,0,0,'Données projet'!$E$10+1,1))-AVERAGE(OFFSET($H$3,0,0,'Données projet'!$E$10+1,1))</f>
        <v>197.85998851681552</v>
      </c>
      <c r="AO31" s="62">
        <f t="shared" si="36"/>
        <v>474.54844785896239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9.5694913653837332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3.4483102332026516</v>
      </c>
      <c r="AX31" s="23">
        <f t="shared" si="6"/>
        <v>13.017801598586384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16.625</v>
      </c>
      <c r="BD31" s="13">
        <f>IF('Données projet'!$A$88&gt;35,BD30+BC31-BL30,IF(A31&lt;'Données projet'!$A$88,$BA$205^A31,IF(A31='Données projet'!$A$88,'Données projet'!$B$88,BD30+BC31-BL30)))</f>
        <v>275.75000000000011</v>
      </c>
      <c r="BE31" s="14">
        <f>BD31*VLOOKUP('Données projet'!$B$11,Paramètres!$A$1:$I$89,3,0)*VLOOKUP('Données projet'!$B$11,Paramètres!$A$1:$I$89,5,0)</f>
        <v>164.89850000000007</v>
      </c>
      <c r="BF31" s="14">
        <f t="shared" si="37"/>
        <v>41.94543913753872</v>
      </c>
      <c r="BG31" s="22">
        <f t="shared" si="7"/>
        <v>360.25319399788003</v>
      </c>
      <c r="BH31" s="62">
        <f t="shared" si="8"/>
        <v>570.74712117794797</v>
      </c>
      <c r="BI31" s="62">
        <f ca="1">AVERAGE(OFFSET($BH$3,0,0,'Données projet'!$E$11+1,1))-AVERAGE(OFFSET($H$3,0,0,'Données projet'!$E$11+1,1))</f>
        <v>197.85998851681552</v>
      </c>
      <c r="BJ31" s="62">
        <f t="shared" si="38"/>
        <v>474.54844785896239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9.5694913653837332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3.4483102332026516</v>
      </c>
      <c r="BS31" s="24">
        <f t="shared" si="9"/>
        <v>13.017801598586384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>
        <f>BY31*VLOOKUP('Données projet'!$B$12,Paramètres!$A$1:$I$89,3,0)*VLOOKUP('Données projet'!$B$12,Paramètres!$A$1:$I$89,5,0)</f>
        <v>0</v>
      </c>
      <c r="CA31" s="14" t="e">
        <f t="shared" si="39"/>
        <v>#NUM!</v>
      </c>
      <c r="CB31" s="22" t="e">
        <f t="shared" si="10"/>
        <v>#NUM!</v>
      </c>
      <c r="CC31" s="62" t="e">
        <f t="shared" si="11"/>
        <v>#NUM!</v>
      </c>
      <c r="CD31" s="62">
        <f ca="1">AVERAGE(OFFSET($CC$3,0,0,'Données projet'!$E$12+1,1))-AVERAGE(OFFSET($H$3,0,0,'Données projet'!$E$12+1,1))</f>
        <v>72.97248599808384</v>
      </c>
      <c r="CE31" s="62">
        <f t="shared" si="40"/>
        <v>346.88163654003574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60.467009264653619</v>
      </c>
      <c r="CL31" s="23">
        <f>EXP(-LN(2)/25)*CL30+(1-EXP(-LN(2)/25))/(LN(2)/25)*Calculateur!CG31*Calculateur!CI31*VLOOKUP('Données projet'!$B$12,Paramètres!$A$1:$I$89,3,0)*0.475*44/12</f>
        <v>13.800708040843782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74.267717305497399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>
        <f>CT31*VLOOKUP('Données projet'!$B$13,Paramètres!$A$1:$I$89,3,0)*VLOOKUP('Données projet'!$B$13,Paramètres!$A$1:$I$89,5,0)</f>
        <v>0</v>
      </c>
      <c r="CV31" s="14" t="e">
        <f t="shared" si="41"/>
        <v>#NUM!</v>
      </c>
      <c r="CW31" s="22" t="e">
        <f t="shared" si="13"/>
        <v>#NUM!</v>
      </c>
      <c r="CX31" s="62" t="e">
        <f t="shared" si="14"/>
        <v>#NUM!</v>
      </c>
      <c r="CY31" s="62">
        <f ca="1">AVERAGE(OFFSET($CX$3,0,0,'Données projet'!$E$13+1,1))-AVERAGE(OFFSET($H$3,0,0,'Données projet'!$E$13+1,1))</f>
        <v>67.303283896086128</v>
      </c>
      <c r="CZ31" s="62">
        <f t="shared" si="42"/>
        <v>318.97925671653547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54.908760502164576</v>
      </c>
      <c r="DG31" s="23">
        <f>EXP(-LN(2)/25)*DG30+(1-EXP(-LN(2)/25))/(LN(2)/25)*Calculateur!DB31*Calculateur!DD31*VLOOKUP('Données projet'!$B$13,Paramètres!$A$1:$I$89,3,0)*0.475*44/12</f>
        <v>12.532119279429171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67.44087978159375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>
        <f>DO31*VLOOKUP('Données projet'!$B$14,Paramètres!$A$1:$I$89,3,0)*VLOOKUP('Données projet'!$B$14,Paramètres!$A$1:$I$89,5,0)</f>
        <v>0</v>
      </c>
      <c r="DQ31" s="14" t="e">
        <f t="shared" si="43"/>
        <v>#NUM!</v>
      </c>
      <c r="DR31" s="22" t="e">
        <f t="shared" si="16"/>
        <v>#NUM!</v>
      </c>
      <c r="DS31" s="62" t="e">
        <f t="shared" si="17"/>
        <v>#NUM!</v>
      </c>
      <c r="DT31" s="62">
        <f ca="1">AVERAGE(OFFSET($DS$3,0,0,'Données projet'!$E$14+1,1))-AVERAGE(OFFSET($H$3,0,0,'Données projet'!$E$14+1,1))</f>
        <v>75.244137291704476</v>
      </c>
      <c r="DU31" s="62">
        <f t="shared" si="44"/>
        <v>366.065475656937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64.295004280141939</v>
      </c>
      <c r="EB31" s="23">
        <f>EXP(-LN(2)/25)*EB30+(1-EXP(-LN(2)/25))/(LN(2)/25)*Calculateur!DW31*Calculateur!DY31*VLOOKUP('Données projet'!$B$14,Paramètres!$A$1:$I$89,3,0)*0.475*44/12</f>
        <v>14.674391760826296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78.969396040968235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7</v>
      </c>
      <c r="EJ31" s="13">
        <f>IF('Données projet'!$A$192&gt;35,EJ30+EI31-ER30,IF(A31&lt;'Données projet'!$A$192,$EG$205^A31,IF(A31='Données projet'!$A$192,'Données projet'!$B$192,EJ30+EI31-ER30)))</f>
        <v>84</v>
      </c>
      <c r="EK31" s="18">
        <f>EJ31*VLOOKUP('Données projet'!$B$15,Paramètres!$A$1:$I$89,3,0)*VLOOKUP('Données projet'!$B$15,Paramètres!$A$1:$I$89,5,0)</f>
        <v>81.244799999999998</v>
      </c>
      <c r="EL31" s="14">
        <f t="shared" si="45"/>
        <v>22.441270156928962</v>
      </c>
      <c r="EM31" s="22">
        <f t="shared" si="19"/>
        <v>180.58657218998462</v>
      </c>
      <c r="EN31" s="62">
        <f t="shared" si="20"/>
        <v>391.08049937005262</v>
      </c>
      <c r="EO31" s="62">
        <f ca="1">AVERAGE(OFFSET($EN$3,0,0,'Données projet'!$E$15+1,1))-AVERAGE(OFFSET($H$3,0,0,'Données projet'!$E$15+1,1))</f>
        <v>452.74627739105745</v>
      </c>
      <c r="EP31" s="62">
        <f t="shared" si="46"/>
        <v>281.80695725575106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7</v>
      </c>
      <c r="FE31" s="13">
        <f>IF('Données projet'!$A$218&gt;35,FE30+FD31-FM30,IF(A31&lt;'Données projet'!$A$218,$FB$205^A31,IF(A31='Données projet'!$A$218,'Données projet'!$B$218,FE30+FD31-FM30)))</f>
        <v>84</v>
      </c>
      <c r="FF31" s="18">
        <f>FE31*VLOOKUP('Données projet'!$B$16,Paramètres!$A$1:$I$89,3,0)*VLOOKUP('Données projet'!$B$16,Paramètres!$A$1:$I$89,5,0)</f>
        <v>90.417599999999993</v>
      </c>
      <c r="FG31" s="14">
        <f t="shared" si="47"/>
        <v>24.665912907068826</v>
      </c>
      <c r="FH31" s="22">
        <f t="shared" si="22"/>
        <v>200.43711831314488</v>
      </c>
      <c r="FI31" s="62">
        <f t="shared" si="23"/>
        <v>410.93104549321288</v>
      </c>
      <c r="FJ31" s="62">
        <f ca="1">AVERAGE(OFFSET($FI$3,0,0,'Données projet'!$E$16+1,1))-AVERAGE(OFFSET($H$3,0,0,'Données projet'!$E$16+1,1))</f>
        <v>492.72391755143508</v>
      </c>
      <c r="FK31" s="62">
        <f t="shared" si="48"/>
        <v>304.88554179994355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48.074101352139749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143.77000000000001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8.6</v>
      </c>
      <c r="N32" s="14">
        <f>IF('Données projet'!$A$36&gt;35,N31+M32-V31,IF(A32&lt;'Données projet'!$A$36,$K$205^A32,IF(A32='Données projet'!$A$36,'Données projet'!$B$36,N31+M32-V31)))</f>
        <v>234.39999999999998</v>
      </c>
      <c r="O32" s="14">
        <f>N32*VLOOKUP('Données projet'!$B$9,Paramètres!$A$1:$I$89,3,0)*VLOOKUP('Données projet'!$B$9,Paramètres!$A$1:$I$89,5,0)</f>
        <v>212.08511999999996</v>
      </c>
      <c r="P32" s="14">
        <f t="shared" si="33"/>
        <v>52.390974537063087</v>
      </c>
      <c r="Q32" s="22">
        <f t="shared" si="2"/>
        <v>460.62919798538474</v>
      </c>
      <c r="R32" s="62">
        <f t="shared" si="0"/>
        <v>673.740020237115</v>
      </c>
      <c r="S32" s="62">
        <f ca="1">AVERAGE(OFFSET($R$3,0,0,'Données projet'!$E$9+1,1))-AVERAGE(OFFSET($H$3,0,0,'Données projet'!$E$9+1,1))</f>
        <v>388.8309693898596</v>
      </c>
      <c r="T32" s="62">
        <f t="shared" si="34"/>
        <v>549.06702041234382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7.7664596523215437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7.7664596523215437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>
        <f>AI32*VLOOKUP('Données projet'!$B$10,Paramètres!$A$1:$I$89,3,0)*VLOOKUP('Données projet'!$B$10,Paramètres!$A$1:$I$89,5,0)</f>
        <v>174.84025000000008</v>
      </c>
      <c r="AK32" s="14">
        <f t="shared" si="35"/>
        <v>44.172300963535264</v>
      </c>
      <c r="AL32" s="22">
        <f t="shared" si="4"/>
        <v>381.44685959482405</v>
      </c>
      <c r="AM32" s="62">
        <f t="shared" si="5"/>
        <v>594.55768184655437</v>
      </c>
      <c r="AN32" s="62">
        <f ca="1">AVERAGE(OFFSET($AM$3,0,0,'Données projet'!$E$10+1,1))-AVERAGE(OFFSET($H$3,0,0,'Données projet'!$E$10+1,1))</f>
        <v>197.85998851681552</v>
      </c>
      <c r="AO32" s="62">
        <f t="shared" si="36"/>
        <v>474.54844785896239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9.3818394765219537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2.4383235495325604</v>
      </c>
      <c r="AX32" s="23">
        <f t="shared" si="6"/>
        <v>11.820163026054514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16.625</v>
      </c>
      <c r="BD32" s="13">
        <f>IF('Données projet'!$A$88&gt;35,BD31+BC32-BL31,IF(A32&lt;'Données projet'!$A$88,$BA$205^A32,IF(A32='Données projet'!$A$88,'Données projet'!$B$88,BD31+BC32-BL31)))</f>
        <v>292.37500000000011</v>
      </c>
      <c r="BE32" s="14">
        <f>BD32*VLOOKUP('Données projet'!$B$11,Paramètres!$A$1:$I$89,3,0)*VLOOKUP('Données projet'!$B$11,Paramètres!$A$1:$I$89,5,0)</f>
        <v>174.84025000000008</v>
      </c>
      <c r="BF32" s="14">
        <f t="shared" si="37"/>
        <v>44.172300963535264</v>
      </c>
      <c r="BG32" s="22">
        <f t="shared" si="7"/>
        <v>381.44685959482405</v>
      </c>
      <c r="BH32" s="62">
        <f t="shared" si="8"/>
        <v>594.55768184655437</v>
      </c>
      <c r="BI32" s="62">
        <f ca="1">AVERAGE(OFFSET($BH$3,0,0,'Données projet'!$E$11+1,1))-AVERAGE(OFFSET($H$3,0,0,'Données projet'!$E$11+1,1))</f>
        <v>197.85998851681552</v>
      </c>
      <c r="BJ32" s="62">
        <f t="shared" si="38"/>
        <v>474.54844785896239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9.3818394765219537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2.4383235495325604</v>
      </c>
      <c r="BS32" s="24">
        <f t="shared" si="9"/>
        <v>11.820163026054514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>
        <f>BY32*VLOOKUP('Données projet'!$B$12,Paramètres!$A$1:$I$89,3,0)*VLOOKUP('Données projet'!$B$12,Paramètres!$A$1:$I$89,5,0)</f>
        <v>0</v>
      </c>
      <c r="CA32" s="14" t="e">
        <f t="shared" si="39"/>
        <v>#NUM!</v>
      </c>
      <c r="CB32" s="22" t="e">
        <f t="shared" si="10"/>
        <v>#NUM!</v>
      </c>
      <c r="CC32" s="62" t="e">
        <f t="shared" si="11"/>
        <v>#NUM!</v>
      </c>
      <c r="CD32" s="62">
        <f ca="1">AVERAGE(OFFSET($CC$3,0,0,'Données projet'!$E$12+1,1))-AVERAGE(OFFSET($H$3,0,0,'Données projet'!$E$12+1,1))</f>
        <v>72.97248599808384</v>
      </c>
      <c r="CE32" s="62">
        <f t="shared" si="40"/>
        <v>346.88163654003574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59.281288094207696</v>
      </c>
      <c r="CL32" s="23">
        <f>EXP(-LN(2)/25)*CL31+(1-EXP(-LN(2)/25))/(LN(2)/25)*Calculateur!CG32*Calculateur!CI32*VLOOKUP('Données projet'!$B$12,Paramètres!$A$1:$I$89,3,0)*0.475*44/12</f>
        <v>13.423326953719215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72.704615047926907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>
        <f>CT32*VLOOKUP('Données projet'!$B$13,Paramètres!$A$1:$I$89,3,0)*VLOOKUP('Données projet'!$B$13,Paramètres!$A$1:$I$89,5,0)</f>
        <v>0</v>
      </c>
      <c r="CV32" s="14" t="e">
        <f t="shared" si="41"/>
        <v>#NUM!</v>
      </c>
      <c r="CW32" s="22" t="e">
        <f t="shared" si="13"/>
        <v>#NUM!</v>
      </c>
      <c r="CX32" s="62" t="e">
        <f t="shared" si="14"/>
        <v>#NUM!</v>
      </c>
      <c r="CY32" s="62">
        <f ca="1">AVERAGE(OFFSET($CX$3,0,0,'Données projet'!$E$13+1,1))-AVERAGE(OFFSET($H$3,0,0,'Données projet'!$E$13+1,1))</f>
        <v>67.303283896086128</v>
      </c>
      <c r="CZ32" s="62">
        <f t="shared" si="42"/>
        <v>318.97925671653547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53.832033199754072</v>
      </c>
      <c r="DG32" s="23">
        <f>EXP(-LN(2)/25)*DG31+(1-EXP(-LN(2)/25))/(LN(2)/25)*Calculateur!DB32*Calculateur!DD32*VLOOKUP('Données projet'!$B$13,Paramètres!$A$1:$I$89,3,0)*0.475*44/12</f>
        <v>12.18942781869767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66.021461018451745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>
        <f>DO32*VLOOKUP('Données projet'!$B$14,Paramètres!$A$1:$I$89,3,0)*VLOOKUP('Données projet'!$B$14,Paramètres!$A$1:$I$89,5,0)</f>
        <v>0</v>
      </c>
      <c r="DQ32" s="14" t="e">
        <f t="shared" si="43"/>
        <v>#NUM!</v>
      </c>
      <c r="DR32" s="22" t="e">
        <f t="shared" si="16"/>
        <v>#NUM!</v>
      </c>
      <c r="DS32" s="62" t="e">
        <f t="shared" si="17"/>
        <v>#NUM!</v>
      </c>
      <c r="DT32" s="62">
        <f ca="1">AVERAGE(OFFSET($DS$3,0,0,'Données projet'!$E$14+1,1))-AVERAGE(OFFSET($H$3,0,0,'Données projet'!$E$14+1,1))</f>
        <v>75.244137291704476</v>
      </c>
      <c r="DU32" s="62">
        <f t="shared" si="44"/>
        <v>366.065475656937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63.034218462288699</v>
      </c>
      <c r="EB32" s="23">
        <f>EXP(-LN(2)/25)*EB31+(1-EXP(-LN(2)/25))/(LN(2)/25)*Calculateur!DW32*Calculateur!DY32*VLOOKUP('Données projet'!$B$14,Paramètres!$A$1:$I$89,3,0)*0.475*44/12</f>
        <v>14.273119746433776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77.30733820872247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7</v>
      </c>
      <c r="EJ32" s="13">
        <f>IF('Données projet'!$A$192&gt;35,EJ31+EI32-ER31,IF(A32&lt;'Données projet'!$A$192,$EG$205^A32,IF(A32='Données projet'!$A$192,'Données projet'!$B$192,EJ31+EI32-ER31)))</f>
        <v>91</v>
      </c>
      <c r="EK32" s="18">
        <f>EJ32*VLOOKUP('Données projet'!$B$15,Paramètres!$A$1:$I$89,3,0)*VLOOKUP('Données projet'!$B$15,Paramètres!$A$1:$I$89,5,0)</f>
        <v>88.015200000000007</v>
      </c>
      <c r="EL32" s="14">
        <f t="shared" si="45"/>
        <v>24.085919530575829</v>
      </c>
      <c r="EM32" s="22">
        <f t="shared" si="19"/>
        <v>195.24278318241954</v>
      </c>
      <c r="EN32" s="62">
        <f t="shared" si="20"/>
        <v>408.35360543414981</v>
      </c>
      <c r="EO32" s="62">
        <f ca="1">AVERAGE(OFFSET($EN$3,0,0,'Données projet'!$E$15+1,1))-AVERAGE(OFFSET($H$3,0,0,'Données projet'!$E$15+1,1))</f>
        <v>452.74627739105745</v>
      </c>
      <c r="EP32" s="62">
        <f t="shared" si="46"/>
        <v>281.80695725575106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7</v>
      </c>
      <c r="FE32" s="13">
        <f>IF('Données projet'!$A$218&gt;35,FE31+FD32-FM31,IF(A32&lt;'Données projet'!$A$218,$FB$205^A32,IF(A32='Données projet'!$A$218,'Données projet'!$B$218,FE31+FD32-FM31)))</f>
        <v>91</v>
      </c>
      <c r="FF32" s="18">
        <f>FE32*VLOOKUP('Données projet'!$B$16,Paramètres!$A$1:$I$89,3,0)*VLOOKUP('Données projet'!$B$16,Paramètres!$A$1:$I$89,5,0)</f>
        <v>97.952399999999997</v>
      </c>
      <c r="FG32" s="14">
        <f t="shared" si="47"/>
        <v>26.473599278177087</v>
      </c>
      <c r="FH32" s="22">
        <f t="shared" si="22"/>
        <v>216.70861540949173</v>
      </c>
      <c r="FI32" s="62">
        <f t="shared" si="23"/>
        <v>429.81943766122203</v>
      </c>
      <c r="FJ32" s="62">
        <f ca="1">AVERAGE(OFFSET($FI$3,0,0,'Données projet'!$E$16+1,1))-AVERAGE(OFFSET($H$3,0,0,'Données projet'!$E$16+1,1))</f>
        <v>492.72391755143508</v>
      </c>
      <c r="FK32" s="62">
        <f t="shared" si="48"/>
        <v>304.88554179994355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48.454466674714325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143.77000000000001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243</v>
      </c>
      <c r="L33" s="13">
        <f>VLOOKUP(A33,'Données projet'!$A$35:$I$55,9,0)</f>
        <v>8.6</v>
      </c>
      <c r="M33" s="13">
        <f t="array" ref="M33">INDEX(L:L,MIN(IF(ISNUMBER(L33:L229),ROW(L33:L229),"")))</f>
        <v>8.6</v>
      </c>
      <c r="N33" s="14">
        <f>IF('Données projet'!$A$36&gt;35,N32+M33-V32,IF(A33&lt;'Données projet'!$A$36,$K$205^A33,IF(A33='Données projet'!$A$36,'Données projet'!$B$36,N32+M33-V32)))</f>
        <v>242.99999999999997</v>
      </c>
      <c r="O33" s="14">
        <f>N33*VLOOKUP('Données projet'!$B$9,Paramètres!$A$1:$I$89,3,0)*VLOOKUP('Données projet'!$B$9,Paramètres!$A$1:$I$89,5,0)</f>
        <v>219.86639999999997</v>
      </c>
      <c r="P33" s="14">
        <f t="shared" si="33"/>
        <v>54.085847394182416</v>
      </c>
      <c r="Q33" s="22">
        <f t="shared" si="2"/>
        <v>477.13349754486762</v>
      </c>
      <c r="R33" s="62">
        <f t="shared" si="0"/>
        <v>692.8370204123438</v>
      </c>
      <c r="S33" s="62">
        <f ca="1">AVERAGE(OFFSET($R$3,0,0,'Données projet'!$E$9+1,1))-AVERAGE(OFFSET($H$3,0,0,'Données projet'!$E$9+1,1))</f>
        <v>388.8309693898596</v>
      </c>
      <c r="T33" s="62">
        <f t="shared" si="34"/>
        <v>549.06702041234382</v>
      </c>
      <c r="U33" s="16">
        <f>IF(ISNA(VLOOKUP(A33,'Données projet'!$A$35:$I$55,3,0)),0,VLOOKUP(A33,'Données projet'!$A$35:$I$55,3,0))</f>
        <v>6</v>
      </c>
      <c r="V33" s="16">
        <f>IF(ISNA(VLOOKUP(A33,'Données projet'!$A$35:$I$55,4,0)),0,VLOOKUP(A33,'Données projet'!$A$35:$I$55,4,0))</f>
        <v>11</v>
      </c>
      <c r="W33" s="17">
        <f>IF(ISNA(VLOOKUP(A33,'Données projet'!$A$35:$I$55,5,0)),0%,VLOOKUP(A33,'Données projet'!$A$35:$I$55,5,0)*VLOOKUP('Données projet'!$B$9,Paramètres!$A$1:$I$89,7,0))</f>
        <v>0.27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10.584846025834356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10.584846025834356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>
        <f>AI33*VLOOKUP('Données projet'!$B$10,Paramètres!$A$1:$I$89,3,0)*VLOOKUP('Données projet'!$B$10,Paramètres!$A$1:$I$89,5,0)</f>
        <v>184.7820000000001</v>
      </c>
      <c r="AK33" s="14">
        <f t="shared" si="35"/>
        <v>46.384464109944147</v>
      </c>
      <c r="AL33" s="22">
        <f t="shared" si="4"/>
        <v>402.61492499148613</v>
      </c>
      <c r="AM33" s="62">
        <f t="shared" si="5"/>
        <v>618.31844785896237</v>
      </c>
      <c r="AN33" s="62">
        <f ca="1">AVERAGE(OFFSET($AM$3,0,0,'Données projet'!$E$10+1,1))-AVERAGE(OFFSET($H$3,0,0,'Données projet'!$E$10+1,1))</f>
        <v>197.85998851681552</v>
      </c>
      <c r="AO33" s="62">
        <f t="shared" si="36"/>
        <v>474.54844785896239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0.18000000000000002</v>
      </c>
      <c r="AT33" s="17">
        <f>IF(ISNA(VLOOKUP(A33,'Données projet'!$A$61:$I$81,7,0)),0%,VLOOKUP(A33,'Données projet'!$A$61:$I$81,7,0))</f>
        <v>0.2</v>
      </c>
      <c r="AU33" s="23">
        <f>EXP(-LN(2)/35)*AU32+(1-EXP(-LN(2)/35))/(LN(2)/35)*AQ33*AR33*VLOOKUP('Données projet'!$B$10,Paramètres!$A$1:$I$89,3,0)*0.475*44/12</f>
        <v>53.320409303649647</v>
      </c>
      <c r="AV33" s="23">
        <f>EXP(-LN(2)/25)*AV32+(1-EXP(-LN(2)/25))/(LN(2)/25)*Calculateur!AQ33*Calculateur!AS33*VLOOKUP('Données projet'!$B$10,Paramètres!$A$1:$I$89,3,0)*0.475*44/12</f>
        <v>43.948814717135633</v>
      </c>
      <c r="AW33" s="23">
        <f>EXP(-LN(2)/2)*AW32+(1-EXP(-LN(2)/2))/(LN(2)/2)*AQ33*AT33*VLOOKUP('Données projet'!$B$10,Paramètres!$A$1:$I$89,3,0)*0.475*44/12</f>
        <v>43.567384796908406</v>
      </c>
      <c r="AX33" s="23">
        <f t="shared" si="6"/>
        <v>140.8366088176937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309</v>
      </c>
      <c r="BB33" s="13">
        <f>VLOOKUP(A33,'Données projet'!$A$87:$I$107,9,0)</f>
        <v>16.625</v>
      </c>
      <c r="BC33" s="13">
        <f t="array" ref="BC33">INDEX(BB:BB,MIN(IF(ISNUMBER(BB33:BB229),ROW(BB33:BB229),"")))</f>
        <v>16.625</v>
      </c>
      <c r="BD33" s="13">
        <f>IF('Données projet'!$A$88&gt;35,BD32+BC33-BL32,IF(A33&lt;'Données projet'!$A$88,$BA$205^A33,IF(A33='Données projet'!$A$88,'Données projet'!$B$88,BD32+BC33-BL32)))</f>
        <v>309.00000000000011</v>
      </c>
      <c r="BE33" s="14">
        <f>BD33*VLOOKUP('Données projet'!$B$11,Paramètres!$A$1:$I$89,3,0)*VLOOKUP('Données projet'!$B$11,Paramètres!$A$1:$I$89,5,0)</f>
        <v>184.7820000000001</v>
      </c>
      <c r="BF33" s="14">
        <f t="shared" si="37"/>
        <v>46.384464109944147</v>
      </c>
      <c r="BG33" s="22">
        <f t="shared" si="7"/>
        <v>402.61492499148613</v>
      </c>
      <c r="BH33" s="62">
        <f t="shared" si="8"/>
        <v>618.31844785896237</v>
      </c>
      <c r="BI33" s="62">
        <f ca="1">AVERAGE(OFFSET($BH$3,0,0,'Données projet'!$E$11+1,1))-AVERAGE(OFFSET($H$3,0,0,'Données projet'!$E$11+1,1))</f>
        <v>197.85998851681552</v>
      </c>
      <c r="BJ33" s="62">
        <f t="shared" si="38"/>
        <v>474.54844785896239</v>
      </c>
      <c r="BK33" s="16">
        <f>IF(ISNA(VLOOKUP(A33,'Données projet'!$A$87:$I$107,3,0)),0,VLOOKUP(A33,'Données projet'!$A$87:$I$107,3,0))</f>
        <v>4</v>
      </c>
      <c r="BL33" s="16">
        <f>IF(ISNA(VLOOKUP(A33,'Données projet'!$A$87:$I$107,4,0)),0,VLOOKUP(A33,'Données projet'!$A$87:$I$107,4,0))</f>
        <v>309</v>
      </c>
      <c r="BM33" s="17">
        <f>IF(ISNA(VLOOKUP(A33,'Données projet'!$A$87:$I$107,5,0)),0%,VLOOKUP(A33,'Données projet'!$A$87:$I$107,5,0)*VLOOKUP('Données projet'!$B$11,Paramètres!$A$1:$I$89,7,0))</f>
        <v>0.18000000000000002</v>
      </c>
      <c r="BN33" s="17">
        <f>IF(ISNA(VLOOKUP(A33,'Données projet'!$A$87:$I$107,6,0)),0%,VLOOKUP(A33,'Données projet'!$A$87:$I$107,6,0)*VLOOKUP('Données projet'!$B$11,Paramètres!$A$1:$I$89,7,0))</f>
        <v>0.18000000000000002</v>
      </c>
      <c r="BO33" s="17">
        <f>IF(ISNA(VLOOKUP(A33,'Données projet'!$A$87:$I$107,7,0)),0%,VLOOKUP(A33,'Données projet'!$A$87:$I$107,7,0))</f>
        <v>0.2</v>
      </c>
      <c r="BP33" s="23">
        <f>EXP(-LN(2)/35)*BP32+(1-EXP(-LN(2)/35))/(LN(2)/35)*BL33*BM33*VLOOKUP('Données projet'!$B$11,Paramètres!$A$1:$I$89,3,0)*0.475*44/12</f>
        <v>53.320409303649647</v>
      </c>
      <c r="BQ33" s="23">
        <f>EXP(-LN(2)/25)*BQ32+(1-EXP(-LN(2)/25))/(LN(2)/25)*Calculateur!BL33*Calculateur!BN33*VLOOKUP('Données projet'!$B$11,Paramètres!$A$1:$I$89,3,0)*0.475*44/12</f>
        <v>43.948814717135633</v>
      </c>
      <c r="BR33" s="23">
        <f>EXP(-LN(2)/2)*BR32+(1-EXP(-LN(2)/2))/(LN(2)/2)*BL33*BO33*VLOOKUP('Données projet'!$B$11,Paramètres!$A$1:$I$89,3,0)*0.475*44/12</f>
        <v>43.567384796908406</v>
      </c>
      <c r="BS33" s="24">
        <f t="shared" si="9"/>
        <v>140.8366088176937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>
        <f>BY33*VLOOKUP('Données projet'!$B$12,Paramètres!$A$1:$I$89,3,0)*VLOOKUP('Données projet'!$B$12,Paramètres!$A$1:$I$89,5,0)</f>
        <v>0</v>
      </c>
      <c r="CA33" s="14" t="e">
        <f t="shared" si="39"/>
        <v>#NUM!</v>
      </c>
      <c r="CB33" s="22" t="e">
        <f t="shared" si="10"/>
        <v>#NUM!</v>
      </c>
      <c r="CC33" s="62" t="e">
        <f t="shared" si="11"/>
        <v>#NUM!</v>
      </c>
      <c r="CD33" s="62">
        <f ca="1">AVERAGE(OFFSET($CC$3,0,0,'Données projet'!$E$12+1,1))-AVERAGE(OFFSET($H$3,0,0,'Données projet'!$E$12+1,1))</f>
        <v>72.97248599808384</v>
      </c>
      <c r="CE33" s="62">
        <f t="shared" si="40"/>
        <v>346.88163654003574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58.118818192695713</v>
      </c>
      <c r="CL33" s="23">
        <f>EXP(-LN(2)/25)*CL32+(1-EXP(-LN(2)/25))/(LN(2)/25)*Calculateur!CG33*Calculateur!CI33*VLOOKUP('Données projet'!$B$12,Paramètres!$A$1:$I$89,3,0)*0.475*44/12</f>
        <v>13.056265372267678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71.175083564963387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>
        <f>CT33*VLOOKUP('Données projet'!$B$13,Paramètres!$A$1:$I$89,3,0)*VLOOKUP('Données projet'!$B$13,Paramètres!$A$1:$I$89,5,0)</f>
        <v>0</v>
      </c>
      <c r="CV33" s="14" t="e">
        <f t="shared" si="41"/>
        <v>#NUM!</v>
      </c>
      <c r="CW33" s="22" t="e">
        <f t="shared" si="13"/>
        <v>#NUM!</v>
      </c>
      <c r="CX33" s="62" t="e">
        <f t="shared" si="14"/>
        <v>#NUM!</v>
      </c>
      <c r="CY33" s="62">
        <f ca="1">AVERAGE(OFFSET($CX$3,0,0,'Données projet'!$E$13+1,1))-AVERAGE(OFFSET($H$3,0,0,'Données projet'!$E$13+1,1))</f>
        <v>67.303283896086128</v>
      </c>
      <c r="CZ33" s="62">
        <f t="shared" si="42"/>
        <v>318.97925671653547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52.776419863005032</v>
      </c>
      <c r="DG33" s="23">
        <f>EXP(-LN(2)/25)*DG32+(1-EXP(-LN(2)/25))/(LN(2)/25)*Calculateur!DB33*Calculateur!DD33*VLOOKUP('Données projet'!$B$13,Paramètres!$A$1:$I$89,3,0)*0.475*44/12</f>
        <v>11.856107273981232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64.632527136986269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>
        <f>DO33*VLOOKUP('Données projet'!$B$14,Paramètres!$A$1:$I$89,3,0)*VLOOKUP('Données projet'!$B$14,Paramètres!$A$1:$I$89,5,0)</f>
        <v>0</v>
      </c>
      <c r="DQ33" s="14" t="e">
        <f t="shared" si="43"/>
        <v>#NUM!</v>
      </c>
      <c r="DR33" s="22" t="e">
        <f t="shared" si="16"/>
        <v>#NUM!</v>
      </c>
      <c r="DS33" s="62" t="e">
        <f t="shared" si="17"/>
        <v>#NUM!</v>
      </c>
      <c r="DT33" s="62">
        <f ca="1">AVERAGE(OFFSET($DS$3,0,0,'Données projet'!$E$14+1,1))-AVERAGE(OFFSET($H$3,0,0,'Données projet'!$E$14+1,1))</f>
        <v>75.244137291704476</v>
      </c>
      <c r="DU33" s="62">
        <f t="shared" si="44"/>
        <v>366.065475656937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61.798155885320149</v>
      </c>
      <c r="EB33" s="23">
        <f>EXP(-LN(2)/25)*EB32+(1-EXP(-LN(2)/25))/(LN(2)/25)*Calculateur!DW33*Calculateur!DY33*VLOOKUP('Données projet'!$B$14,Paramètres!$A$1:$I$89,3,0)*0.475*44/12</f>
        <v>13.8828205363768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75.680976421696954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98</v>
      </c>
      <c r="EH33" s="13">
        <f>VLOOKUP(A33,'Données projet'!$A$191:$I$211,9,0)</f>
        <v>7</v>
      </c>
      <c r="EI33" s="13">
        <f t="array" ref="EI33">INDEX(EH:EH,MIN(IF(ISNUMBER(EH33:EH229),ROW(EH33:EH229),"")))</f>
        <v>7</v>
      </c>
      <c r="EJ33" s="13">
        <f>IF('Données projet'!$A$192&gt;35,EJ32+EI33-ER32,IF(A33&lt;'Données projet'!$A$192,$EG$205^A33,IF(A33='Données projet'!$A$192,'Données projet'!$B$192,EJ32+EI33-ER32)))</f>
        <v>98</v>
      </c>
      <c r="EK33" s="18">
        <f>EJ33*VLOOKUP('Données projet'!$B$15,Paramètres!$A$1:$I$89,3,0)*VLOOKUP('Données projet'!$B$15,Paramètres!$A$1:$I$89,5,0)</f>
        <v>94.785600000000002</v>
      </c>
      <c r="EL33" s="14">
        <f t="shared" si="45"/>
        <v>25.715893428674526</v>
      </c>
      <c r="EM33" s="22">
        <f t="shared" si="19"/>
        <v>209.87343438827483</v>
      </c>
      <c r="EN33" s="62">
        <f t="shared" si="20"/>
        <v>425.57695725575104</v>
      </c>
      <c r="EO33" s="62">
        <f ca="1">AVERAGE(OFFSET($EN$3,0,0,'Données projet'!$E$15+1,1))-AVERAGE(OFFSET($H$3,0,0,'Données projet'!$E$15+1,1))</f>
        <v>452.74627739105745</v>
      </c>
      <c r="EP33" s="62">
        <f t="shared" si="46"/>
        <v>281.80695725575106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21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98</v>
      </c>
      <c r="FC33" s="13">
        <f>VLOOKUP(A33,'Données projet'!$A$217:$I$237,9,0)</f>
        <v>7</v>
      </c>
      <c r="FD33" s="13">
        <f t="array" ref="FD33">INDEX(FC:FC,MIN(IF(ISNUMBER(FC33:FC229),ROW(FC33:FC229),"")))</f>
        <v>7</v>
      </c>
      <c r="FE33" s="13">
        <f>IF('Données projet'!$A$218&gt;35,FE32+FD33-FM32,IF(A33&lt;'Données projet'!$A$218,$FB$205^A33,IF(A33='Données projet'!$A$218,'Données projet'!$B$218,FE32+FD33-FM32)))</f>
        <v>98</v>
      </c>
      <c r="FF33" s="18">
        <f>FE33*VLOOKUP('Données projet'!$B$16,Paramètres!$A$1:$I$89,3,0)*VLOOKUP('Données projet'!$B$16,Paramètres!$A$1:$I$89,5,0)</f>
        <v>105.48719999999999</v>
      </c>
      <c r="FG33" s="14">
        <f t="shared" si="47"/>
        <v>28.265155367923839</v>
      </c>
      <c r="FH33" s="22">
        <f t="shared" si="22"/>
        <v>232.95201893246733</v>
      </c>
      <c r="FI33" s="62">
        <f t="shared" si="23"/>
        <v>448.65554179994353</v>
      </c>
      <c r="FJ33" s="62">
        <f ca="1">AVERAGE(OFFSET($FI$3,0,0,'Données projet'!$E$16+1,1))-AVERAGE(OFFSET($H$3,0,0,'Données projet'!$E$16+1,1))</f>
        <v>492.72391755143508</v>
      </c>
      <c r="FK33" s="62">
        <f t="shared" si="48"/>
        <v>304.88554179994355</v>
      </c>
      <c r="FL33" s="16">
        <f>IF(ISNA(VLOOKUP(A33,'Données projet'!$A$217:$I$237,3,0)),0,VLOOKUP(A33,'Données projet'!$A$217:$I$237,3,0))</f>
        <v>2</v>
      </c>
      <c r="FM33" s="16">
        <f>IF(ISNA(VLOOKUP(A33,'Données projet'!$A$217:$I$237,4,0)),0,VLOOKUP(A33,'Données projet'!$A$217:$I$237,4,0))</f>
        <v>21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48.828233509311687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143.77000000000001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7</v>
      </c>
      <c r="N34" s="14">
        <f>IF('Données projet'!$A$36&gt;35,N33+M34-V33,IF(A34&lt;'Données projet'!$A$36,$K$205^A34,IF(A34='Données projet'!$A$36,'Données projet'!$B$36,N33+M34-V33)))</f>
        <v>238.99999999999997</v>
      </c>
      <c r="O34" s="14">
        <f>N34*VLOOKUP('Données projet'!$B$9,Paramètres!$A$1:$I$89,3,0)*VLOOKUP('Données projet'!$B$9,Paramètres!$A$1:$I$89,5,0)</f>
        <v>216.24719999999996</v>
      </c>
      <c r="P34" s="14">
        <f t="shared" si="33"/>
        <v>53.298418226645332</v>
      </c>
      <c r="Q34" s="22">
        <f t="shared" si="2"/>
        <v>469.45861841140714</v>
      </c>
      <c r="R34" s="62">
        <f t="shared" si="0"/>
        <v>686.50884493621004</v>
      </c>
      <c r="S34" s="62">
        <f ca="1">AVERAGE(OFFSET($R$3,0,0,'Données projet'!$E$9+1,1))-AVERAGE(OFFSET($H$3,0,0,'Données projet'!$E$9+1,1))</f>
        <v>388.8309693898596</v>
      </c>
      <c r="T34" s="62">
        <f t="shared" si="34"/>
        <v>549.06702041234382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10.377283651386332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10.377283651386332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>
        <f>AI34*VLOOKUP('Données projet'!$B$10,Paramètres!$A$1:$I$89,3,0)*VLOOKUP('Données projet'!$B$10,Paramètres!$A$1:$I$89,5,0)</f>
        <v>6.7984728957526396E-14</v>
      </c>
      <c r="AK34" s="14">
        <f t="shared" si="35"/>
        <v>1.0682447123141398E-12</v>
      </c>
      <c r="AL34" s="22">
        <f t="shared" si="4"/>
        <v>1.978932943548152E-12</v>
      </c>
      <c r="AM34" s="62">
        <f t="shared" si="5"/>
        <v>217.05022652480491</v>
      </c>
      <c r="AN34" s="62">
        <f ca="1">AVERAGE(OFFSET($AM$3,0,0,'Données projet'!$E$10+1,1))-AVERAGE(OFFSET($H$3,0,0,'Données projet'!$E$10+1,1))</f>
        <v>197.85998851681552</v>
      </c>
      <c r="AO34" s="62">
        <f t="shared" si="36"/>
        <v>474.54844785896239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52.274828599443445</v>
      </c>
      <c r="AV34" s="23">
        <f>EXP(-LN(2)/25)*AV33+(1-EXP(-LN(2)/25))/(LN(2)/25)*Calculateur!AQ34*Calculateur!AS34*VLOOKUP('Données projet'!$B$10,Paramètres!$A$1:$I$89,3,0)*0.475*44/12</f>
        <v>42.74703206752784</v>
      </c>
      <c r="AW34" s="23">
        <f>EXP(-LN(2)/2)*AW33+(1-EXP(-LN(2)/2))/(LN(2)/2)*AQ34*AT34*VLOOKUP('Données projet'!$B$10,Paramètres!$A$1:$I$89,3,0)*0.475*44/12</f>
        <v>30.806793228457632</v>
      </c>
      <c r="AX34" s="23">
        <f t="shared" si="6"/>
        <v>125.82865389542893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1.1368683772161603E-13</v>
      </c>
      <c r="BE34" s="14">
        <f>BD34*VLOOKUP('Données projet'!$B$11,Paramètres!$A$1:$I$89,3,0)*VLOOKUP('Données projet'!$B$11,Paramètres!$A$1:$I$89,5,0)</f>
        <v>6.7984728957526396E-14</v>
      </c>
      <c r="BF34" s="14">
        <f t="shared" si="37"/>
        <v>1.0682447123141398E-12</v>
      </c>
      <c r="BG34" s="22">
        <f t="shared" si="7"/>
        <v>1.978932943548152E-12</v>
      </c>
      <c r="BH34" s="62">
        <f t="shared" si="8"/>
        <v>217.05022652480491</v>
      </c>
      <c r="BI34" s="62">
        <f ca="1">AVERAGE(OFFSET($BH$3,0,0,'Données projet'!$E$11+1,1))-AVERAGE(OFFSET($H$3,0,0,'Données projet'!$E$11+1,1))</f>
        <v>197.85998851681552</v>
      </c>
      <c r="BJ34" s="62">
        <f t="shared" si="38"/>
        <v>474.54844785896239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52.274828599443445</v>
      </c>
      <c r="BQ34" s="23">
        <f>EXP(-LN(2)/25)*BQ33+(1-EXP(-LN(2)/25))/(LN(2)/25)*Calculateur!BL34*Calculateur!BN34*VLOOKUP('Données projet'!$B$11,Paramètres!$A$1:$I$89,3,0)*0.475*44/12</f>
        <v>42.74703206752784</v>
      </c>
      <c r="BR34" s="23">
        <f>EXP(-LN(2)/2)*BR33+(1-EXP(-LN(2)/2))/(LN(2)/2)*BL34*BO34*VLOOKUP('Données projet'!$B$11,Paramètres!$A$1:$I$89,3,0)*0.475*44/12</f>
        <v>30.806793228457632</v>
      </c>
      <c r="BS34" s="24">
        <f t="shared" si="9"/>
        <v>125.82865389542893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>
        <f>BY34*VLOOKUP('Données projet'!$B$12,Paramètres!$A$1:$I$89,3,0)*VLOOKUP('Données projet'!$B$12,Paramètres!$A$1:$I$89,5,0)</f>
        <v>0</v>
      </c>
      <c r="CA34" s="14" t="e">
        <f t="shared" si="39"/>
        <v>#NUM!</v>
      </c>
      <c r="CB34" s="22" t="e">
        <f t="shared" si="10"/>
        <v>#NUM!</v>
      </c>
      <c r="CC34" s="62" t="e">
        <f t="shared" si="11"/>
        <v>#NUM!</v>
      </c>
      <c r="CD34" s="62">
        <f ca="1">AVERAGE(OFFSET($CC$3,0,0,'Données projet'!$E$12+1,1))-AVERAGE(OFFSET($H$3,0,0,'Données projet'!$E$12+1,1))</f>
        <v>72.97248599808384</v>
      </c>
      <c r="CE34" s="62">
        <f t="shared" si="40"/>
        <v>346.88163654003574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56.979143616915749</v>
      </c>
      <c r="CL34" s="23">
        <f>EXP(-LN(2)/25)*CL33+(1-EXP(-LN(2)/25))/(LN(2)/25)*Calculateur!CG34*Calculateur!CI34*VLOOKUP('Données projet'!$B$12,Paramètres!$A$1:$I$89,3,0)*0.475*44/12</f>
        <v>12.699241109063863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69.678384725979612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>
        <f>CT34*VLOOKUP('Données projet'!$B$13,Paramètres!$A$1:$I$89,3,0)*VLOOKUP('Données projet'!$B$13,Paramètres!$A$1:$I$89,5,0)</f>
        <v>0</v>
      </c>
      <c r="CV34" s="14" t="e">
        <f t="shared" si="41"/>
        <v>#NUM!</v>
      </c>
      <c r="CW34" s="22" t="e">
        <f t="shared" si="13"/>
        <v>#NUM!</v>
      </c>
      <c r="CX34" s="62" t="e">
        <f t="shared" si="14"/>
        <v>#NUM!</v>
      </c>
      <c r="CY34" s="62">
        <f ca="1">AVERAGE(OFFSET($CX$3,0,0,'Données projet'!$E$13+1,1))-AVERAGE(OFFSET($H$3,0,0,'Données projet'!$E$13+1,1))</f>
        <v>67.303283896086128</v>
      </c>
      <c r="CZ34" s="62">
        <f t="shared" si="42"/>
        <v>318.97925671653547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51.741506459929077</v>
      </c>
      <c r="DG34" s="23">
        <f>EXP(-LN(2)/25)*DG33+(1-EXP(-LN(2)/25))/(LN(2)/25)*Calculateur!DB34*Calculateur!DD34*VLOOKUP('Données projet'!$B$13,Paramètres!$A$1:$I$89,3,0)*0.475*44/12</f>
        <v>11.531901397088632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63.273407857017709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>
        <f>DO34*VLOOKUP('Données projet'!$B$14,Paramètres!$A$1:$I$89,3,0)*VLOOKUP('Données projet'!$B$14,Paramètres!$A$1:$I$89,5,0)</f>
        <v>0</v>
      </c>
      <c r="DQ34" s="14" t="e">
        <f t="shared" si="43"/>
        <v>#NUM!</v>
      </c>
      <c r="DR34" s="22" t="e">
        <f t="shared" si="16"/>
        <v>#NUM!</v>
      </c>
      <c r="DS34" s="62" t="e">
        <f t="shared" si="17"/>
        <v>#NUM!</v>
      </c>
      <c r="DT34" s="62">
        <f ca="1">AVERAGE(OFFSET($DS$3,0,0,'Données projet'!$E$14+1,1))-AVERAGE(OFFSET($H$3,0,0,'Données projet'!$E$14+1,1))</f>
        <v>75.244137291704476</v>
      </c>
      <c r="DU34" s="62">
        <f t="shared" si="44"/>
        <v>366.065475656937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60.586331741562219</v>
      </c>
      <c r="EB34" s="23">
        <f>EXP(-LN(2)/25)*EB33+(1-EXP(-LN(2)/25))/(LN(2)/25)*Calculateur!DW34*Calculateur!DY34*VLOOKUP('Données projet'!$B$14,Paramètres!$A$1:$I$89,3,0)*0.475*44/12</f>
        <v>13.503194078743773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74.089525820305994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7.8</v>
      </c>
      <c r="EJ34" s="13">
        <f>IF('Données projet'!$A$192&gt;35,EJ33+EI34-ER33,IF(A34&lt;'Données projet'!$A$192,$EG$205^A34,IF(A34='Données projet'!$A$192,'Données projet'!$B$192,EJ33+EI34-ER33)))</f>
        <v>84.8</v>
      </c>
      <c r="EK34" s="18">
        <f>EJ34*VLOOKUP('Données projet'!$B$15,Paramètres!$A$1:$I$89,3,0)*VLOOKUP('Données projet'!$B$15,Paramètres!$A$1:$I$89,5,0)</f>
        <v>82.018560000000008</v>
      </c>
      <c r="EL34" s="14">
        <f t="shared" si="45"/>
        <v>22.630014481487464</v>
      </c>
      <c r="EM34" s="22">
        <f t="shared" si="19"/>
        <v>182.26293388859065</v>
      </c>
      <c r="EN34" s="62">
        <f t="shared" si="20"/>
        <v>399.31316041339358</v>
      </c>
      <c r="EO34" s="62">
        <f ca="1">AVERAGE(OFFSET($EN$3,0,0,'Données projet'!$E$15+1,1))-AVERAGE(OFFSET($H$3,0,0,'Données projet'!$E$15+1,1))</f>
        <v>452.74627739105745</v>
      </c>
      <c r="EP34" s="62">
        <f t="shared" si="46"/>
        <v>281.80695725575106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7.8</v>
      </c>
      <c r="FE34" s="13">
        <f>IF('Données projet'!$A$218&gt;35,FE33+FD34-FM33,IF(A34&lt;'Données projet'!$A$218,$FB$205^A34,IF(A34='Données projet'!$A$218,'Données projet'!$B$218,FE33+FD34-FM33)))</f>
        <v>84.8</v>
      </c>
      <c r="FF34" s="18">
        <f>FE34*VLOOKUP('Données projet'!$B$16,Paramètres!$A$1:$I$89,3,0)*VLOOKUP('Données projet'!$B$16,Paramètres!$A$1:$I$89,5,0)</f>
        <v>91.278719999999993</v>
      </c>
      <c r="FG34" s="14">
        <f t="shared" si="47"/>
        <v>24.873367789912262</v>
      </c>
      <c r="FH34" s="22">
        <f t="shared" si="22"/>
        <v>202.29821956743049</v>
      </c>
      <c r="FI34" s="62">
        <f t="shared" si="23"/>
        <v>419.34844609223342</v>
      </c>
      <c r="FJ34" s="62">
        <f ca="1">AVERAGE(OFFSET($FI$3,0,0,'Données projet'!$E$16+1,1))-AVERAGE(OFFSET($H$3,0,0,'Données projet'!$E$16+1,1))</f>
        <v>492.72391755143508</v>
      </c>
      <c r="FK34" s="62">
        <f t="shared" si="48"/>
        <v>304.88554179994355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49.195516324946247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143.77000000000001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7</v>
      </c>
      <c r="N35" s="14">
        <f>IF('Données projet'!$A$36&gt;35,N34+M35-V34,IF(A35&lt;'Données projet'!$A$36,$K$205^A35,IF(A35='Données projet'!$A$36,'Données projet'!$B$36,N34+M35-V34)))</f>
        <v>245.99999999999997</v>
      </c>
      <c r="O35" s="14">
        <f>N35*VLOOKUP('Données projet'!$B$9,Paramètres!$A$1:$I$89,3,0)*VLOOKUP('Données projet'!$B$9,Paramètres!$A$1:$I$89,5,0)</f>
        <v>222.58079999999998</v>
      </c>
      <c r="P35" s="14">
        <f t="shared" si="33"/>
        <v>54.675428546153199</v>
      </c>
      <c r="Q35" s="22">
        <f t="shared" ref="Q35:Q66" si="53">(O35+P35)*0.475*44/12</f>
        <v>482.88793138455003</v>
      </c>
      <c r="R35" s="62">
        <f t="shared" si="0"/>
        <v>701.26149926900337</v>
      </c>
      <c r="S35" s="62">
        <f ca="1">AVERAGE(OFFSET($R$3,0,0,'Données projet'!$E$9+1,1))-AVERAGE(OFFSET($H$3,0,0,'Données projet'!$E$9+1,1))</f>
        <v>388.8309693898596</v>
      </c>
      <c r="T35" s="62">
        <f t="shared" si="34"/>
        <v>549.06702041234382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10.173791448500685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10.173791448500685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>
        <f>AI35*VLOOKUP('Données projet'!$B$10,Paramètres!$A$1:$I$89,3,0)*VLOOKUP('Données projet'!$B$10,Paramètres!$A$1:$I$89,5,0)</f>
        <v>6.7984728957526396E-14</v>
      </c>
      <c r="AK35" s="14">
        <f t="shared" si="35"/>
        <v>1.0682447123141398E-12</v>
      </c>
      <c r="AL35" s="22">
        <f t="shared" si="4"/>
        <v>1.978932943548152E-12</v>
      </c>
      <c r="AM35" s="62">
        <f t="shared" si="5"/>
        <v>218.37356788445533</v>
      </c>
      <c r="AN35" s="62">
        <f ca="1">AVERAGE(OFFSET($AM$3,0,0,'Données projet'!$E$10+1,1))-AVERAGE(OFFSET($H$3,0,0,'Données projet'!$E$10+1,1))</f>
        <v>197.85998851681552</v>
      </c>
      <c r="AO35" s="62">
        <f t="shared" si="36"/>
        <v>474.54844785896239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51.249751095105474</v>
      </c>
      <c r="AV35" s="23">
        <f>EXP(-LN(2)/25)*AV34+(1-EXP(-LN(2)/25))/(LN(2)/25)*Calculateur!AQ35*Calculateur!AS35*VLOOKUP('Données projet'!$B$10,Paramètres!$A$1:$I$89,3,0)*0.475*44/12</f>
        <v>41.578112227672577</v>
      </c>
      <c r="AW35" s="23">
        <f>EXP(-LN(2)/2)*AW34+(1-EXP(-LN(2)/2))/(LN(2)/2)*AQ35*AT35*VLOOKUP('Données projet'!$B$10,Paramètres!$A$1:$I$89,3,0)*0.475*44/12</f>
        <v>21.783692398454207</v>
      </c>
      <c r="AX35" s="23">
        <f t="shared" si="6"/>
        <v>114.61155572123226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1.1368683772161603E-13</v>
      </c>
      <c r="BE35" s="14">
        <f>BD35*VLOOKUP('Données projet'!$B$11,Paramètres!$A$1:$I$89,3,0)*VLOOKUP('Données projet'!$B$11,Paramètres!$A$1:$I$89,5,0)</f>
        <v>6.7984728957526396E-14</v>
      </c>
      <c r="BF35" s="14">
        <f t="shared" si="37"/>
        <v>1.0682447123141398E-12</v>
      </c>
      <c r="BG35" s="22">
        <f t="shared" si="7"/>
        <v>1.978932943548152E-12</v>
      </c>
      <c r="BH35" s="62">
        <f t="shared" si="8"/>
        <v>218.37356788445533</v>
      </c>
      <c r="BI35" s="62">
        <f ca="1">AVERAGE(OFFSET($BH$3,0,0,'Données projet'!$E$11+1,1))-AVERAGE(OFFSET($H$3,0,0,'Données projet'!$E$11+1,1))</f>
        <v>197.85998851681552</v>
      </c>
      <c r="BJ35" s="62">
        <f t="shared" si="38"/>
        <v>474.54844785896239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51.249751095105474</v>
      </c>
      <c r="BQ35" s="23">
        <f>EXP(-LN(2)/25)*BQ34+(1-EXP(-LN(2)/25))/(LN(2)/25)*Calculateur!BL35*Calculateur!BN35*VLOOKUP('Données projet'!$B$11,Paramètres!$A$1:$I$89,3,0)*0.475*44/12</f>
        <v>41.578112227672577</v>
      </c>
      <c r="BR35" s="23">
        <f>EXP(-LN(2)/2)*BR34+(1-EXP(-LN(2)/2))/(LN(2)/2)*BL35*BO35*VLOOKUP('Données projet'!$B$11,Paramètres!$A$1:$I$89,3,0)*0.475*44/12</f>
        <v>21.783692398454207</v>
      </c>
      <c r="BS35" s="24">
        <f t="shared" si="9"/>
        <v>114.61155572123226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>
        <f>BY35*VLOOKUP('Données projet'!$B$12,Paramètres!$A$1:$I$89,3,0)*VLOOKUP('Données projet'!$B$12,Paramètres!$A$1:$I$89,5,0)</f>
        <v>0</v>
      </c>
      <c r="CA35" s="14" t="e">
        <f t="shared" si="39"/>
        <v>#NUM!</v>
      </c>
      <c r="CB35" s="22" t="e">
        <f t="shared" si="10"/>
        <v>#NUM!</v>
      </c>
      <c r="CC35" s="62" t="e">
        <f t="shared" si="11"/>
        <v>#NUM!</v>
      </c>
      <c r="CD35" s="62">
        <f ca="1">AVERAGE(OFFSET($CC$3,0,0,'Données projet'!$E$12+1,1))-AVERAGE(OFFSET($H$3,0,0,'Données projet'!$E$12+1,1))</f>
        <v>72.97248599808384</v>
      </c>
      <c r="CE35" s="62">
        <f t="shared" si="40"/>
        <v>346.88163654003574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55.861817364433982</v>
      </c>
      <c r="CL35" s="23">
        <f>EXP(-LN(2)/25)*CL34+(1-EXP(-LN(2)/25))/(LN(2)/25)*Calculateur!CG35*Calculateur!CI35*VLOOKUP('Données projet'!$B$12,Paramètres!$A$1:$I$89,3,0)*0.475*44/12</f>
        <v>12.351979693112446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68.213797057546429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>
        <f>CT35*VLOOKUP('Données projet'!$B$13,Paramètres!$A$1:$I$89,3,0)*VLOOKUP('Données projet'!$B$13,Paramètres!$A$1:$I$89,5,0)</f>
        <v>0</v>
      </c>
      <c r="CV35" s="14" t="e">
        <f t="shared" si="41"/>
        <v>#NUM!</v>
      </c>
      <c r="CW35" s="22" t="e">
        <f t="shared" si="13"/>
        <v>#NUM!</v>
      </c>
      <c r="CX35" s="62" t="e">
        <f t="shared" si="14"/>
        <v>#NUM!</v>
      </c>
      <c r="CY35" s="62">
        <f ca="1">AVERAGE(OFFSET($CX$3,0,0,'Données projet'!$E$13+1,1))-AVERAGE(OFFSET($H$3,0,0,'Données projet'!$E$13+1,1))</f>
        <v>67.303283896086128</v>
      </c>
      <c r="CZ35" s="62">
        <f t="shared" si="42"/>
        <v>318.97925671653547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50.726887077452595</v>
      </c>
      <c r="DG35" s="23">
        <f>EXP(-LN(2)/25)*DG34+(1-EXP(-LN(2)/25))/(LN(2)/25)*Calculateur!DB35*Calculateur!DD35*VLOOKUP('Données projet'!$B$13,Paramètres!$A$1:$I$89,3,0)*0.475*44/12</f>
        <v>11.216560946948904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61.943448024401498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>
        <f>DO35*VLOOKUP('Données projet'!$B$14,Paramètres!$A$1:$I$89,3,0)*VLOOKUP('Données projet'!$B$14,Paramètres!$A$1:$I$89,5,0)</f>
        <v>0</v>
      </c>
      <c r="DQ35" s="14" t="e">
        <f t="shared" si="43"/>
        <v>#NUM!</v>
      </c>
      <c r="DR35" s="22" t="e">
        <f t="shared" si="16"/>
        <v>#NUM!</v>
      </c>
      <c r="DS35" s="62" t="e">
        <f t="shared" si="17"/>
        <v>#NUM!</v>
      </c>
      <c r="DT35" s="62">
        <f ca="1">AVERAGE(OFFSET($DS$3,0,0,'Données projet'!$E$14+1,1))-AVERAGE(OFFSET($H$3,0,0,'Données projet'!$E$14+1,1))</f>
        <v>75.244137291704476</v>
      </c>
      <c r="DU35" s="62">
        <f t="shared" si="44"/>
        <v>366.065475656937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59.398270730123642</v>
      </c>
      <c r="EB35" s="23">
        <f>EXP(-LN(2)/25)*EB34+(1-EXP(-LN(2)/25))/(LN(2)/25)*Calculateur!DW35*Calculateur!DY35*VLOOKUP('Données projet'!$B$14,Paramètres!$A$1:$I$89,3,0)*0.475*44/12</f>
        <v>13.133948526558409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72.532219256682055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7.8</v>
      </c>
      <c r="EJ35" s="13">
        <f>IF('Données projet'!$A$192&gt;35,EJ34+EI35-ER34,IF(A35&lt;'Données projet'!$A$192,$EG$205^A35,IF(A35='Données projet'!$A$192,'Données projet'!$B$192,EJ34+EI35-ER34)))</f>
        <v>92.6</v>
      </c>
      <c r="EK35" s="18">
        <f>EJ35*VLOOKUP('Données projet'!$B$15,Paramètres!$A$1:$I$89,3,0)*VLOOKUP('Données projet'!$B$15,Paramètres!$A$1:$I$89,5,0)</f>
        <v>89.562719999999999</v>
      </c>
      <c r="EL35" s="14">
        <f t="shared" si="45"/>
        <v>24.459733711744541</v>
      </c>
      <c r="EM35" s="22">
        <f t="shared" si="19"/>
        <v>198.58910688128836</v>
      </c>
      <c r="EN35" s="62">
        <f t="shared" si="20"/>
        <v>416.96267476574167</v>
      </c>
      <c r="EO35" s="62">
        <f ca="1">AVERAGE(OFFSET($EN$3,0,0,'Données projet'!$E$15+1,1))-AVERAGE(OFFSET($H$3,0,0,'Données projet'!$E$15+1,1))</f>
        <v>452.74627739105745</v>
      </c>
      <c r="EP35" s="62">
        <f t="shared" si="46"/>
        <v>281.80695725575106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7.8</v>
      </c>
      <c r="FE35" s="13">
        <f>IF('Données projet'!$A$218&gt;35,FE34+FD35-FM34,IF(A35&lt;'Données projet'!$A$218,$FB$205^A35,IF(A35='Données projet'!$A$218,'Données projet'!$B$218,FE34+FD35-FM34)))</f>
        <v>92.6</v>
      </c>
      <c r="FF35" s="18">
        <f>FE35*VLOOKUP('Données projet'!$B$16,Paramètres!$A$1:$I$89,3,0)*VLOOKUP('Données projet'!$B$16,Paramètres!$A$1:$I$89,5,0)</f>
        <v>99.674639999999997</v>
      </c>
      <c r="FG35" s="14">
        <f t="shared" si="47"/>
        <v>26.884470319417503</v>
      </c>
      <c r="FH35" s="22">
        <f t="shared" si="22"/>
        <v>220.42378380631877</v>
      </c>
      <c r="FI35" s="62">
        <f t="shared" si="23"/>
        <v>438.79735169077208</v>
      </c>
      <c r="FJ35" s="62">
        <f ca="1">AVERAGE(OFFSET($FI$3,0,0,'Données projet'!$E$16+1,1))-AVERAGE(OFFSET($H$3,0,0,'Données projet'!$E$16+1,1))</f>
        <v>492.72391755143508</v>
      </c>
      <c r="FK35" s="62">
        <f t="shared" si="48"/>
        <v>304.88554179994355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49.55642760485091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143.77000000000001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7</v>
      </c>
      <c r="N36" s="14">
        <f>IF('Données projet'!$A$36&gt;35,N35+M36-V35,IF(A36&lt;'Données projet'!$A$36,$K$205^A36,IF(A36='Données projet'!$A$36,'Données projet'!$B$36,N35+M36-V35)))</f>
        <v>252.99999999999997</v>
      </c>
      <c r="O36" s="14">
        <f>N36*VLOOKUP('Données projet'!$B$9,Paramètres!$A$1:$I$89,3,0)*VLOOKUP('Données projet'!$B$9,Paramètres!$A$1:$I$89,5,0)</f>
        <v>228.91439999999997</v>
      </c>
      <c r="P36" s="14">
        <f t="shared" si="33"/>
        <v>56.047884834417424</v>
      </c>
      <c r="Q36" s="22">
        <f t="shared" si="53"/>
        <v>496.30931275327697</v>
      </c>
      <c r="R36" s="62">
        <f t="shared" si="0"/>
        <v>715.98326498333893</v>
      </c>
      <c r="S36" s="62">
        <f ca="1">AVERAGE(OFFSET($R$3,0,0,'Données projet'!$E$9+1,1))-AVERAGE(OFFSET($H$3,0,0,'Données projet'!$E$9+1,1))</f>
        <v>388.8309693898596</v>
      </c>
      <c r="T36" s="62">
        <f t="shared" si="34"/>
        <v>549.06702041234382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9.9742896035956381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9.9742896035956381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>
        <f>AI36*VLOOKUP('Données projet'!$B$10,Paramètres!$A$1:$I$89,3,0)*VLOOKUP('Données projet'!$B$10,Paramètres!$A$1:$I$89,5,0)</f>
        <v>6.7984728957526396E-14</v>
      </c>
      <c r="AK36" s="14">
        <f t="shared" si="35"/>
        <v>1.0682447123141398E-12</v>
      </c>
      <c r="AL36" s="22">
        <f t="shared" si="4"/>
        <v>1.978932943548152E-12</v>
      </c>
      <c r="AM36" s="62">
        <f t="shared" si="5"/>
        <v>219.67395223006392</v>
      </c>
      <c r="AN36" s="62">
        <f ca="1">AVERAGE(OFFSET($AM$3,0,0,'Données projet'!$E$10+1,1))-AVERAGE(OFFSET($H$3,0,0,'Données projet'!$E$10+1,1))</f>
        <v>197.85998851681552</v>
      </c>
      <c r="AO36" s="62">
        <f t="shared" si="36"/>
        <v>474.54844785896239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50.244774735392028</v>
      </c>
      <c r="AV36" s="23">
        <f>EXP(-LN(2)/25)*AV35+(1-EXP(-LN(2)/25))/(LN(2)/25)*Calculateur!AQ36*Calculateur!AS36*VLOOKUP('Données projet'!$B$10,Paramètres!$A$1:$I$89,3,0)*0.475*44/12</f>
        <v>40.441156562308976</v>
      </c>
      <c r="AW36" s="23">
        <f>EXP(-LN(2)/2)*AW35+(1-EXP(-LN(2)/2))/(LN(2)/2)*AQ36*AT36*VLOOKUP('Données projet'!$B$10,Paramètres!$A$1:$I$89,3,0)*0.475*44/12</f>
        <v>15.403396614228818</v>
      </c>
      <c r="AX36" s="23">
        <f t="shared" si="6"/>
        <v>106.08932791192981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1.1368683772161603E-13</v>
      </c>
      <c r="BE36" s="14">
        <f>BD36*VLOOKUP('Données projet'!$B$11,Paramètres!$A$1:$I$89,3,0)*VLOOKUP('Données projet'!$B$11,Paramètres!$A$1:$I$89,5,0)</f>
        <v>6.7984728957526396E-14</v>
      </c>
      <c r="BF36" s="14">
        <f t="shared" si="37"/>
        <v>1.0682447123141398E-12</v>
      </c>
      <c r="BG36" s="22">
        <f t="shared" si="7"/>
        <v>1.978932943548152E-12</v>
      </c>
      <c r="BH36" s="62">
        <f t="shared" si="8"/>
        <v>219.67395223006392</v>
      </c>
      <c r="BI36" s="62">
        <f ca="1">AVERAGE(OFFSET($BH$3,0,0,'Données projet'!$E$11+1,1))-AVERAGE(OFFSET($H$3,0,0,'Données projet'!$E$11+1,1))</f>
        <v>197.85998851681552</v>
      </c>
      <c r="BJ36" s="62">
        <f t="shared" si="38"/>
        <v>474.54844785896239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50.244774735392028</v>
      </c>
      <c r="BQ36" s="23">
        <f>EXP(-LN(2)/25)*BQ35+(1-EXP(-LN(2)/25))/(LN(2)/25)*Calculateur!BL36*Calculateur!BN36*VLOOKUP('Données projet'!$B$11,Paramètres!$A$1:$I$89,3,0)*0.475*44/12</f>
        <v>40.441156562308976</v>
      </c>
      <c r="BR36" s="23">
        <f>EXP(-LN(2)/2)*BR35+(1-EXP(-LN(2)/2))/(LN(2)/2)*BL36*BO36*VLOOKUP('Données projet'!$B$11,Paramètres!$A$1:$I$89,3,0)*0.475*44/12</f>
        <v>15.403396614228818</v>
      </c>
      <c r="BS36" s="24">
        <f t="shared" si="9"/>
        <v>106.08932791192981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>
        <f>BY36*VLOOKUP('Données projet'!$B$12,Paramètres!$A$1:$I$89,3,0)*VLOOKUP('Données projet'!$B$12,Paramètres!$A$1:$I$89,5,0)</f>
        <v>0</v>
      </c>
      <c r="CA36" s="14" t="e">
        <f t="shared" si="39"/>
        <v>#NUM!</v>
      </c>
      <c r="CB36" s="22" t="e">
        <f t="shared" si="10"/>
        <v>#NUM!</v>
      </c>
      <c r="CC36" s="62" t="e">
        <f t="shared" si="11"/>
        <v>#NUM!</v>
      </c>
      <c r="CD36" s="62">
        <f ca="1">AVERAGE(OFFSET($CC$3,0,0,'Données projet'!$E$12+1,1))-AVERAGE(OFFSET($H$3,0,0,'Données projet'!$E$12+1,1))</f>
        <v>72.97248599808384</v>
      </c>
      <c r="CE36" s="62">
        <f t="shared" si="40"/>
        <v>346.88163654003574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54.766401198261661</v>
      </c>
      <c r="CL36" s="23">
        <f>EXP(-LN(2)/25)*CL35+(1-EXP(-LN(2)/25))/(LN(2)/25)*Calculateur!CG36*Calculateur!CI36*VLOOKUP('Données projet'!$B$12,Paramètres!$A$1:$I$89,3,0)*0.475*44/12</f>
        <v>12.014214158841904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66.780615357103571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>
        <f>CT36*VLOOKUP('Données projet'!$B$13,Paramètres!$A$1:$I$89,3,0)*VLOOKUP('Données projet'!$B$13,Paramètres!$A$1:$I$89,5,0)</f>
        <v>0</v>
      </c>
      <c r="CV36" s="14" t="e">
        <f t="shared" si="41"/>
        <v>#NUM!</v>
      </c>
      <c r="CW36" s="22" t="e">
        <f t="shared" si="13"/>
        <v>#NUM!</v>
      </c>
      <c r="CX36" s="62" t="e">
        <f t="shared" si="14"/>
        <v>#NUM!</v>
      </c>
      <c r="CY36" s="62">
        <f ca="1">AVERAGE(OFFSET($CX$3,0,0,'Données projet'!$E$13+1,1))-AVERAGE(OFFSET($H$3,0,0,'Données projet'!$E$13+1,1))</f>
        <v>67.303283896086128</v>
      </c>
      <c r="CZ36" s="62">
        <f t="shared" si="42"/>
        <v>318.97925671653547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49.732163762209758</v>
      </c>
      <c r="DG36" s="23">
        <f>EXP(-LN(2)/25)*DG35+(1-EXP(-LN(2)/25))/(LN(2)/25)*Calculateur!DB36*Calculateur!DD36*VLOOKUP('Données projet'!$B$13,Paramètres!$A$1:$I$89,3,0)*0.475*44/12</f>
        <v>10.909843498001282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60.642007260211038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>
        <f>DO36*VLOOKUP('Données projet'!$B$14,Paramètres!$A$1:$I$89,3,0)*VLOOKUP('Données projet'!$B$14,Paramètres!$A$1:$I$89,5,0)</f>
        <v>0</v>
      </c>
      <c r="DQ36" s="14" t="e">
        <f t="shared" si="43"/>
        <v>#NUM!</v>
      </c>
      <c r="DR36" s="22" t="e">
        <f t="shared" si="16"/>
        <v>#NUM!</v>
      </c>
      <c r="DS36" s="62" t="e">
        <f t="shared" si="17"/>
        <v>#NUM!</v>
      </c>
      <c r="DT36" s="62">
        <f ca="1">AVERAGE(OFFSET($DS$3,0,0,'Données projet'!$E$14+1,1))-AVERAGE(OFFSET($H$3,0,0,'Données projet'!$E$14+1,1))</f>
        <v>75.244137291704476</v>
      </c>
      <c r="DU36" s="62">
        <f t="shared" si="44"/>
        <v>366.065475656937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58.233506870473711</v>
      </c>
      <c r="EB36" s="23">
        <f>EXP(-LN(2)/25)*EB35+(1-EXP(-LN(2)/25))/(LN(2)/25)*Calculateur!DW36*Calculateur!DY36*VLOOKUP('Données projet'!$B$14,Paramètres!$A$1:$I$89,3,0)*0.475*44/12</f>
        <v>12.774800013415335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71.008306883889048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7.8</v>
      </c>
      <c r="EJ36" s="13">
        <f>IF('Données projet'!$A$192&gt;35,EJ35+EI36-ER35,IF(A36&lt;'Données projet'!$A$192,$EG$205^A36,IF(A36='Données projet'!$A$192,'Données projet'!$B$192,EJ35+EI36-ER35)))</f>
        <v>100.39999999999999</v>
      </c>
      <c r="EK36" s="18">
        <f>EJ36*VLOOKUP('Données projet'!$B$15,Paramètres!$A$1:$I$89,3,0)*VLOOKUP('Données projet'!$B$15,Paramètres!$A$1:$I$89,5,0)</f>
        <v>97.106880000000004</v>
      </c>
      <c r="EL36" s="14">
        <f t="shared" si="45"/>
        <v>26.271578364481066</v>
      </c>
      <c r="EM36" s="22">
        <f t="shared" si="19"/>
        <v>214.88414831813785</v>
      </c>
      <c r="EN36" s="62">
        <f t="shared" si="20"/>
        <v>434.55810054819977</v>
      </c>
      <c r="EO36" s="62">
        <f ca="1">AVERAGE(OFFSET($EN$3,0,0,'Données projet'!$E$15+1,1))-AVERAGE(OFFSET($H$3,0,0,'Données projet'!$E$15+1,1))</f>
        <v>452.74627739105745</v>
      </c>
      <c r="EP36" s="62">
        <f t="shared" si="46"/>
        <v>281.80695725575106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7.8</v>
      </c>
      <c r="FE36" s="13">
        <f>IF('Données projet'!$A$218&gt;35,FE35+FD36-FM35,IF(A36&lt;'Données projet'!$A$218,$FB$205^A36,IF(A36='Données projet'!$A$218,'Données projet'!$B$218,FE35+FD36-FM35)))</f>
        <v>100.39999999999999</v>
      </c>
      <c r="FF36" s="18">
        <f>FE36*VLOOKUP('Données projet'!$B$16,Paramètres!$A$1:$I$89,3,0)*VLOOKUP('Données projet'!$B$16,Paramètres!$A$1:$I$89,5,0)</f>
        <v>108.07055999999997</v>
      </c>
      <c r="FG36" s="14">
        <f t="shared" si="47"/>
        <v>28.875926332959533</v>
      </c>
      <c r="FH36" s="22">
        <f t="shared" si="22"/>
        <v>238.51513036323777</v>
      </c>
      <c r="FI36" s="62">
        <f t="shared" si="23"/>
        <v>458.1890825932997</v>
      </c>
      <c r="FJ36" s="62">
        <f ca="1">AVERAGE(OFFSET($FI$3,0,0,'Données projet'!$E$16+1,1))-AVERAGE(OFFSET($H$3,0,0,'Données projet'!$E$16+1,1))</f>
        <v>492.72391755143508</v>
      </c>
      <c r="FK36" s="62">
        <f t="shared" si="48"/>
        <v>304.88554179994355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49.91107788092598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143.77000000000001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7</v>
      </c>
      <c r="N37" s="14">
        <f>IF('Données projet'!$A$36&gt;35,N36+M37-V36,IF(A37&lt;'Données projet'!$A$36,$K$205^A37,IF(A37='Données projet'!$A$36,'Données projet'!$B$36,N36+M37-V36)))</f>
        <v>260</v>
      </c>
      <c r="O37" s="14">
        <f>N37*VLOOKUP('Données projet'!$B$9,Paramètres!$A$1:$I$89,3,0)*VLOOKUP('Données projet'!$B$9,Paramètres!$A$1:$I$89,5,0)</f>
        <v>235.24799999999999</v>
      </c>
      <c r="P37" s="14">
        <f t="shared" si="33"/>
        <v>57.41592756883739</v>
      </c>
      <c r="Q37" s="22">
        <f t="shared" si="53"/>
        <v>509.72300718239177</v>
      </c>
      <c r="R37" s="62">
        <f t="shared" si="0"/>
        <v>730.6747849968898</v>
      </c>
      <c r="S37" s="62">
        <f ca="1">AVERAGE(OFFSET($R$3,0,0,'Données projet'!$E$9+1,1))-AVERAGE(OFFSET($H$3,0,0,'Données projet'!$E$9+1,1))</f>
        <v>388.8309693898596</v>
      </c>
      <c r="T37" s="62">
        <f t="shared" si="34"/>
        <v>549.06702041234382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9.7786998681850683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9.7786998681850683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>
        <f>AI37*VLOOKUP('Données projet'!$B$10,Paramètres!$A$1:$I$89,3,0)*VLOOKUP('Données projet'!$B$10,Paramètres!$A$1:$I$89,5,0)</f>
        <v>6.7984728957526396E-14</v>
      </c>
      <c r="AK37" s="14">
        <f t="shared" si="35"/>
        <v>1.0682447123141398E-12</v>
      </c>
      <c r="AL37" s="22">
        <f t="shared" si="4"/>
        <v>1.978932943548152E-12</v>
      </c>
      <c r="AM37" s="62">
        <f t="shared" si="5"/>
        <v>220.95177781450005</v>
      </c>
      <c r="AN37" s="62">
        <f ca="1">AVERAGE(OFFSET($AM$3,0,0,'Données projet'!$E$10+1,1))-AVERAGE(OFFSET($H$3,0,0,'Données projet'!$E$10+1,1))</f>
        <v>197.85998851681552</v>
      </c>
      <c r="AO37" s="62">
        <f t="shared" si="36"/>
        <v>474.54844785896239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49.259505349117511</v>
      </c>
      <c r="AV37" s="23">
        <f>EXP(-LN(2)/25)*AV36+(1-EXP(-LN(2)/25))/(LN(2)/25)*Calculateur!AQ37*Calculateur!AS37*VLOOKUP('Données projet'!$B$10,Paramètres!$A$1:$I$89,3,0)*0.475*44/12</f>
        <v>39.335291009404642</v>
      </c>
      <c r="AW37" s="23">
        <f>EXP(-LN(2)/2)*AW36+(1-EXP(-LN(2)/2))/(LN(2)/2)*AQ37*AT37*VLOOKUP('Données projet'!$B$10,Paramètres!$A$1:$I$89,3,0)*0.475*44/12</f>
        <v>10.891846199227105</v>
      </c>
      <c r="AX37" s="23">
        <f t="shared" si="6"/>
        <v>99.486642557749263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1.1368683772161603E-13</v>
      </c>
      <c r="BE37" s="14">
        <f>BD37*VLOOKUP('Données projet'!$B$11,Paramètres!$A$1:$I$89,3,0)*VLOOKUP('Données projet'!$B$11,Paramètres!$A$1:$I$89,5,0)</f>
        <v>6.7984728957526396E-14</v>
      </c>
      <c r="BF37" s="14">
        <f t="shared" si="37"/>
        <v>1.0682447123141398E-12</v>
      </c>
      <c r="BG37" s="22">
        <f t="shared" si="7"/>
        <v>1.978932943548152E-12</v>
      </c>
      <c r="BH37" s="62">
        <f t="shared" si="8"/>
        <v>220.95177781450005</v>
      </c>
      <c r="BI37" s="62">
        <f ca="1">AVERAGE(OFFSET($BH$3,0,0,'Données projet'!$E$11+1,1))-AVERAGE(OFFSET($H$3,0,0,'Données projet'!$E$11+1,1))</f>
        <v>197.85998851681552</v>
      </c>
      <c r="BJ37" s="62">
        <f t="shared" si="38"/>
        <v>474.54844785896239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49.259505349117511</v>
      </c>
      <c r="BQ37" s="23">
        <f>EXP(-LN(2)/25)*BQ36+(1-EXP(-LN(2)/25))/(LN(2)/25)*Calculateur!BL37*Calculateur!BN37*VLOOKUP('Données projet'!$B$11,Paramètres!$A$1:$I$89,3,0)*0.475*44/12</f>
        <v>39.335291009404642</v>
      </c>
      <c r="BR37" s="23">
        <f>EXP(-LN(2)/2)*BR36+(1-EXP(-LN(2)/2))/(LN(2)/2)*BL37*BO37*VLOOKUP('Données projet'!$B$11,Paramètres!$A$1:$I$89,3,0)*0.475*44/12</f>
        <v>10.891846199227105</v>
      </c>
      <c r="BS37" s="24">
        <f t="shared" si="9"/>
        <v>99.486642557749263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>
        <f>BY37*VLOOKUP('Données projet'!$B$12,Paramètres!$A$1:$I$89,3,0)*VLOOKUP('Données projet'!$B$12,Paramètres!$A$1:$I$89,5,0)</f>
        <v>0</v>
      </c>
      <c r="CA37" s="14" t="e">
        <f t="shared" si="39"/>
        <v>#NUM!</v>
      </c>
      <c r="CB37" s="22" t="e">
        <f t="shared" si="10"/>
        <v>#NUM!</v>
      </c>
      <c r="CC37" s="62" t="e">
        <f t="shared" si="11"/>
        <v>#NUM!</v>
      </c>
      <c r="CD37" s="62">
        <f ca="1">AVERAGE(OFFSET($CC$3,0,0,'Données projet'!$E$12+1,1))-AVERAGE(OFFSET($H$3,0,0,'Données projet'!$E$12+1,1))</f>
        <v>72.97248599808384</v>
      </c>
      <c r="CE37" s="62">
        <f t="shared" si="40"/>
        <v>346.88163654003574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53.692465474970092</v>
      </c>
      <c r="CL37" s="23">
        <f>EXP(-LN(2)/25)*CL36+(1-EXP(-LN(2)/25))/(LN(2)/25)*Calculateur!CG37*Calculateur!CI37*VLOOKUP('Données projet'!$B$12,Paramètres!$A$1:$I$89,3,0)*0.475*44/12</f>
        <v>11.685684840868308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65.378150315838397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>
        <f>CT37*VLOOKUP('Données projet'!$B$13,Paramètres!$A$1:$I$89,3,0)*VLOOKUP('Données projet'!$B$13,Paramètres!$A$1:$I$89,5,0)</f>
        <v>0</v>
      </c>
      <c r="CV37" s="14" t="e">
        <f t="shared" si="41"/>
        <v>#NUM!</v>
      </c>
      <c r="CW37" s="22" t="e">
        <f t="shared" si="13"/>
        <v>#NUM!</v>
      </c>
      <c r="CX37" s="62" t="e">
        <f t="shared" si="14"/>
        <v>#NUM!</v>
      </c>
      <c r="CY37" s="62">
        <f ca="1">AVERAGE(OFFSET($CX$3,0,0,'Données projet'!$E$13+1,1))-AVERAGE(OFFSET($H$3,0,0,'Données projet'!$E$13+1,1))</f>
        <v>67.303283896086128</v>
      </c>
      <c r="CZ37" s="62">
        <f t="shared" si="42"/>
        <v>318.97925671653547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48.756946364457526</v>
      </c>
      <c r="DG37" s="23">
        <f>EXP(-LN(2)/25)*DG36+(1-EXP(-LN(2)/25))/(LN(2)/25)*Calculateur!DB37*Calculateur!DD37*VLOOKUP('Données projet'!$B$13,Paramètres!$A$1:$I$89,3,0)*0.475*44/12</f>
        <v>10.611513253824702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59.36845961828223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>
        <f>DO37*VLOOKUP('Données projet'!$B$14,Paramètres!$A$1:$I$89,3,0)*VLOOKUP('Données projet'!$B$14,Paramètres!$A$1:$I$89,5,0)</f>
        <v>0</v>
      </c>
      <c r="DQ37" s="14" t="e">
        <f t="shared" si="43"/>
        <v>#NUM!</v>
      </c>
      <c r="DR37" s="22" t="e">
        <f t="shared" si="16"/>
        <v>#NUM!</v>
      </c>
      <c r="DS37" s="62" t="e">
        <f t="shared" si="17"/>
        <v>#NUM!</v>
      </c>
      <c r="DT37" s="62">
        <f ca="1">AVERAGE(OFFSET($DS$3,0,0,'Données projet'!$E$14+1,1))-AVERAGE(OFFSET($H$3,0,0,'Données projet'!$E$14+1,1))</f>
        <v>75.244137291704476</v>
      </c>
      <c r="DU37" s="62">
        <f t="shared" si="44"/>
        <v>366.065475656937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57.091583319675706</v>
      </c>
      <c r="EB37" s="23">
        <f>EXP(-LN(2)/25)*EB36+(1-EXP(-LN(2)/25))/(LN(2)/25)*Calculateur!DW37*Calculateur!DY37*VLOOKUP('Données projet'!$B$14,Paramètres!$A$1:$I$89,3,0)*0.475*44/12</f>
        <v>12.425472435250958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69.517055754926659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7.8</v>
      </c>
      <c r="EJ37" s="13">
        <f>IF('Données projet'!$A$192&gt;35,EJ36+EI37-ER36,IF(A37&lt;'Données projet'!$A$192,$EG$205^A37,IF(A37='Données projet'!$A$192,'Données projet'!$B$192,EJ36+EI37-ER36)))</f>
        <v>108.19999999999999</v>
      </c>
      <c r="EK37" s="18">
        <f>EJ37*VLOOKUP('Données projet'!$B$15,Paramètres!$A$1:$I$89,3,0)*VLOOKUP('Données projet'!$B$15,Paramètres!$A$1:$I$89,5,0)</f>
        <v>104.65103999999998</v>
      </c>
      <c r="EL37" s="14">
        <f t="shared" si="45"/>
        <v>28.067094987902482</v>
      </c>
      <c r="EM37" s="22">
        <f t="shared" si="19"/>
        <v>231.15075177059677</v>
      </c>
      <c r="EN37" s="62">
        <f t="shared" si="20"/>
        <v>452.10252958509483</v>
      </c>
      <c r="EO37" s="62">
        <f ca="1">AVERAGE(OFFSET($EN$3,0,0,'Données projet'!$E$15+1,1))-AVERAGE(OFFSET($H$3,0,0,'Données projet'!$E$15+1,1))</f>
        <v>452.74627739105745</v>
      </c>
      <c r="EP37" s="62">
        <f t="shared" si="46"/>
        <v>281.80695725575106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7.8</v>
      </c>
      <c r="FE37" s="13">
        <f>IF('Données projet'!$A$218&gt;35,FE36+FD37-FM36,IF(A37&lt;'Données projet'!$A$218,$FB$205^A37,IF(A37='Données projet'!$A$218,'Données projet'!$B$218,FE36+FD37-FM36)))</f>
        <v>108.19999999999999</v>
      </c>
      <c r="FF37" s="18">
        <f>FE37*VLOOKUP('Données projet'!$B$16,Paramètres!$A$1:$I$89,3,0)*VLOOKUP('Données projet'!$B$16,Paramètres!$A$1:$I$89,5,0)</f>
        <v>116.46647999999999</v>
      </c>
      <c r="FG37" s="14">
        <f t="shared" si="47"/>
        <v>30.849435690799186</v>
      </c>
      <c r="FH37" s="22">
        <f t="shared" si="22"/>
        <v>256.57521982814194</v>
      </c>
      <c r="FI37" s="62">
        <f t="shared" si="23"/>
        <v>477.52699764264003</v>
      </c>
      <c r="FJ37" s="62">
        <f ca="1">AVERAGE(OFFSET($FI$3,0,0,'Données projet'!$E$16+1,1))-AVERAGE(OFFSET($H$3,0,0,'Données projet'!$E$16+1,1))</f>
        <v>492.72391755143508</v>
      </c>
      <c r="FK37" s="62">
        <f t="shared" si="48"/>
        <v>304.88554179994355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50.259575767590377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143.77000000000001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267</v>
      </c>
      <c r="L38" s="13">
        <f>VLOOKUP(A38,'Données projet'!$A$35:$I$55,9,0)</f>
        <v>7</v>
      </c>
      <c r="M38" s="13">
        <f t="array" ref="M38">INDEX(L:L,MIN(IF(ISNUMBER(L38:L234),ROW(L38:L234),"")))</f>
        <v>7</v>
      </c>
      <c r="N38" s="14">
        <f>IF('Données projet'!$A$36&gt;35,N37+M38-V37,IF(A38&lt;'Données projet'!$A$36,$K$205^A38,IF(A38='Données projet'!$A$36,'Données projet'!$B$36,N37+M38-V37)))</f>
        <v>267</v>
      </c>
      <c r="O38" s="14">
        <f>N38*VLOOKUP('Données projet'!$B$9,Paramètres!$A$1:$I$89,3,0)*VLOOKUP('Données projet'!$B$9,Paramètres!$A$1:$I$89,5,0)</f>
        <v>241.58159999999998</v>
      </c>
      <c r="P38" s="14">
        <f t="shared" si="33"/>
        <v>58.779689232021951</v>
      </c>
      <c r="Q38" s="22">
        <f t="shared" si="53"/>
        <v>523.12924541243819</v>
      </c>
      <c r="R38" s="62">
        <f t="shared" si="0"/>
        <v>745.33668139427243</v>
      </c>
      <c r="S38" s="62">
        <f ca="1">AVERAGE(OFFSET($R$3,0,0,'Données projet'!$E$9+1,1))-AVERAGE(OFFSET($H$3,0,0,'Données projet'!$E$9+1,1))</f>
        <v>388.8309693898596</v>
      </c>
      <c r="T38" s="62">
        <f t="shared" si="34"/>
        <v>549.06702041234382</v>
      </c>
      <c r="U38" s="16">
        <f>IF(ISNA(VLOOKUP(A38,'Données projet'!$A$35:$I$55,3,0)),0,VLOOKUP(A38,'Données projet'!$A$35:$I$55,3,0))</f>
        <v>7</v>
      </c>
      <c r="V38" s="16">
        <f>IF(ISNA(VLOOKUP(A38,'Données projet'!$A$35:$I$55,4,0)),0,VLOOKUP(A38,'Données projet'!$A$35:$I$55,4,0))</f>
        <v>9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9.5869455281879414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9.5869455281879414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>
        <f>AI38*VLOOKUP('Données projet'!$B$10,Paramètres!$A$1:$I$89,3,0)*VLOOKUP('Données projet'!$B$10,Paramètres!$A$1:$I$89,5,0)</f>
        <v>6.7984728957526396E-14</v>
      </c>
      <c r="AK38" s="14">
        <f t="shared" si="35"/>
        <v>1.0682447123141398E-12</v>
      </c>
      <c r="AL38" s="22">
        <f t="shared" si="4"/>
        <v>1.978932943548152E-12</v>
      </c>
      <c r="AM38" s="62">
        <f t="shared" si="5"/>
        <v>222.2074359818362</v>
      </c>
      <c r="AN38" s="62">
        <f ca="1">AVERAGE(OFFSET($AM$3,0,0,'Données projet'!$E$10+1,1))-AVERAGE(OFFSET($H$3,0,0,'Données projet'!$E$10+1,1))</f>
        <v>197.85998851681552</v>
      </c>
      <c r="AO38" s="62">
        <f t="shared" si="36"/>
        <v>474.54844785896239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48.293556494552853</v>
      </c>
      <c r="AV38" s="23">
        <f>EXP(-LN(2)/25)*AV37+(1-EXP(-LN(2)/25))/(LN(2)/25)*Calculateur!AQ38*Calculateur!AS38*VLOOKUP('Données projet'!$B$10,Paramètres!$A$1:$I$89,3,0)*0.475*44/12</f>
        <v>38.259665408199417</v>
      </c>
      <c r="AW38" s="23">
        <f>EXP(-LN(2)/2)*AW37+(1-EXP(-LN(2)/2))/(LN(2)/2)*AQ38*AT38*VLOOKUP('Données projet'!$B$10,Paramètres!$A$1:$I$89,3,0)*0.475*44/12</f>
        <v>7.7016983071144107</v>
      </c>
      <c r="AX38" s="23">
        <f t="shared" si="6"/>
        <v>94.254920209866683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1.1368683772161603E-13</v>
      </c>
      <c r="BE38" s="14">
        <f>BD38*VLOOKUP('Données projet'!$B$11,Paramètres!$A$1:$I$89,3,0)*VLOOKUP('Données projet'!$B$11,Paramètres!$A$1:$I$89,5,0)</f>
        <v>6.7984728957526396E-14</v>
      </c>
      <c r="BF38" s="14">
        <f t="shared" si="37"/>
        <v>1.0682447123141398E-12</v>
      </c>
      <c r="BG38" s="22">
        <f t="shared" si="7"/>
        <v>1.978932943548152E-12</v>
      </c>
      <c r="BH38" s="62">
        <f t="shared" si="8"/>
        <v>222.2074359818362</v>
      </c>
      <c r="BI38" s="62">
        <f ca="1">AVERAGE(OFFSET($BH$3,0,0,'Données projet'!$E$11+1,1))-AVERAGE(OFFSET($H$3,0,0,'Données projet'!$E$11+1,1))</f>
        <v>197.85998851681552</v>
      </c>
      <c r="BJ38" s="62">
        <f t="shared" si="38"/>
        <v>474.54844785896239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48.293556494552853</v>
      </c>
      <c r="BQ38" s="23">
        <f>EXP(-LN(2)/25)*BQ37+(1-EXP(-LN(2)/25))/(LN(2)/25)*Calculateur!BL38*Calculateur!BN38*VLOOKUP('Données projet'!$B$11,Paramètres!$A$1:$I$89,3,0)*0.475*44/12</f>
        <v>38.259665408199417</v>
      </c>
      <c r="BR38" s="23">
        <f>EXP(-LN(2)/2)*BR37+(1-EXP(-LN(2)/2))/(LN(2)/2)*BL38*BO38*VLOOKUP('Données projet'!$B$11,Paramètres!$A$1:$I$89,3,0)*0.475*44/12</f>
        <v>7.7016983071144107</v>
      </c>
      <c r="BS38" s="24">
        <f t="shared" si="9"/>
        <v>94.254920209866683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>
        <f>BY38*VLOOKUP('Données projet'!$B$12,Paramètres!$A$1:$I$89,3,0)*VLOOKUP('Données projet'!$B$12,Paramètres!$A$1:$I$89,5,0)</f>
        <v>0</v>
      </c>
      <c r="CA38" s="14" t="e">
        <f t="shared" si="39"/>
        <v>#NUM!</v>
      </c>
      <c r="CB38" s="22" t="e">
        <f t="shared" si="10"/>
        <v>#NUM!</v>
      </c>
      <c r="CC38" s="62" t="e">
        <f t="shared" si="11"/>
        <v>#NUM!</v>
      </c>
      <c r="CD38" s="62">
        <f ca="1">AVERAGE(OFFSET($CC$3,0,0,'Données projet'!$E$12+1,1))-AVERAGE(OFFSET($H$3,0,0,'Données projet'!$E$12+1,1))</f>
        <v>72.97248599808384</v>
      </c>
      <c r="CE38" s="62">
        <f t="shared" si="40"/>
        <v>346.88163654003574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52.639588976176157</v>
      </c>
      <c r="CL38" s="23">
        <f>EXP(-LN(2)/25)*CL37+(1-EXP(-LN(2)/25))/(LN(2)/25)*Calculateur!CG38*Calculateur!CI38*VLOOKUP('Données projet'!$B$12,Paramètres!$A$1:$I$89,3,0)*0.475*44/12</f>
        <v>11.366139174371307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64.005728150547469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>
        <f>CT38*VLOOKUP('Données projet'!$B$13,Paramètres!$A$1:$I$89,3,0)*VLOOKUP('Données projet'!$B$13,Paramètres!$A$1:$I$89,5,0)</f>
        <v>0</v>
      </c>
      <c r="CV38" s="14" t="e">
        <f t="shared" si="41"/>
        <v>#NUM!</v>
      </c>
      <c r="CW38" s="22" t="e">
        <f t="shared" si="13"/>
        <v>#NUM!</v>
      </c>
      <c r="CX38" s="62" t="e">
        <f t="shared" si="14"/>
        <v>#NUM!</v>
      </c>
      <c r="CY38" s="62">
        <f ca="1">AVERAGE(OFFSET($CX$3,0,0,'Données projet'!$E$13+1,1))-AVERAGE(OFFSET($H$3,0,0,'Données projet'!$E$13+1,1))</f>
        <v>67.303283896086128</v>
      </c>
      <c r="CZ38" s="62">
        <f t="shared" si="42"/>
        <v>318.97925671653547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47.800852385051336</v>
      </c>
      <c r="DG38" s="23">
        <f>EXP(-LN(2)/25)*DG37+(1-EXP(-LN(2)/25))/(LN(2)/25)*Calculateur!DB38*Calculateur!DD38*VLOOKUP('Données projet'!$B$13,Paramètres!$A$1:$I$89,3,0)*0.475*44/12</f>
        <v>10.321340865863636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58.122193250914975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>
        <f>DO38*VLOOKUP('Données projet'!$B$14,Paramètres!$A$1:$I$89,3,0)*VLOOKUP('Données projet'!$B$14,Paramètres!$A$1:$I$89,5,0)</f>
        <v>0</v>
      </c>
      <c r="DQ38" s="14" t="e">
        <f t="shared" si="43"/>
        <v>#NUM!</v>
      </c>
      <c r="DR38" s="22" t="e">
        <f t="shared" si="16"/>
        <v>#NUM!</v>
      </c>
      <c r="DS38" s="62" t="e">
        <f t="shared" si="17"/>
        <v>#NUM!</v>
      </c>
      <c r="DT38" s="62">
        <f ca="1">AVERAGE(OFFSET($DS$3,0,0,'Données projet'!$E$14+1,1))-AVERAGE(OFFSET($H$3,0,0,'Données projet'!$E$14+1,1))</f>
        <v>75.244137291704476</v>
      </c>
      <c r="DU38" s="62">
        <f t="shared" si="44"/>
        <v>366.065475656937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55.972052193204263</v>
      </c>
      <c r="EB38" s="23">
        <f>EXP(-LN(2)/25)*EB37+(1-EXP(-LN(2)/25))/(LN(2)/25)*Calculateur!DW38*Calculateur!DY38*VLOOKUP('Données projet'!$B$14,Paramètres!$A$1:$I$89,3,0)*0.475*44/12</f>
        <v>12.085697238081824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68.057749431286084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116</v>
      </c>
      <c r="EH38" s="13">
        <f>VLOOKUP(A38,'Données projet'!$A$191:$I$211,9,0)</f>
        <v>7.8</v>
      </c>
      <c r="EI38" s="13">
        <f t="array" ref="EI38">INDEX(EH:EH,MIN(IF(ISNUMBER(EH38:EH234),ROW(EH38:EH234),"")))</f>
        <v>7.8</v>
      </c>
      <c r="EJ38" s="13">
        <f>IF('Données projet'!$A$192&gt;35,EJ37+EI38-ER37,IF(A38&lt;'Données projet'!$A$192,$EG$205^A38,IF(A38='Données projet'!$A$192,'Données projet'!$B$192,EJ37+EI38-ER37)))</f>
        <v>115.99999999999999</v>
      </c>
      <c r="EK38" s="18">
        <f>EJ38*VLOOKUP('Données projet'!$B$15,Paramètres!$A$1:$I$89,3,0)*VLOOKUP('Données projet'!$B$15,Paramètres!$A$1:$I$89,5,0)</f>
        <v>112.19519999999999</v>
      </c>
      <c r="EL38" s="14">
        <f t="shared" si="45"/>
        <v>29.847594514573263</v>
      </c>
      <c r="EM38" s="22">
        <f t="shared" si="19"/>
        <v>247.39120044621504</v>
      </c>
      <c r="EN38" s="62">
        <f t="shared" si="20"/>
        <v>469.59863642804925</v>
      </c>
      <c r="EO38" s="62">
        <f ca="1">AVERAGE(OFFSET($EN$3,0,0,'Données projet'!$E$15+1,1))-AVERAGE(OFFSET($H$3,0,0,'Données projet'!$E$15+1,1))</f>
        <v>452.74627739105745</v>
      </c>
      <c r="EP38" s="62">
        <f t="shared" si="46"/>
        <v>281.80695725575106</v>
      </c>
      <c r="EQ38" s="16">
        <f>IF(ISNA(VLOOKUP(A38,'Données projet'!$A$191:$I$211,3,0)),0,VLOOKUP(A38,'Données projet'!$A$191:$I$211,3,0))</f>
        <v>3</v>
      </c>
      <c r="ER38" s="16">
        <f>IF(ISNA(VLOOKUP(A38,'Données projet'!$A$191:$I$211,4,0)),0,VLOOKUP(A38,'Données projet'!$A$191:$I$211,4,0))</f>
        <v>21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116</v>
      </c>
      <c r="FC38" s="13">
        <f>VLOOKUP(A38,'Données projet'!$A$217:$I$237,9,0)</f>
        <v>7.8</v>
      </c>
      <c r="FD38" s="13">
        <f t="array" ref="FD38">INDEX(FC:FC,MIN(IF(ISNUMBER(FC38:FC234),ROW(FC38:FC234),"")))</f>
        <v>7.8</v>
      </c>
      <c r="FE38" s="13">
        <f>IF('Données projet'!$A$218&gt;35,FE37+FD38-FM37,IF(A38&lt;'Données projet'!$A$218,$FB$205^A38,IF(A38='Données projet'!$A$218,'Données projet'!$B$218,FE37+FD38-FM37)))</f>
        <v>115.99999999999999</v>
      </c>
      <c r="FF38" s="18">
        <f>FE38*VLOOKUP('Données projet'!$B$16,Paramètres!$A$1:$I$89,3,0)*VLOOKUP('Données projet'!$B$16,Paramètres!$A$1:$I$89,5,0)</f>
        <v>124.86239999999997</v>
      </c>
      <c r="FG38" s="14">
        <f t="shared" si="47"/>
        <v>32.80643928056157</v>
      </c>
      <c r="FH38" s="22">
        <f t="shared" si="22"/>
        <v>274.606561746978</v>
      </c>
      <c r="FI38" s="62">
        <f t="shared" si="23"/>
        <v>496.81399772881218</v>
      </c>
      <c r="FJ38" s="62">
        <f ca="1">AVERAGE(OFFSET($FI$3,0,0,'Données projet'!$E$16+1,1))-AVERAGE(OFFSET($H$3,0,0,'Données projet'!$E$16+1,1))</f>
        <v>492.72391755143508</v>
      </c>
      <c r="FK38" s="62">
        <f t="shared" si="48"/>
        <v>304.88554179994355</v>
      </c>
      <c r="FL38" s="16">
        <f>IF(ISNA(VLOOKUP(A38,'Données projet'!$A$217:$I$237,3,0)),0,VLOOKUP(A38,'Données projet'!$A$217:$I$237,3,0))</f>
        <v>3</v>
      </c>
      <c r="FM38" s="16">
        <f>IF(ISNA(VLOOKUP(A38,'Données projet'!$A$217:$I$237,4,0)),0,VLOOKUP(A38,'Données projet'!$A$217:$I$237,4,0))</f>
        <v>21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50.602027995045688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143.77000000000001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6.2</v>
      </c>
      <c r="N39" s="14">
        <f>IF('Données projet'!$A$36&gt;35,N38+M39-V38,IF(A39&lt;'Données projet'!$A$36,$K$205^A39,IF(A39='Données projet'!$A$36,'Données projet'!$B$36,N38+M39-V38)))</f>
        <v>264.2</v>
      </c>
      <c r="O39" s="14">
        <f>N39*VLOOKUP('Données projet'!$B$9,Paramètres!$A$1:$I$89,3,0)*VLOOKUP('Données projet'!$B$9,Paramètres!$A$1:$I$89,5,0)</f>
        <v>239.04816</v>
      </c>
      <c r="P39" s="14">
        <f t="shared" si="33"/>
        <v>58.234690128947292</v>
      </c>
      <c r="Q39" s="22">
        <f t="shared" si="53"/>
        <v>517.76763064124987</v>
      </c>
      <c r="R39" s="62">
        <f t="shared" si="0"/>
        <v>741.2089419284481</v>
      </c>
      <c r="S39" s="62">
        <f ca="1">AVERAGE(OFFSET($R$3,0,0,'Données projet'!$E$9+1,1))-AVERAGE(OFFSET($H$3,0,0,'Données projet'!$E$9+1,1))</f>
        <v>388.8309693898596</v>
      </c>
      <c r="T39" s="62">
        <f t="shared" si="34"/>
        <v>549.06702041234382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9.3989513738395587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9.3989513738395587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>
        <f>AI39*VLOOKUP('Données projet'!$B$10,Paramètres!$A$1:$I$89,3,0)*VLOOKUP('Données projet'!$B$10,Paramètres!$A$1:$I$89,5,0)</f>
        <v>6.7984728957526396E-14</v>
      </c>
      <c r="AK39" s="14">
        <f t="shared" si="35"/>
        <v>1.0682447123141398E-12</v>
      </c>
      <c r="AL39" s="22">
        <f t="shared" si="4"/>
        <v>1.978932943548152E-12</v>
      </c>
      <c r="AM39" s="62">
        <f t="shared" si="5"/>
        <v>223.44131128720019</v>
      </c>
      <c r="AN39" s="62">
        <f ca="1">AVERAGE(OFFSET($AM$3,0,0,'Données projet'!$E$10+1,1))-AVERAGE(OFFSET($H$3,0,0,'Données projet'!$E$10+1,1))</f>
        <v>197.85998851681552</v>
      </c>
      <c r="AO39" s="62">
        <f t="shared" si="36"/>
        <v>474.54844785896239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47.346549307855575</v>
      </c>
      <c r="AV39" s="23">
        <f>EXP(-LN(2)/25)*AV38+(1-EXP(-LN(2)/25))/(LN(2)/25)*Calculateur!AQ39*Calculateur!AS39*VLOOKUP('Données projet'!$B$10,Paramètres!$A$1:$I$89,3,0)*0.475*44/12</f>
        <v>37.213452845623841</v>
      </c>
      <c r="AW39" s="23">
        <f>EXP(-LN(2)/2)*AW38+(1-EXP(-LN(2)/2))/(LN(2)/2)*AQ39*AT39*VLOOKUP('Données projet'!$B$10,Paramètres!$A$1:$I$89,3,0)*0.475*44/12</f>
        <v>5.4459230996135535</v>
      </c>
      <c r="AX39" s="23">
        <f t="shared" si="6"/>
        <v>90.005925253092968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1.1368683772161603E-13</v>
      </c>
      <c r="BE39" s="14">
        <f>BD39*VLOOKUP('Données projet'!$B$11,Paramètres!$A$1:$I$89,3,0)*VLOOKUP('Données projet'!$B$11,Paramètres!$A$1:$I$89,5,0)</f>
        <v>6.7984728957526396E-14</v>
      </c>
      <c r="BF39" s="14">
        <f t="shared" si="37"/>
        <v>1.0682447123141398E-12</v>
      </c>
      <c r="BG39" s="22">
        <f t="shared" si="7"/>
        <v>1.978932943548152E-12</v>
      </c>
      <c r="BH39" s="62">
        <f t="shared" si="8"/>
        <v>223.44131128720019</v>
      </c>
      <c r="BI39" s="62">
        <f ca="1">AVERAGE(OFFSET($BH$3,0,0,'Données projet'!$E$11+1,1))-AVERAGE(OFFSET($H$3,0,0,'Données projet'!$E$11+1,1))</f>
        <v>197.85998851681552</v>
      </c>
      <c r="BJ39" s="62">
        <f t="shared" si="38"/>
        <v>474.54844785896239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47.346549307855575</v>
      </c>
      <c r="BQ39" s="23">
        <f>EXP(-LN(2)/25)*BQ38+(1-EXP(-LN(2)/25))/(LN(2)/25)*Calculateur!BL39*Calculateur!BN39*VLOOKUP('Données projet'!$B$11,Paramètres!$A$1:$I$89,3,0)*0.475*44/12</f>
        <v>37.213452845623841</v>
      </c>
      <c r="BR39" s="23">
        <f>EXP(-LN(2)/2)*BR38+(1-EXP(-LN(2)/2))/(LN(2)/2)*BL39*BO39*VLOOKUP('Données projet'!$B$11,Paramètres!$A$1:$I$89,3,0)*0.475*44/12</f>
        <v>5.4459230996135535</v>
      </c>
      <c r="BS39" s="24">
        <f t="shared" si="9"/>
        <v>90.005925253092968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>
        <f>BY39*VLOOKUP('Données projet'!$B$12,Paramètres!$A$1:$I$89,3,0)*VLOOKUP('Données projet'!$B$12,Paramètres!$A$1:$I$89,5,0)</f>
        <v>0</v>
      </c>
      <c r="CA39" s="14" t="e">
        <f t="shared" si="39"/>
        <v>#NUM!</v>
      </c>
      <c r="CB39" s="22" t="e">
        <f t="shared" si="10"/>
        <v>#NUM!</v>
      </c>
      <c r="CC39" s="62" t="e">
        <f t="shared" si="11"/>
        <v>#NUM!</v>
      </c>
      <c r="CD39" s="62">
        <f ca="1">AVERAGE(OFFSET($CC$3,0,0,'Données projet'!$E$12+1,1))-AVERAGE(OFFSET($H$3,0,0,'Données projet'!$E$12+1,1))</f>
        <v>72.97248599808384</v>
      </c>
      <c r="CE39" s="62">
        <f t="shared" si="40"/>
        <v>346.88163654003574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51.60735874333232</v>
      </c>
      <c r="CL39" s="23">
        <f>EXP(-LN(2)/25)*CL38+(1-EXP(-LN(2)/25))/(LN(2)/25)*Calculateur!CG39*Calculateur!CI39*VLOOKUP('Données projet'!$B$12,Paramètres!$A$1:$I$89,3,0)*0.475*44/12</f>
        <v>11.055331500928842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62.662690244261164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>
        <f>CT39*VLOOKUP('Données projet'!$B$13,Paramètres!$A$1:$I$89,3,0)*VLOOKUP('Données projet'!$B$13,Paramètres!$A$1:$I$89,5,0)</f>
        <v>0</v>
      </c>
      <c r="CV39" s="14" t="e">
        <f t="shared" si="41"/>
        <v>#NUM!</v>
      </c>
      <c r="CW39" s="22" t="e">
        <f t="shared" si="13"/>
        <v>#NUM!</v>
      </c>
      <c r="CX39" s="62" t="e">
        <f t="shared" si="14"/>
        <v>#NUM!</v>
      </c>
      <c r="CY39" s="62">
        <f ca="1">AVERAGE(OFFSET($CX$3,0,0,'Données projet'!$E$13+1,1))-AVERAGE(OFFSET($H$3,0,0,'Données projet'!$E$13+1,1))</f>
        <v>67.303283896086128</v>
      </c>
      <c r="CZ39" s="62">
        <f t="shared" si="42"/>
        <v>318.97925671653547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46.863506825421553</v>
      </c>
      <c r="DG39" s="23">
        <f>EXP(-LN(2)/25)*DG38+(1-EXP(-LN(2)/25))/(LN(2)/25)*Calculateur!DB39*Calculateur!DD39*VLOOKUP('Données projet'!$B$13,Paramètres!$A$1:$I$89,3,0)*0.475*44/12</f>
        <v>10.039103257110868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56.902610082532419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>
        <f>DO39*VLOOKUP('Données projet'!$B$14,Paramètres!$A$1:$I$89,3,0)*VLOOKUP('Données projet'!$B$14,Paramètres!$A$1:$I$89,5,0)</f>
        <v>0</v>
      </c>
      <c r="DQ39" s="14" t="e">
        <f t="shared" si="43"/>
        <v>#NUM!</v>
      </c>
      <c r="DR39" s="22" t="e">
        <f t="shared" si="16"/>
        <v>#NUM!</v>
      </c>
      <c r="DS39" s="62" t="e">
        <f t="shared" si="17"/>
        <v>#NUM!</v>
      </c>
      <c r="DT39" s="62">
        <f ca="1">AVERAGE(OFFSET($DS$3,0,0,'Données projet'!$E$14+1,1))-AVERAGE(OFFSET($H$3,0,0,'Données projet'!$E$14+1,1))</f>
        <v>75.244137291704476</v>
      </c>
      <c r="DU39" s="62">
        <f t="shared" si="44"/>
        <v>366.065475656937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54.874474389276365</v>
      </c>
      <c r="EB39" s="23">
        <f>EXP(-LN(2)/25)*EB38+(1-EXP(-LN(2)/25))/(LN(2)/25)*Calculateur!DW39*Calculateur!DY39*VLOOKUP('Données projet'!$B$14,Paramètres!$A$1:$I$89,3,0)*0.475*44/12</f>
        <v>11.75521321154728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66.629687600823644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8.4</v>
      </c>
      <c r="EJ39" s="13">
        <f>IF('Données projet'!$A$192&gt;35,EJ38+EI39-ER38,IF(A39&lt;'Données projet'!$A$192,$EG$205^A39,IF(A39='Données projet'!$A$192,'Données projet'!$B$192,EJ38+EI39-ER38)))</f>
        <v>103.39999999999999</v>
      </c>
      <c r="EK39" s="18">
        <f>EJ39*VLOOKUP('Données projet'!$B$15,Paramètres!$A$1:$I$89,3,0)*VLOOKUP('Données projet'!$B$15,Paramètres!$A$1:$I$89,5,0)</f>
        <v>100.00847999999999</v>
      </c>
      <c r="EL39" s="14">
        <f t="shared" si="45"/>
        <v>26.964017781444337</v>
      </c>
      <c r="EM39" s="22">
        <f t="shared" si="19"/>
        <v>221.14376696934883</v>
      </c>
      <c r="EN39" s="62">
        <f t="shared" si="20"/>
        <v>444.58507825654704</v>
      </c>
      <c r="EO39" s="62">
        <f ca="1">AVERAGE(OFFSET($EN$3,0,0,'Données projet'!$E$15+1,1))-AVERAGE(OFFSET($H$3,0,0,'Données projet'!$E$15+1,1))</f>
        <v>452.74627739105745</v>
      </c>
      <c r="EP39" s="62">
        <f t="shared" si="46"/>
        <v>281.80695725575106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8.4</v>
      </c>
      <c r="FE39" s="13">
        <f>IF('Données projet'!$A$218&gt;35,FE38+FD39-FM38,IF(A39&lt;'Données projet'!$A$218,$FB$205^A39,IF(A39='Données projet'!$A$218,'Données projet'!$B$218,FE38+FD39-FM38)))</f>
        <v>103.39999999999999</v>
      </c>
      <c r="FF39" s="18">
        <f>FE39*VLOOKUP('Données projet'!$B$16,Paramètres!$A$1:$I$89,3,0)*VLOOKUP('Données projet'!$B$16,Paramètres!$A$1:$I$89,5,0)</f>
        <v>111.29975999999999</v>
      </c>
      <c r="FG39" s="14">
        <f t="shared" si="47"/>
        <v>29.637008492427388</v>
      </c>
      <c r="FH39" s="22">
        <f t="shared" si="22"/>
        <v>245.46487179097767</v>
      </c>
      <c r="FI39" s="62">
        <f t="shared" si="23"/>
        <v>468.9061830781759</v>
      </c>
      <c r="FJ39" s="62">
        <f ca="1">AVERAGE(OFFSET($FI$3,0,0,'Données projet'!$E$16+1,1))-AVERAGE(OFFSET($H$3,0,0,'Données projet'!$E$16+1,1))</f>
        <v>492.72391755143508</v>
      </c>
      <c r="FK39" s="62">
        <f t="shared" si="48"/>
        <v>304.88554179994355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50.938539441963144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143.77000000000001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6.2</v>
      </c>
      <c r="N40" s="14">
        <f>IF('Données projet'!$A$36&gt;35,N39+M40-V39,IF(A40&lt;'Données projet'!$A$36,$K$205^A40,IF(A40='Données projet'!$A$36,'Données projet'!$B$36,N39+M40-V39)))</f>
        <v>270.39999999999998</v>
      </c>
      <c r="O40" s="14">
        <f>N40*VLOOKUP('Données projet'!$B$9,Paramètres!$A$1:$I$89,3,0)*VLOOKUP('Données projet'!$B$9,Paramètres!$A$1:$I$89,5,0)</f>
        <v>244.65791999999996</v>
      </c>
      <c r="P40" s="14">
        <f t="shared" si="33"/>
        <v>59.44058075210868</v>
      </c>
      <c r="Q40" s="22">
        <f t="shared" si="53"/>
        <v>529.6382221432558</v>
      </c>
      <c r="R40" s="62">
        <f t="shared" si="0"/>
        <v>754.29200375780192</v>
      </c>
      <c r="S40" s="62">
        <f ca="1">AVERAGE(OFFSET($R$3,0,0,'Données projet'!$E$9+1,1))-AVERAGE(OFFSET($H$3,0,0,'Données projet'!$E$9+1,1))</f>
        <v>388.8309693898596</v>
      </c>
      <c r="T40" s="62">
        <f t="shared" si="34"/>
        <v>549.06702041234382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9.2146436701928369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9.2146436701928369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>
        <f>AI40*VLOOKUP('Données projet'!$B$10,Paramètres!$A$1:$I$89,3,0)*VLOOKUP('Données projet'!$B$10,Paramètres!$A$1:$I$89,5,0)</f>
        <v>6.7984728957526396E-14</v>
      </c>
      <c r="AK40" s="14">
        <f t="shared" si="35"/>
        <v>1.0682447123141398E-12</v>
      </c>
      <c r="AL40" s="22">
        <f t="shared" si="4"/>
        <v>1.978932943548152E-12</v>
      </c>
      <c r="AM40" s="62">
        <f t="shared" si="5"/>
        <v>224.65378161454808</v>
      </c>
      <c r="AN40" s="62">
        <f ca="1">AVERAGE(OFFSET($AM$3,0,0,'Données projet'!$E$10+1,1))-AVERAGE(OFFSET($H$3,0,0,'Données projet'!$E$10+1,1))</f>
        <v>197.85998851681552</v>
      </c>
      <c r="AO40" s="62">
        <f t="shared" si="36"/>
        <v>474.54844785896239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46.418112354472086</v>
      </c>
      <c r="AV40" s="23">
        <f>EXP(-LN(2)/25)*AV39+(1-EXP(-LN(2)/25))/(LN(2)/25)*Calculateur!AQ40*Calculateur!AS40*VLOOKUP('Données projet'!$B$10,Paramètres!$A$1:$I$89,3,0)*0.475*44/12</f>
        <v>36.195849020589826</v>
      </c>
      <c r="AW40" s="23">
        <f>EXP(-LN(2)/2)*AW39+(1-EXP(-LN(2)/2))/(LN(2)/2)*AQ40*AT40*VLOOKUP('Données projet'!$B$10,Paramètres!$A$1:$I$89,3,0)*0.475*44/12</f>
        <v>3.8508491535572058</v>
      </c>
      <c r="AX40" s="23">
        <f t="shared" si="6"/>
        <v>86.464810528619111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1.1368683772161603E-13</v>
      </c>
      <c r="BE40" s="14">
        <f>BD40*VLOOKUP('Données projet'!$B$11,Paramètres!$A$1:$I$89,3,0)*VLOOKUP('Données projet'!$B$11,Paramètres!$A$1:$I$89,5,0)</f>
        <v>6.7984728957526396E-14</v>
      </c>
      <c r="BF40" s="14">
        <f t="shared" si="37"/>
        <v>1.0682447123141398E-12</v>
      </c>
      <c r="BG40" s="22">
        <f t="shared" si="7"/>
        <v>1.978932943548152E-12</v>
      </c>
      <c r="BH40" s="62">
        <f t="shared" si="8"/>
        <v>224.65378161454808</v>
      </c>
      <c r="BI40" s="62">
        <f ca="1">AVERAGE(OFFSET($BH$3,0,0,'Données projet'!$E$11+1,1))-AVERAGE(OFFSET($H$3,0,0,'Données projet'!$E$11+1,1))</f>
        <v>197.85998851681552</v>
      </c>
      <c r="BJ40" s="62">
        <f t="shared" si="38"/>
        <v>474.54844785896239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46.418112354472086</v>
      </c>
      <c r="BQ40" s="23">
        <f>EXP(-LN(2)/25)*BQ39+(1-EXP(-LN(2)/25))/(LN(2)/25)*Calculateur!BL40*Calculateur!BN40*VLOOKUP('Données projet'!$B$11,Paramètres!$A$1:$I$89,3,0)*0.475*44/12</f>
        <v>36.195849020589826</v>
      </c>
      <c r="BR40" s="23">
        <f>EXP(-LN(2)/2)*BR39+(1-EXP(-LN(2)/2))/(LN(2)/2)*BL40*BO40*VLOOKUP('Données projet'!$B$11,Paramètres!$A$1:$I$89,3,0)*0.475*44/12</f>
        <v>3.8508491535572058</v>
      </c>
      <c r="BS40" s="24">
        <f t="shared" si="9"/>
        <v>86.464810528619111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>
        <f>BY40*VLOOKUP('Données projet'!$B$12,Paramètres!$A$1:$I$89,3,0)*VLOOKUP('Données projet'!$B$12,Paramètres!$A$1:$I$89,5,0)</f>
        <v>0</v>
      </c>
      <c r="CA40" s="14" t="e">
        <f t="shared" si="39"/>
        <v>#NUM!</v>
      </c>
      <c r="CB40" s="22" t="e">
        <f t="shared" si="10"/>
        <v>#NUM!</v>
      </c>
      <c r="CC40" s="62" t="e">
        <f t="shared" si="11"/>
        <v>#NUM!</v>
      </c>
      <c r="CD40" s="62">
        <f ca="1">AVERAGE(OFFSET($CC$3,0,0,'Données projet'!$E$12+1,1))-AVERAGE(OFFSET($H$3,0,0,'Données projet'!$E$12+1,1))</f>
        <v>72.97248599808384</v>
      </c>
      <c r="CE40" s="62">
        <f t="shared" si="40"/>
        <v>346.88163654003574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50.595369915756272</v>
      </c>
      <c r="CL40" s="23">
        <f>EXP(-LN(2)/25)*CL39+(1-EXP(-LN(2)/25))/(LN(2)/25)*Calculateur!CG40*Calculateur!CI40*VLOOKUP('Données projet'!$B$12,Paramètres!$A$1:$I$89,3,0)*0.475*44/12</f>
        <v>10.753022879661327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61.348392795417595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>
        <f>CT40*VLOOKUP('Données projet'!$B$13,Paramètres!$A$1:$I$89,3,0)*VLOOKUP('Données projet'!$B$13,Paramètres!$A$1:$I$89,5,0)</f>
        <v>0</v>
      </c>
      <c r="CV40" s="14" t="e">
        <f t="shared" si="41"/>
        <v>#NUM!</v>
      </c>
      <c r="CW40" s="22" t="e">
        <f t="shared" si="13"/>
        <v>#NUM!</v>
      </c>
      <c r="CX40" s="62" t="e">
        <f t="shared" si="14"/>
        <v>#NUM!</v>
      </c>
      <c r="CY40" s="62">
        <f ca="1">AVERAGE(OFFSET($CX$3,0,0,'Données projet'!$E$13+1,1))-AVERAGE(OFFSET($H$3,0,0,'Données projet'!$E$13+1,1))</f>
        <v>67.303283896086128</v>
      </c>
      <c r="CZ40" s="62">
        <f t="shared" si="42"/>
        <v>318.97925671653547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45.944542040491775</v>
      </c>
      <c r="DG40" s="23">
        <f>EXP(-LN(2)/25)*DG39+(1-EXP(-LN(2)/25))/(LN(2)/25)*Calculateur!DB40*Calculateur!DD40*VLOOKUP('Données projet'!$B$13,Paramètres!$A$1:$I$89,3,0)*0.475*44/12</f>
        <v>9.764583450611676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55.70912549110345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>
        <f>DO40*VLOOKUP('Données projet'!$B$14,Paramètres!$A$1:$I$89,3,0)*VLOOKUP('Données projet'!$B$14,Paramètres!$A$1:$I$89,5,0)</f>
        <v>0</v>
      </c>
      <c r="DQ40" s="14" t="e">
        <f t="shared" si="43"/>
        <v>#NUM!</v>
      </c>
      <c r="DR40" s="22" t="e">
        <f t="shared" si="16"/>
        <v>#NUM!</v>
      </c>
      <c r="DS40" s="62" t="e">
        <f t="shared" si="17"/>
        <v>#NUM!</v>
      </c>
      <c r="DT40" s="62">
        <f ca="1">AVERAGE(OFFSET($DS$3,0,0,'Données projet'!$E$14+1,1))-AVERAGE(OFFSET($H$3,0,0,'Données projet'!$E$14+1,1))</f>
        <v>75.244137291704476</v>
      </c>
      <c r="DU40" s="62">
        <f t="shared" si="44"/>
        <v>366.065475656937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53.798419416627134</v>
      </c>
      <c r="EB40" s="23">
        <f>EXP(-LN(2)/25)*EB39+(1-EXP(-LN(2)/25))/(LN(2)/25)*Calculateur!DW40*Calculateur!DY40*VLOOKUP('Données projet'!$B$14,Paramètres!$A$1:$I$89,3,0)*0.475*44/12</f>
        <v>11.433766288097724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65.232185704724856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8.4</v>
      </c>
      <c r="EJ40" s="13">
        <f>IF('Données projet'!$A$192&gt;35,EJ39+EI40-ER39,IF(A40&lt;'Données projet'!$A$192,$EG$205^A40,IF(A40='Données projet'!$A$192,'Données projet'!$B$192,EJ39+EI40-ER39)))</f>
        <v>111.8</v>
      </c>
      <c r="EK40" s="18">
        <f>EJ40*VLOOKUP('Données projet'!$B$15,Paramètres!$A$1:$I$89,3,0)*VLOOKUP('Données projet'!$B$15,Paramètres!$A$1:$I$89,5,0)</f>
        <v>108.13296000000001</v>
      </c>
      <c r="EL40" s="14">
        <f t="shared" si="45"/>
        <v>28.890658079177882</v>
      </c>
      <c r="EM40" s="22">
        <f t="shared" si="19"/>
        <v>238.64946815456815</v>
      </c>
      <c r="EN40" s="62">
        <f t="shared" si="20"/>
        <v>463.30324976911425</v>
      </c>
      <c r="EO40" s="62">
        <f ca="1">AVERAGE(OFFSET($EN$3,0,0,'Données projet'!$E$15+1,1))-AVERAGE(OFFSET($H$3,0,0,'Données projet'!$E$15+1,1))</f>
        <v>452.74627739105745</v>
      </c>
      <c r="EP40" s="62">
        <f t="shared" si="46"/>
        <v>281.80695725575106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8.4</v>
      </c>
      <c r="FE40" s="13">
        <f>IF('Données projet'!$A$218&gt;35,FE39+FD40-FM39,IF(A40&lt;'Données projet'!$A$218,$FB$205^A40,IF(A40='Données projet'!$A$218,'Données projet'!$B$218,FE39+FD40-FM39)))</f>
        <v>111.8</v>
      </c>
      <c r="FF40" s="18">
        <f>FE40*VLOOKUP('Données projet'!$B$16,Paramètres!$A$1:$I$89,3,0)*VLOOKUP('Données projet'!$B$16,Paramètres!$A$1:$I$89,5,0)</f>
        <v>120.34152</v>
      </c>
      <c r="FG40" s="14">
        <f t="shared" si="47"/>
        <v>31.754640046026051</v>
      </c>
      <c r="FH40" s="22">
        <f t="shared" si="22"/>
        <v>264.90081208016204</v>
      </c>
      <c r="FI40" s="62">
        <f t="shared" si="23"/>
        <v>489.55459369470816</v>
      </c>
      <c r="FJ40" s="62">
        <f ca="1">AVERAGE(OFFSET($FI$3,0,0,'Données projet'!$E$16+1,1))-AVERAGE(OFFSET($H$3,0,0,'Données projet'!$E$16+1,1))</f>
        <v>492.72391755143508</v>
      </c>
      <c r="FK40" s="62">
        <f t="shared" si="48"/>
        <v>304.88554179994355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51.269213167603475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143.77000000000001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6.2</v>
      </c>
      <c r="N41" s="14">
        <f>IF('Données projet'!$A$36&gt;35,N40+M41-V40,IF(A41&lt;'Données projet'!$A$36,$K$205^A41,IF(A41='Données projet'!$A$36,'Données projet'!$B$36,N40+M41-V40)))</f>
        <v>276.59999999999997</v>
      </c>
      <c r="O41" s="14">
        <f>N41*VLOOKUP('Données projet'!$B$9,Paramètres!$A$1:$I$89,3,0)*VLOOKUP('Données projet'!$B$9,Paramètres!$A$1:$I$89,5,0)</f>
        <v>250.26767999999996</v>
      </c>
      <c r="P41" s="14">
        <f t="shared" si="33"/>
        <v>60.643256925083442</v>
      </c>
      <c r="Q41" s="22">
        <f t="shared" si="53"/>
        <v>541.50321514452014</v>
      </c>
      <c r="R41" s="62">
        <f t="shared" si="0"/>
        <v>767.34843343691216</v>
      </c>
      <c r="S41" s="62">
        <f ca="1">AVERAGE(OFFSET($R$3,0,0,'Données projet'!$E$9+1,1))-AVERAGE(OFFSET($H$3,0,0,'Données projet'!$E$9+1,1))</f>
        <v>388.8309693898596</v>
      </c>
      <c r="T41" s="62">
        <f t="shared" si="34"/>
        <v>549.06702041234382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9.0339501281980272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9.0339501281980272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>
        <f>AI41*VLOOKUP('Données projet'!$B$10,Paramètres!$A$1:$I$89,3,0)*VLOOKUP('Données projet'!$B$10,Paramètres!$A$1:$I$89,5,0)</f>
        <v>6.7984728957526396E-14</v>
      </c>
      <c r="AK41" s="14">
        <f t="shared" si="35"/>
        <v>1.0682447123141398E-12</v>
      </c>
      <c r="AL41" s="22">
        <f t="shared" si="4"/>
        <v>1.978932943548152E-12</v>
      </c>
      <c r="AM41" s="62">
        <f t="shared" si="5"/>
        <v>225.84521829239401</v>
      </c>
      <c r="AN41" s="62">
        <f ca="1">AVERAGE(OFFSET($AM$3,0,0,'Données projet'!$E$10+1,1))-AVERAGE(OFFSET($H$3,0,0,'Données projet'!$E$10+1,1))</f>
        <v>197.85998851681552</v>
      </c>
      <c r="AO41" s="62">
        <f t="shared" si="36"/>
        <v>474.54844785896239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45.507881483453822</v>
      </c>
      <c r="AV41" s="23">
        <f>EXP(-LN(2)/25)*AV40+(1-EXP(-LN(2)/25))/(LN(2)/25)*Calculateur!AQ41*Calculateur!AS41*VLOOKUP('Données projet'!$B$10,Paramètres!$A$1:$I$89,3,0)*0.475*44/12</f>
        <v>35.206071625664826</v>
      </c>
      <c r="AW41" s="23">
        <f>EXP(-LN(2)/2)*AW40+(1-EXP(-LN(2)/2))/(LN(2)/2)*AQ41*AT41*VLOOKUP('Données projet'!$B$10,Paramètres!$A$1:$I$89,3,0)*0.475*44/12</f>
        <v>2.7229615498067772</v>
      </c>
      <c r="AX41" s="23">
        <f t="shared" si="6"/>
        <v>83.436914658925431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1.1368683772161603E-13</v>
      </c>
      <c r="BE41" s="14">
        <f>BD41*VLOOKUP('Données projet'!$B$11,Paramètres!$A$1:$I$89,3,0)*VLOOKUP('Données projet'!$B$11,Paramètres!$A$1:$I$89,5,0)</f>
        <v>6.7984728957526396E-14</v>
      </c>
      <c r="BF41" s="14">
        <f t="shared" si="37"/>
        <v>1.0682447123141398E-12</v>
      </c>
      <c r="BG41" s="22">
        <f t="shared" si="7"/>
        <v>1.978932943548152E-12</v>
      </c>
      <c r="BH41" s="62">
        <f t="shared" si="8"/>
        <v>225.84521829239401</v>
      </c>
      <c r="BI41" s="62">
        <f ca="1">AVERAGE(OFFSET($BH$3,0,0,'Données projet'!$E$11+1,1))-AVERAGE(OFFSET($H$3,0,0,'Données projet'!$E$11+1,1))</f>
        <v>197.85998851681552</v>
      </c>
      <c r="BJ41" s="62">
        <f t="shared" si="38"/>
        <v>474.54844785896239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45.507881483453822</v>
      </c>
      <c r="BQ41" s="23">
        <f>EXP(-LN(2)/25)*BQ40+(1-EXP(-LN(2)/25))/(LN(2)/25)*Calculateur!BL41*Calculateur!BN41*VLOOKUP('Données projet'!$B$11,Paramètres!$A$1:$I$89,3,0)*0.475*44/12</f>
        <v>35.206071625664826</v>
      </c>
      <c r="BR41" s="23">
        <f>EXP(-LN(2)/2)*BR40+(1-EXP(-LN(2)/2))/(LN(2)/2)*BL41*BO41*VLOOKUP('Données projet'!$B$11,Paramètres!$A$1:$I$89,3,0)*0.475*44/12</f>
        <v>2.7229615498067772</v>
      </c>
      <c r="BS41" s="24">
        <f t="shared" si="9"/>
        <v>83.436914658925431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>
        <f>BY41*VLOOKUP('Données projet'!$B$12,Paramètres!$A$1:$I$89,3,0)*VLOOKUP('Données projet'!$B$12,Paramètres!$A$1:$I$89,5,0)</f>
        <v>0</v>
      </c>
      <c r="CA41" s="14" t="e">
        <f t="shared" si="39"/>
        <v>#NUM!</v>
      </c>
      <c r="CB41" s="22" t="e">
        <f t="shared" si="10"/>
        <v>#NUM!</v>
      </c>
      <c r="CC41" s="62" t="e">
        <f t="shared" si="11"/>
        <v>#NUM!</v>
      </c>
      <c r="CD41" s="62">
        <f ca="1">AVERAGE(OFFSET($CC$3,0,0,'Données projet'!$E$12+1,1))-AVERAGE(OFFSET($H$3,0,0,'Données projet'!$E$12+1,1))</f>
        <v>72.97248599808384</v>
      </c>
      <c r="CE41" s="62">
        <f t="shared" si="40"/>
        <v>346.88163654003574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49.603225571836759</v>
      </c>
      <c r="CL41" s="23">
        <f>EXP(-LN(2)/25)*CL40+(1-EXP(-LN(2)/25))/(LN(2)/25)*Calculateur!CG41*Calculateur!CI41*VLOOKUP('Données projet'!$B$12,Paramètres!$A$1:$I$89,3,0)*0.475*44/12</f>
        <v>10.458980903540091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60.062206475376854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>
        <f>CT41*VLOOKUP('Données projet'!$B$13,Paramètres!$A$1:$I$89,3,0)*VLOOKUP('Données projet'!$B$13,Paramètres!$A$1:$I$89,5,0)</f>
        <v>0</v>
      </c>
      <c r="CV41" s="14" t="e">
        <f t="shared" si="41"/>
        <v>#NUM!</v>
      </c>
      <c r="CW41" s="22" t="e">
        <f t="shared" si="13"/>
        <v>#NUM!</v>
      </c>
      <c r="CX41" s="62" t="e">
        <f t="shared" si="14"/>
        <v>#NUM!</v>
      </c>
      <c r="CY41" s="62">
        <f ca="1">AVERAGE(OFFSET($CX$3,0,0,'Données projet'!$E$13+1,1))-AVERAGE(OFFSET($H$3,0,0,'Données projet'!$E$13+1,1))</f>
        <v>67.303283896086128</v>
      </c>
      <c r="CZ41" s="62">
        <f t="shared" si="42"/>
        <v>318.97925671653547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45.043597594481298</v>
      </c>
      <c r="DG41" s="23">
        <f>EXP(-LN(2)/25)*DG40+(1-EXP(-LN(2)/25))/(LN(2)/25)*Calculateur!DB41*Calculateur!DD41*VLOOKUP('Données projet'!$B$13,Paramètres!$A$1:$I$89,3,0)*0.475*44/12</f>
        <v>9.4975704026575727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54.541167997138871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>
        <f>DO41*VLOOKUP('Données projet'!$B$14,Paramètres!$A$1:$I$89,3,0)*VLOOKUP('Données projet'!$B$14,Paramètres!$A$1:$I$89,5,0)</f>
        <v>0</v>
      </c>
      <c r="DQ41" s="14" t="e">
        <f t="shared" si="43"/>
        <v>#NUM!</v>
      </c>
      <c r="DR41" s="22" t="e">
        <f t="shared" si="16"/>
        <v>#NUM!</v>
      </c>
      <c r="DS41" s="62" t="e">
        <f t="shared" si="17"/>
        <v>#NUM!</v>
      </c>
      <c r="DT41" s="62">
        <f ca="1">AVERAGE(OFFSET($DS$3,0,0,'Données projet'!$E$14+1,1))-AVERAGE(OFFSET($H$3,0,0,'Données projet'!$E$14+1,1))</f>
        <v>75.244137291704476</v>
      </c>
      <c r="DU41" s="62">
        <f t="shared" si="44"/>
        <v>366.065475656937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52.743465225662824</v>
      </c>
      <c r="EB41" s="23">
        <f>EXP(-LN(2)/25)*EB40+(1-EXP(-LN(2)/25))/(LN(2)/25)*Calculateur!DW41*Calculateur!DY41*VLOOKUP('Données projet'!$B$14,Paramètres!$A$1:$I$89,3,0)*0.475*44/12</f>
        <v>11.121109347674055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63.864574573336881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8.4</v>
      </c>
      <c r="EJ41" s="13">
        <f>IF('Données projet'!$A$192&gt;35,EJ40+EI41-ER40,IF(A41&lt;'Données projet'!$A$192,$EG$205^A41,IF(A41='Données projet'!$A$192,'Données projet'!$B$192,EJ40+EI41-ER40)))</f>
        <v>120.2</v>
      </c>
      <c r="EK41" s="18">
        <f>EJ41*VLOOKUP('Données projet'!$B$15,Paramètres!$A$1:$I$89,3,0)*VLOOKUP('Données projet'!$B$15,Paramètres!$A$1:$I$89,5,0)</f>
        <v>116.25744</v>
      </c>
      <c r="EL41" s="14">
        <f t="shared" si="45"/>
        <v>30.800505515381992</v>
      </c>
      <c r="EM41" s="22">
        <f t="shared" si="19"/>
        <v>256.1259217726236</v>
      </c>
      <c r="EN41" s="62">
        <f t="shared" si="20"/>
        <v>481.97114006501562</v>
      </c>
      <c r="EO41" s="62">
        <f ca="1">AVERAGE(OFFSET($EN$3,0,0,'Données projet'!$E$15+1,1))-AVERAGE(OFFSET($H$3,0,0,'Données projet'!$E$15+1,1))</f>
        <v>452.74627739105745</v>
      </c>
      <c r="EP41" s="62">
        <f t="shared" si="46"/>
        <v>281.80695725575106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8.4</v>
      </c>
      <c r="FE41" s="13">
        <f>IF('Données projet'!$A$218&gt;35,FE40+FD41-FM40,IF(A41&lt;'Données projet'!$A$218,$FB$205^A41,IF(A41='Données projet'!$A$218,'Données projet'!$B$218,FE40+FD41-FM40)))</f>
        <v>120.2</v>
      </c>
      <c r="FF41" s="18">
        <f>FE41*VLOOKUP('Données projet'!$B$16,Paramètres!$A$1:$I$89,3,0)*VLOOKUP('Données projet'!$B$16,Paramètres!$A$1:$I$89,5,0)</f>
        <v>129.38328000000001</v>
      </c>
      <c r="FG41" s="14">
        <f t="shared" si="47"/>
        <v>33.853814032069536</v>
      </c>
      <c r="FH41" s="22">
        <f t="shared" si="22"/>
        <v>284.30460543918775</v>
      </c>
      <c r="FI41" s="62">
        <f t="shared" si="23"/>
        <v>510.14982373157977</v>
      </c>
      <c r="FJ41" s="62">
        <f ca="1">AVERAGE(OFFSET($FI$3,0,0,'Données projet'!$E$16+1,1))-AVERAGE(OFFSET($H$3,0,0,'Données projet'!$E$16+1,1))</f>
        <v>492.72391755143508</v>
      </c>
      <c r="FK41" s="62">
        <f t="shared" si="48"/>
        <v>304.88554179994355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51.59415044337964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143.77000000000001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6.2</v>
      </c>
      <c r="N42" s="14">
        <f>IF('Données projet'!$A$36&gt;35,N41+M42-V41,IF(A42&lt;'Données projet'!$A$36,$K$205^A42,IF(A42='Données projet'!$A$36,'Données projet'!$B$36,N41+M42-V41)))</f>
        <v>282.79999999999995</v>
      </c>
      <c r="O42" s="14">
        <f>N42*VLOOKUP('Données projet'!$B$9,Paramètres!$A$1:$I$89,3,0)*VLOOKUP('Données projet'!$B$9,Paramètres!$A$1:$I$89,5,0)</f>
        <v>255.87743999999998</v>
      </c>
      <c r="P42" s="14">
        <f t="shared" si="33"/>
        <v>61.842798995505326</v>
      </c>
      <c r="Q42" s="22">
        <f t="shared" si="53"/>
        <v>553.36274958383854</v>
      </c>
      <c r="R42" s="62">
        <f t="shared" si="0"/>
        <v>780.37873579136919</v>
      </c>
      <c r="S42" s="62">
        <f ca="1">AVERAGE(OFFSET($R$3,0,0,'Données projet'!$E$9+1,1))-AVERAGE(OFFSET($H$3,0,0,'Données projet'!$E$9+1,1))</f>
        <v>388.8309693898596</v>
      </c>
      <c r="T42" s="62">
        <f t="shared" si="34"/>
        <v>549.06702041234382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8.8567998763495588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8.8567998763495588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>
        <f>AI42*VLOOKUP('Données projet'!$B$10,Paramètres!$A$1:$I$89,3,0)*VLOOKUP('Données projet'!$B$10,Paramètres!$A$1:$I$89,5,0)</f>
        <v>6.7984728957526396E-14</v>
      </c>
      <c r="AK42" s="14">
        <f t="shared" si="35"/>
        <v>1.0682447123141398E-12</v>
      </c>
      <c r="AL42" s="22">
        <f t="shared" si="4"/>
        <v>1.978932943548152E-12</v>
      </c>
      <c r="AM42" s="62">
        <f t="shared" si="5"/>
        <v>227.01598620753268</v>
      </c>
      <c r="AN42" s="62">
        <f ca="1">AVERAGE(OFFSET($AM$3,0,0,'Données projet'!$E$10+1,1))-AVERAGE(OFFSET($H$3,0,0,'Données projet'!$E$10+1,1))</f>
        <v>197.85998851681552</v>
      </c>
      <c r="AO42" s="62">
        <f t="shared" si="36"/>
        <v>474.54844785896239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44.615499684630215</v>
      </c>
      <c r="AV42" s="23">
        <f>EXP(-LN(2)/25)*AV41+(1-EXP(-LN(2)/25))/(LN(2)/25)*Calculateur!AQ42*Calculateur!AS42*VLOOKUP('Données projet'!$B$10,Paramètres!$A$1:$I$89,3,0)*0.475*44/12</f>
        <v>34.243359745654182</v>
      </c>
      <c r="AW42" s="23">
        <f>EXP(-LN(2)/2)*AW41+(1-EXP(-LN(2)/2))/(LN(2)/2)*AQ42*AT42*VLOOKUP('Données projet'!$B$10,Paramètres!$A$1:$I$89,3,0)*0.475*44/12</f>
        <v>1.9254245767786033</v>
      </c>
      <c r="AX42" s="23">
        <f t="shared" si="6"/>
        <v>80.784284007063007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1.1368683772161603E-13</v>
      </c>
      <c r="BE42" s="14">
        <f>BD42*VLOOKUP('Données projet'!$B$11,Paramètres!$A$1:$I$89,3,0)*VLOOKUP('Données projet'!$B$11,Paramètres!$A$1:$I$89,5,0)</f>
        <v>6.7984728957526396E-14</v>
      </c>
      <c r="BF42" s="14">
        <f t="shared" si="37"/>
        <v>1.0682447123141398E-12</v>
      </c>
      <c r="BG42" s="22">
        <f t="shared" si="7"/>
        <v>1.978932943548152E-12</v>
      </c>
      <c r="BH42" s="62">
        <f t="shared" si="8"/>
        <v>227.01598620753268</v>
      </c>
      <c r="BI42" s="62">
        <f ca="1">AVERAGE(OFFSET($BH$3,0,0,'Données projet'!$E$11+1,1))-AVERAGE(OFFSET($H$3,0,0,'Données projet'!$E$11+1,1))</f>
        <v>197.85998851681552</v>
      </c>
      <c r="BJ42" s="62">
        <f t="shared" si="38"/>
        <v>474.54844785896239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44.615499684630215</v>
      </c>
      <c r="BQ42" s="23">
        <f>EXP(-LN(2)/25)*BQ41+(1-EXP(-LN(2)/25))/(LN(2)/25)*Calculateur!BL42*Calculateur!BN42*VLOOKUP('Données projet'!$B$11,Paramètres!$A$1:$I$89,3,0)*0.475*44/12</f>
        <v>34.243359745654182</v>
      </c>
      <c r="BR42" s="23">
        <f>EXP(-LN(2)/2)*BR41+(1-EXP(-LN(2)/2))/(LN(2)/2)*BL42*BO42*VLOOKUP('Données projet'!$B$11,Paramètres!$A$1:$I$89,3,0)*0.475*44/12</f>
        <v>1.9254245767786033</v>
      </c>
      <c r="BS42" s="24">
        <f t="shared" si="9"/>
        <v>80.784284007063007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>
        <f>BY42*VLOOKUP('Données projet'!$B$12,Paramètres!$A$1:$I$89,3,0)*VLOOKUP('Données projet'!$B$12,Paramètres!$A$1:$I$89,5,0)</f>
        <v>0</v>
      </c>
      <c r="CA42" s="14" t="e">
        <f t="shared" si="39"/>
        <v>#NUM!</v>
      </c>
      <c r="CB42" s="22" t="e">
        <f t="shared" si="10"/>
        <v>#NUM!</v>
      </c>
      <c r="CC42" s="62" t="e">
        <f t="shared" si="11"/>
        <v>#NUM!</v>
      </c>
      <c r="CD42" s="62">
        <f ca="1">AVERAGE(OFFSET($CC$3,0,0,'Données projet'!$E$12+1,1))-AVERAGE(OFFSET($H$3,0,0,'Données projet'!$E$12+1,1))</f>
        <v>72.97248599808384</v>
      </c>
      <c r="CE42" s="62">
        <f t="shared" si="40"/>
        <v>346.88163654003574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48.630536573353211</v>
      </c>
      <c r="CL42" s="23">
        <f>EXP(-LN(2)/25)*CL41+(1-EXP(-LN(2)/25))/(LN(2)/25)*Calculateur!CG42*Calculateur!CI42*VLOOKUP('Données projet'!$B$12,Paramètres!$A$1:$I$89,3,0)*0.475*44/12</f>
        <v>10.172979520718886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58.803516094072094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>
        <f>CT42*VLOOKUP('Données projet'!$B$13,Paramètres!$A$1:$I$89,3,0)*VLOOKUP('Données projet'!$B$13,Paramètres!$A$1:$I$89,5,0)</f>
        <v>0</v>
      </c>
      <c r="CV42" s="14" t="e">
        <f t="shared" si="41"/>
        <v>#NUM!</v>
      </c>
      <c r="CW42" s="22" t="e">
        <f t="shared" si="13"/>
        <v>#NUM!</v>
      </c>
      <c r="CX42" s="62" t="e">
        <f t="shared" si="14"/>
        <v>#NUM!</v>
      </c>
      <c r="CY42" s="62">
        <f ca="1">AVERAGE(OFFSET($CX$3,0,0,'Données projet'!$E$13+1,1))-AVERAGE(OFFSET($H$3,0,0,'Données projet'!$E$13+1,1))</f>
        <v>67.303283896086128</v>
      </c>
      <c r="CZ42" s="62">
        <f t="shared" si="42"/>
        <v>318.97925671653547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44.160320119535236</v>
      </c>
      <c r="DG42" s="23">
        <f>EXP(-LN(2)/25)*DG41+(1-EXP(-LN(2)/25))/(LN(2)/25)*Calculateur!DB42*Calculateur!DD42*VLOOKUP('Données projet'!$B$13,Paramètres!$A$1:$I$89,3,0)*0.475*44/12</f>
        <v>9.2378588405413815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53.398178960076621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>
        <f>DO42*VLOOKUP('Données projet'!$B$14,Paramètres!$A$1:$I$89,3,0)*VLOOKUP('Données projet'!$B$14,Paramètres!$A$1:$I$89,5,0)</f>
        <v>0</v>
      </c>
      <c r="DQ42" s="14" t="e">
        <f t="shared" si="43"/>
        <v>#NUM!</v>
      </c>
      <c r="DR42" s="22" t="e">
        <f t="shared" si="16"/>
        <v>#NUM!</v>
      </c>
      <c r="DS42" s="62" t="e">
        <f t="shared" si="17"/>
        <v>#NUM!</v>
      </c>
      <c r="DT42" s="62">
        <f ca="1">AVERAGE(OFFSET($DS$3,0,0,'Données projet'!$E$14+1,1))-AVERAGE(OFFSET($H$3,0,0,'Données projet'!$E$14+1,1))</f>
        <v>75.244137291704476</v>
      </c>
      <c r="DU42" s="62">
        <f t="shared" si="44"/>
        <v>366.065475656937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51.709198042924804</v>
      </c>
      <c r="EB42" s="23">
        <f>EXP(-LN(2)/25)*EB41+(1-EXP(-LN(2)/25))/(LN(2)/25)*Calculateur!DW42*Calculateur!DY42*VLOOKUP('Données projet'!$B$14,Paramètres!$A$1:$I$89,3,0)*0.475*44/12</f>
        <v>10.817002027728185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62.52620007065299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8.4</v>
      </c>
      <c r="EJ42" s="13">
        <f>IF('Données projet'!$A$192&gt;35,EJ41+EI42-ER41,IF(A42&lt;'Données projet'!$A$192,$EG$205^A42,IF(A42='Données projet'!$A$192,'Données projet'!$B$192,EJ41+EI42-ER41)))</f>
        <v>128.6</v>
      </c>
      <c r="EK42" s="18">
        <f>EJ42*VLOOKUP('Données projet'!$B$15,Paramètres!$A$1:$I$89,3,0)*VLOOKUP('Données projet'!$B$15,Paramètres!$A$1:$I$89,5,0)</f>
        <v>124.38192000000001</v>
      </c>
      <c r="EL42" s="14">
        <f t="shared" si="45"/>
        <v>32.694867122876893</v>
      </c>
      <c r="EM42" s="22">
        <f t="shared" si="19"/>
        <v>273.5754042390106</v>
      </c>
      <c r="EN42" s="62">
        <f t="shared" si="20"/>
        <v>500.59139044654125</v>
      </c>
      <c r="EO42" s="62">
        <f ca="1">AVERAGE(OFFSET($EN$3,0,0,'Données projet'!$E$15+1,1))-AVERAGE(OFFSET($H$3,0,0,'Données projet'!$E$15+1,1))</f>
        <v>452.74627739105745</v>
      </c>
      <c r="EP42" s="62">
        <f t="shared" si="46"/>
        <v>281.80695725575106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8.4</v>
      </c>
      <c r="FE42" s="13">
        <f>IF('Données projet'!$A$218&gt;35,FE41+FD42-FM41,IF(A42&lt;'Données projet'!$A$218,$FB$205^A42,IF(A42='Données projet'!$A$218,'Données projet'!$B$218,FE41+FD42-FM41)))</f>
        <v>128.6</v>
      </c>
      <c r="FF42" s="18">
        <f>FE42*VLOOKUP('Données projet'!$B$16,Paramètres!$A$1:$I$89,3,0)*VLOOKUP('Données projet'!$B$16,Paramètres!$A$1:$I$89,5,0)</f>
        <v>138.42504</v>
      </c>
      <c r="FG42" s="14">
        <f t="shared" si="47"/>
        <v>35.935967051850263</v>
      </c>
      <c r="FH42" s="22">
        <f t="shared" si="22"/>
        <v>303.67875394863921</v>
      </c>
      <c r="FI42" s="62">
        <f t="shared" si="23"/>
        <v>530.69474015616993</v>
      </c>
      <c r="FJ42" s="62">
        <f ca="1">AVERAGE(OFFSET($FI$3,0,0,'Données projet'!$E$16+1,1))-AVERAGE(OFFSET($H$3,0,0,'Données projet'!$E$16+1,1))</f>
        <v>492.72391755143508</v>
      </c>
      <c r="FK42" s="62">
        <f t="shared" si="48"/>
        <v>304.88554179994355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51.913450783872008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143.77000000000001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289</v>
      </c>
      <c r="L43" s="13">
        <f>VLOOKUP(A43,'Données projet'!$A$35:$I$55,9,0)</f>
        <v>6.2</v>
      </c>
      <c r="M43" s="13">
        <f t="array" ref="M43">INDEX(L:L,MIN(IF(ISNUMBER(L43:L239),ROW(L43:L239),"")))</f>
        <v>6.2</v>
      </c>
      <c r="N43" s="14">
        <f>IF('Données projet'!$A$36&gt;35,N42+M43-V42,IF(A43&lt;'Données projet'!$A$36,$K$205^A43,IF(A43='Données projet'!$A$36,'Données projet'!$B$36,N42+M43-V42)))</f>
        <v>288.99999999999994</v>
      </c>
      <c r="O43" s="14">
        <f>N43*VLOOKUP('Données projet'!$B$9,Paramètres!$A$1:$I$89,3,0)*VLOOKUP('Données projet'!$B$9,Paramètres!$A$1:$I$89,5,0)</f>
        <v>261.48719999999992</v>
      </c>
      <c r="P43" s="14">
        <f t="shared" si="33"/>
        <v>63.039283586802391</v>
      </c>
      <c r="Q43" s="22">
        <f t="shared" si="53"/>
        <v>565.21695891368074</v>
      </c>
      <c r="R43" s="62">
        <f t="shared" si="0"/>
        <v>793.38340283046739</v>
      </c>
      <c r="S43" s="62">
        <f ca="1">AVERAGE(OFFSET($R$3,0,0,'Données projet'!$E$9+1,1))-AVERAGE(OFFSET($H$3,0,0,'Données projet'!$E$9+1,1))</f>
        <v>388.8309693898596</v>
      </c>
      <c r="T43" s="62">
        <f t="shared" si="34"/>
        <v>549.06702041234382</v>
      </c>
      <c r="U43" s="16">
        <f>IF(ISNA(VLOOKUP(A43,'Données projet'!$A$35:$I$55,3,0)),0,VLOOKUP(A43,'Données projet'!$A$35:$I$55,3,0))</f>
        <v>8</v>
      </c>
      <c r="V43" s="16">
        <f>IF(ISNA(VLOOKUP(A43,'Données projet'!$A$35:$I$55,4,0)),0,VLOOKUP(A43,'Données projet'!$A$35:$I$55,4,0))</f>
        <v>7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8.6831234328888538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8.6831234328888538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>
        <f>AI43*VLOOKUP('Données projet'!$B$10,Paramètres!$A$1:$I$89,3,0)*VLOOKUP('Données projet'!$B$10,Paramètres!$A$1:$I$89,5,0)</f>
        <v>6.7984728957526396E-14</v>
      </c>
      <c r="AK43" s="14">
        <f t="shared" si="35"/>
        <v>1.0682447123141398E-12</v>
      </c>
      <c r="AL43" s="22">
        <f t="shared" si="4"/>
        <v>1.978932943548152E-12</v>
      </c>
      <c r="AM43" s="62">
        <f t="shared" si="5"/>
        <v>228.16644391678867</v>
      </c>
      <c r="AN43" s="62">
        <f ca="1">AVERAGE(OFFSET($AM$3,0,0,'Données projet'!$E$10+1,1))-AVERAGE(OFFSET($H$3,0,0,'Données projet'!$E$10+1,1))</f>
        <v>197.85998851681552</v>
      </c>
      <c r="AO43" s="62">
        <f t="shared" si="36"/>
        <v>474.54844785896239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43.740616948582385</v>
      </c>
      <c r="AV43" s="23">
        <f>EXP(-LN(2)/25)*AV42+(1-EXP(-LN(2)/25))/(LN(2)/25)*Calculateur!AQ43*Calculateur!AS43*VLOOKUP('Données projet'!$B$10,Paramètres!$A$1:$I$89,3,0)*0.475*44/12</f>
        <v>33.306973272629243</v>
      </c>
      <c r="AW43" s="23">
        <f>EXP(-LN(2)/2)*AW42+(1-EXP(-LN(2)/2))/(LN(2)/2)*AQ43*AT43*VLOOKUP('Données projet'!$B$10,Paramètres!$A$1:$I$89,3,0)*0.475*44/12</f>
        <v>1.3614807749033888</v>
      </c>
      <c r="AX43" s="23">
        <f t="shared" si="6"/>
        <v>78.40907099611502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1.1368683772161603E-13</v>
      </c>
      <c r="BE43" s="14">
        <f>BD43*VLOOKUP('Données projet'!$B$11,Paramètres!$A$1:$I$89,3,0)*VLOOKUP('Données projet'!$B$11,Paramètres!$A$1:$I$89,5,0)</f>
        <v>6.7984728957526396E-14</v>
      </c>
      <c r="BF43" s="14">
        <f t="shared" si="37"/>
        <v>1.0682447123141398E-12</v>
      </c>
      <c r="BG43" s="22">
        <f t="shared" si="7"/>
        <v>1.978932943548152E-12</v>
      </c>
      <c r="BH43" s="62">
        <f t="shared" si="8"/>
        <v>228.16644391678867</v>
      </c>
      <c r="BI43" s="62">
        <f ca="1">AVERAGE(OFFSET($BH$3,0,0,'Données projet'!$E$11+1,1))-AVERAGE(OFFSET($H$3,0,0,'Données projet'!$E$11+1,1))</f>
        <v>197.85998851681552</v>
      </c>
      <c r="BJ43" s="62">
        <f t="shared" si="38"/>
        <v>474.54844785896239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43.740616948582385</v>
      </c>
      <c r="BQ43" s="23">
        <f>EXP(-LN(2)/25)*BQ42+(1-EXP(-LN(2)/25))/(LN(2)/25)*Calculateur!BL43*Calculateur!BN43*VLOOKUP('Données projet'!$B$11,Paramètres!$A$1:$I$89,3,0)*0.475*44/12</f>
        <v>33.306973272629243</v>
      </c>
      <c r="BR43" s="23">
        <f>EXP(-LN(2)/2)*BR42+(1-EXP(-LN(2)/2))/(LN(2)/2)*BL43*BO43*VLOOKUP('Données projet'!$B$11,Paramètres!$A$1:$I$89,3,0)*0.475*44/12</f>
        <v>1.3614807749033888</v>
      </c>
      <c r="BS43" s="24">
        <f t="shared" si="9"/>
        <v>78.40907099611502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>
        <f>BY43*VLOOKUP('Données projet'!$B$12,Paramètres!$A$1:$I$89,3,0)*VLOOKUP('Données projet'!$B$12,Paramètres!$A$1:$I$89,5,0)</f>
        <v>0</v>
      </c>
      <c r="CA43" s="14" t="e">
        <f t="shared" si="39"/>
        <v>#NUM!</v>
      </c>
      <c r="CB43" s="22" t="e">
        <f t="shared" si="10"/>
        <v>#NUM!</v>
      </c>
      <c r="CC43" s="62" t="e">
        <f t="shared" si="11"/>
        <v>#NUM!</v>
      </c>
      <c r="CD43" s="62">
        <f ca="1">AVERAGE(OFFSET($CC$3,0,0,'Données projet'!$E$12+1,1))-AVERAGE(OFFSET($H$3,0,0,'Données projet'!$E$12+1,1))</f>
        <v>72.97248599808384</v>
      </c>
      <c r="CE43" s="62">
        <f t="shared" si="40"/>
        <v>346.88163654003574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47.676921412848216</v>
      </c>
      <c r="CL43" s="23">
        <f>EXP(-LN(2)/25)*CL42+(1-EXP(-LN(2)/25))/(LN(2)/25)*Calculateur!CG43*Calculateur!CI43*VLOOKUP('Données projet'!$B$12,Paramètres!$A$1:$I$89,3,0)*0.475*44/12</f>
        <v>9.8947988607510862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57.571720273599304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>
        <f>CT43*VLOOKUP('Données projet'!$B$13,Paramètres!$A$1:$I$89,3,0)*VLOOKUP('Données projet'!$B$13,Paramètres!$A$1:$I$89,5,0)</f>
        <v>0</v>
      </c>
      <c r="CV43" s="14" t="e">
        <f t="shared" si="41"/>
        <v>#NUM!</v>
      </c>
      <c r="CW43" s="22" t="e">
        <f t="shared" si="13"/>
        <v>#NUM!</v>
      </c>
      <c r="CX43" s="62" t="e">
        <f t="shared" si="14"/>
        <v>#NUM!</v>
      </c>
      <c r="CY43" s="62">
        <f ca="1">AVERAGE(OFFSET($CX$3,0,0,'Données projet'!$E$13+1,1))-AVERAGE(OFFSET($H$3,0,0,'Données projet'!$E$13+1,1))</f>
        <v>67.303283896086128</v>
      </c>
      <c r="CZ43" s="62">
        <f t="shared" si="42"/>
        <v>318.97925671653547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43.294363177126797</v>
      </c>
      <c r="DG43" s="23">
        <f>EXP(-LN(2)/25)*DG42+(1-EXP(-LN(2)/25))/(LN(2)/25)*Calculateur!DB43*Calculateur!DD43*VLOOKUP('Données projet'!$B$13,Paramètres!$A$1:$I$89,3,0)*0.475*44/12</f>
        <v>8.9852491047488936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52.279612281875693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>
        <f>DO43*VLOOKUP('Données projet'!$B$14,Paramètres!$A$1:$I$89,3,0)*VLOOKUP('Données projet'!$B$14,Paramètres!$A$1:$I$89,5,0)</f>
        <v>0</v>
      </c>
      <c r="DQ43" s="14" t="e">
        <f t="shared" si="43"/>
        <v>#NUM!</v>
      </c>
      <c r="DR43" s="22" t="e">
        <f t="shared" si="16"/>
        <v>#NUM!</v>
      </c>
      <c r="DS43" s="62" t="e">
        <f t="shared" si="17"/>
        <v>#NUM!</v>
      </c>
      <c r="DT43" s="62">
        <f ca="1">AVERAGE(OFFSET($DS$3,0,0,'Données projet'!$E$14+1,1))-AVERAGE(OFFSET($H$3,0,0,'Données projet'!$E$14+1,1))</f>
        <v>75.244137291704476</v>
      </c>
      <c r="DU43" s="62">
        <f t="shared" si="44"/>
        <v>366.065475656937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50.695212208799589</v>
      </c>
      <c r="EB43" s="23">
        <f>EXP(-LN(2)/25)*EB42+(1-EXP(-LN(2)/25))/(LN(2)/25)*Calculateur!DW43*Calculateur!DY43*VLOOKUP('Données projet'!$B$14,Paramètres!$A$1:$I$89,3,0)*0.475*44/12</f>
        <v>10.521210538438543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61.216422747238134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137</v>
      </c>
      <c r="EH43" s="13">
        <f>VLOOKUP(A43,'Données projet'!$A$191:$I$211,9,0)</f>
        <v>8.4</v>
      </c>
      <c r="EI43" s="13">
        <f t="array" ref="EI43">INDEX(EH:EH,MIN(IF(ISNUMBER(EH43:EH239),ROW(EH43:EH239),"")))</f>
        <v>8.4</v>
      </c>
      <c r="EJ43" s="13">
        <f>IF('Données projet'!$A$192&gt;35,EJ42+EI43-ER42,IF(A43&lt;'Données projet'!$A$192,$EG$205^A43,IF(A43='Données projet'!$A$192,'Données projet'!$B$192,EJ42+EI43-ER42)))</f>
        <v>137</v>
      </c>
      <c r="EK43" s="18">
        <f>EJ43*VLOOKUP('Données projet'!$B$15,Paramètres!$A$1:$I$89,3,0)*VLOOKUP('Données projet'!$B$15,Paramètres!$A$1:$I$89,5,0)</f>
        <v>132.50640000000001</v>
      </c>
      <c r="EL43" s="14">
        <f t="shared" si="45"/>
        <v>34.574869530248939</v>
      </c>
      <c r="EM43" s="22">
        <f t="shared" si="19"/>
        <v>290.99987776518356</v>
      </c>
      <c r="EN43" s="62">
        <f t="shared" si="20"/>
        <v>519.1663216819702</v>
      </c>
      <c r="EO43" s="62">
        <f ca="1">AVERAGE(OFFSET($EN$3,0,0,'Données projet'!$E$15+1,1))-AVERAGE(OFFSET($H$3,0,0,'Données projet'!$E$15+1,1))</f>
        <v>452.74627739105745</v>
      </c>
      <c r="EP43" s="62">
        <f t="shared" si="46"/>
        <v>281.80695725575106</v>
      </c>
      <c r="EQ43" s="16">
        <f>IF(ISNA(VLOOKUP(A43,'Données projet'!$A$191:$I$211,3,0)),0,VLOOKUP(A43,'Données projet'!$A$191:$I$211,3,0))</f>
        <v>4</v>
      </c>
      <c r="ER43" s="16">
        <f>IF(ISNA(VLOOKUP(A43,'Données projet'!$A$191:$I$211,4,0)),0,VLOOKUP(A43,'Données projet'!$A$191:$I$211,4,0))</f>
        <v>21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137</v>
      </c>
      <c r="FC43" s="13">
        <f>VLOOKUP(A43,'Données projet'!$A$217:$I$237,9,0)</f>
        <v>8.4</v>
      </c>
      <c r="FD43" s="13">
        <f t="array" ref="FD43">INDEX(FC:FC,MIN(IF(ISNUMBER(FC43:FC239),ROW(FC43:FC239),"")))</f>
        <v>8.4</v>
      </c>
      <c r="FE43" s="13">
        <f>IF('Données projet'!$A$218&gt;35,FE42+FD43-FM42,IF(A43&lt;'Données projet'!$A$218,$FB$205^A43,IF(A43='Données projet'!$A$218,'Données projet'!$B$218,FE42+FD43-FM42)))</f>
        <v>137</v>
      </c>
      <c r="FF43" s="18">
        <f>FE43*VLOOKUP('Données projet'!$B$16,Paramètres!$A$1:$I$89,3,0)*VLOOKUP('Données projet'!$B$16,Paramètres!$A$1:$I$89,5,0)</f>
        <v>147.46679999999998</v>
      </c>
      <c r="FG43" s="14">
        <f t="shared" si="47"/>
        <v>38.002337418636273</v>
      </c>
      <c r="FH43" s="22">
        <f t="shared" si="22"/>
        <v>323.02541433745813</v>
      </c>
      <c r="FI43" s="62">
        <f t="shared" si="23"/>
        <v>551.19185825424483</v>
      </c>
      <c r="FJ43" s="62">
        <f ca="1">AVERAGE(OFFSET($FI$3,0,0,'Données projet'!$E$16+1,1))-AVERAGE(OFFSET($H$3,0,0,'Données projet'!$E$16+1,1))</f>
        <v>492.72391755143508</v>
      </c>
      <c r="FK43" s="62">
        <f t="shared" si="48"/>
        <v>304.88554179994355</v>
      </c>
      <c r="FL43" s="16">
        <f>IF(ISNA(VLOOKUP(A43,'Données projet'!$A$217:$I$237,3,0)),0,VLOOKUP(A43,'Données projet'!$A$217:$I$237,3,0))</f>
        <v>4</v>
      </c>
      <c r="FM43" s="16">
        <f>IF(ISNA(VLOOKUP(A43,'Données projet'!$A$217:$I$237,4,0)),0,VLOOKUP(A43,'Données projet'!$A$217:$I$237,4,0))</f>
        <v>21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52.227211977305458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143.77000000000001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6</v>
      </c>
      <c r="N44" s="14">
        <f>IF('Données projet'!$A$36&gt;35,N43+M44-V43,IF(A44&lt;'Données projet'!$A$36,$K$205^A44,IF(A44='Données projet'!$A$36,'Données projet'!$B$36,N43+M44-V43)))</f>
        <v>287.99999999999994</v>
      </c>
      <c r="O44" s="14">
        <f>N44*VLOOKUP('Données projet'!$B$9,Paramètres!$A$1:$I$89,3,0)*VLOOKUP('Données projet'!$B$9,Paramètres!$A$1:$I$89,5,0)</f>
        <v>260.58239999999995</v>
      </c>
      <c r="P44" s="14">
        <f t="shared" si="33"/>
        <v>62.846505929896907</v>
      </c>
      <c r="Q44" s="22">
        <f t="shared" si="53"/>
        <v>563.30534449457025</v>
      </c>
      <c r="R44" s="62">
        <f t="shared" si="0"/>
        <v>792.60228825139541</v>
      </c>
      <c r="S44" s="62">
        <f ca="1">AVERAGE(OFFSET($R$3,0,0,'Données projet'!$E$9+1,1))-AVERAGE(OFFSET($H$3,0,0,'Données projet'!$E$9+1,1))</f>
        <v>388.8309693898596</v>
      </c>
      <c r="T44" s="62">
        <f t="shared" si="34"/>
        <v>549.06702041234382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8.5128526785522425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8.5128526785522425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>
        <f>AI44*VLOOKUP('Données projet'!$B$10,Paramètres!$A$1:$I$89,3,0)*VLOOKUP('Données projet'!$B$10,Paramètres!$A$1:$I$89,5,0)</f>
        <v>6.7984728957526396E-14</v>
      </c>
      <c r="AK44" s="14">
        <f t="shared" si="35"/>
        <v>1.0682447123141398E-12</v>
      </c>
      <c r="AL44" s="22">
        <f t="shared" si="4"/>
        <v>1.978932943548152E-12</v>
      </c>
      <c r="AM44" s="62">
        <f t="shared" si="5"/>
        <v>229.29694375682712</v>
      </c>
      <c r="AN44" s="62">
        <f ca="1">AVERAGE(OFFSET($AM$3,0,0,'Données projet'!$E$10+1,1))-AVERAGE(OFFSET($H$3,0,0,'Données projet'!$E$10+1,1))</f>
        <v>197.85998851681552</v>
      </c>
      <c r="AO44" s="62">
        <f t="shared" si="36"/>
        <v>474.54844785896239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42.882890129362679</v>
      </c>
      <c r="AV44" s="23">
        <f>EXP(-LN(2)/25)*AV43+(1-EXP(-LN(2)/25))/(LN(2)/25)*Calculateur!AQ44*Calculateur!AS44*VLOOKUP('Données projet'!$B$10,Paramètres!$A$1:$I$89,3,0)*0.475*44/12</f>
        <v>32.396192336951593</v>
      </c>
      <c r="AW44" s="23">
        <f>EXP(-LN(2)/2)*AW43+(1-EXP(-LN(2)/2))/(LN(2)/2)*AQ44*AT44*VLOOKUP('Données projet'!$B$10,Paramètres!$A$1:$I$89,3,0)*0.475*44/12</f>
        <v>0.96271228838930178</v>
      </c>
      <c r="AX44" s="23">
        <f t="shared" si="6"/>
        <v>76.241794754703562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1.1368683772161603E-13</v>
      </c>
      <c r="BE44" s="14">
        <f>BD44*VLOOKUP('Données projet'!$B$11,Paramètres!$A$1:$I$89,3,0)*VLOOKUP('Données projet'!$B$11,Paramètres!$A$1:$I$89,5,0)</f>
        <v>6.7984728957526396E-14</v>
      </c>
      <c r="BF44" s="14">
        <f t="shared" si="37"/>
        <v>1.0682447123141398E-12</v>
      </c>
      <c r="BG44" s="22">
        <f t="shared" si="7"/>
        <v>1.978932943548152E-12</v>
      </c>
      <c r="BH44" s="62">
        <f t="shared" si="8"/>
        <v>229.29694375682712</v>
      </c>
      <c r="BI44" s="62">
        <f ca="1">AVERAGE(OFFSET($BH$3,0,0,'Données projet'!$E$11+1,1))-AVERAGE(OFFSET($H$3,0,0,'Données projet'!$E$11+1,1))</f>
        <v>197.85998851681552</v>
      </c>
      <c r="BJ44" s="62">
        <f t="shared" si="38"/>
        <v>474.54844785896239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42.882890129362679</v>
      </c>
      <c r="BQ44" s="23">
        <f>EXP(-LN(2)/25)*BQ43+(1-EXP(-LN(2)/25))/(LN(2)/25)*Calculateur!BL44*Calculateur!BN44*VLOOKUP('Données projet'!$B$11,Paramètres!$A$1:$I$89,3,0)*0.475*44/12</f>
        <v>32.396192336951593</v>
      </c>
      <c r="BR44" s="23">
        <f>EXP(-LN(2)/2)*BR43+(1-EXP(-LN(2)/2))/(LN(2)/2)*BL44*BO44*VLOOKUP('Données projet'!$B$11,Paramètres!$A$1:$I$89,3,0)*0.475*44/12</f>
        <v>0.96271228838930178</v>
      </c>
      <c r="BS44" s="24">
        <f t="shared" si="9"/>
        <v>76.241794754703562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>
        <f>BY44*VLOOKUP('Données projet'!$B$12,Paramètres!$A$1:$I$89,3,0)*VLOOKUP('Données projet'!$B$12,Paramètres!$A$1:$I$89,5,0)</f>
        <v>0</v>
      </c>
      <c r="CA44" s="14" t="e">
        <f t="shared" si="39"/>
        <v>#NUM!</v>
      </c>
      <c r="CB44" s="22" t="e">
        <f t="shared" si="10"/>
        <v>#NUM!</v>
      </c>
      <c r="CC44" s="62" t="e">
        <f t="shared" si="11"/>
        <v>#NUM!</v>
      </c>
      <c r="CD44" s="62">
        <f ca="1">AVERAGE(OFFSET($CC$3,0,0,'Données projet'!$E$12+1,1))-AVERAGE(OFFSET($H$3,0,0,'Données projet'!$E$12+1,1))</f>
        <v>72.97248599808384</v>
      </c>
      <c r="CE44" s="62">
        <f t="shared" si="40"/>
        <v>346.88163654003574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46.74200606399291</v>
      </c>
      <c r="CL44" s="23">
        <f>EXP(-LN(2)/25)*CL43+(1-EXP(-LN(2)/25))/(LN(2)/25)*Calculateur!CG44*Calculateur!CI44*VLOOKUP('Données projet'!$B$12,Paramètres!$A$1:$I$89,3,0)*0.475*44/12</f>
        <v>9.6242250655589903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56.366231129551899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>
        <f>CT44*VLOOKUP('Données projet'!$B$13,Paramètres!$A$1:$I$89,3,0)*VLOOKUP('Données projet'!$B$13,Paramètres!$A$1:$I$89,5,0)</f>
        <v>0</v>
      </c>
      <c r="CV44" s="14" t="e">
        <f t="shared" si="41"/>
        <v>#NUM!</v>
      </c>
      <c r="CW44" s="22" t="e">
        <f t="shared" si="13"/>
        <v>#NUM!</v>
      </c>
      <c r="CX44" s="62" t="e">
        <f t="shared" si="14"/>
        <v>#NUM!</v>
      </c>
      <c r="CY44" s="62">
        <f ca="1">AVERAGE(OFFSET($CX$3,0,0,'Données projet'!$E$13+1,1))-AVERAGE(OFFSET($H$3,0,0,'Données projet'!$E$13+1,1))</f>
        <v>67.303283896086128</v>
      </c>
      <c r="CZ44" s="62">
        <f t="shared" si="42"/>
        <v>318.97925671653547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42.445387122177408</v>
      </c>
      <c r="DG44" s="23">
        <f>EXP(-LN(2)/25)*DG43+(1-EXP(-LN(2)/25))/(LN(2)/25)*Calculateur!DB44*Calculateur!DD44*VLOOKUP('Données projet'!$B$13,Paramètres!$A$1:$I$89,3,0)*0.475*44/12</f>
        <v>8.7395469954658207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51.18493411764323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>
        <f>DO44*VLOOKUP('Données projet'!$B$14,Paramètres!$A$1:$I$89,3,0)*VLOOKUP('Données projet'!$B$14,Paramètres!$A$1:$I$89,5,0)</f>
        <v>0</v>
      </c>
      <c r="DQ44" s="14" t="e">
        <f t="shared" si="43"/>
        <v>#NUM!</v>
      </c>
      <c r="DR44" s="22" t="e">
        <f t="shared" si="16"/>
        <v>#NUM!</v>
      </c>
      <c r="DS44" s="62" t="e">
        <f t="shared" si="17"/>
        <v>#NUM!</v>
      </c>
      <c r="DT44" s="62">
        <f ca="1">AVERAGE(OFFSET($DS$3,0,0,'Données projet'!$E$14+1,1))-AVERAGE(OFFSET($H$3,0,0,'Données projet'!$E$14+1,1))</f>
        <v>75.244137291704476</v>
      </c>
      <c r="DU44" s="62">
        <f t="shared" si="44"/>
        <v>366.065475656937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49.701110018411278</v>
      </c>
      <c r="EB44" s="23">
        <f>EXP(-LN(2)/25)*EB43+(1-EXP(-LN(2)/25))/(LN(2)/25)*Calculateur!DW44*Calculateur!DY44*VLOOKUP('Données projet'!$B$14,Paramètres!$A$1:$I$89,3,0)*0.475*44/12</f>
        <v>10.233507482978526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59.934617501389802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8.4</v>
      </c>
      <c r="EJ44" s="13">
        <f>IF('Données projet'!$A$192&gt;35,EJ43+EI44-ER43,IF(A44&lt;'Données projet'!$A$192,$EG$205^A44,IF(A44='Données projet'!$A$192,'Données projet'!$B$192,EJ43+EI44-ER43)))</f>
        <v>124.4</v>
      </c>
      <c r="EK44" s="18">
        <f>EJ44*VLOOKUP('Données projet'!$B$15,Paramètres!$A$1:$I$89,3,0)*VLOOKUP('Données projet'!$B$15,Paramètres!$A$1:$I$89,5,0)</f>
        <v>120.31968000000001</v>
      </c>
      <c r="EL44" s="14">
        <f t="shared" si="45"/>
        <v>31.74954785566829</v>
      </c>
      <c r="EM44" s="22">
        <f t="shared" si="19"/>
        <v>264.85390518195555</v>
      </c>
      <c r="EN44" s="62">
        <f t="shared" si="20"/>
        <v>494.15084893878065</v>
      </c>
      <c r="EO44" s="62">
        <f ca="1">AVERAGE(OFFSET($EN$3,0,0,'Données projet'!$E$15+1,1))-AVERAGE(OFFSET($H$3,0,0,'Données projet'!$E$15+1,1))</f>
        <v>452.74627739105745</v>
      </c>
      <c r="EP44" s="62">
        <f t="shared" si="46"/>
        <v>281.80695725575106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8.4</v>
      </c>
      <c r="FE44" s="13">
        <f>IF('Données projet'!$A$218&gt;35,FE43+FD44-FM43,IF(A44&lt;'Données projet'!$A$218,$FB$205^A44,IF(A44='Données projet'!$A$218,'Données projet'!$B$218,FE43+FD44-FM43)))</f>
        <v>124.4</v>
      </c>
      <c r="FF44" s="18">
        <f>FE44*VLOOKUP('Données projet'!$B$16,Paramètres!$A$1:$I$89,3,0)*VLOOKUP('Données projet'!$B$16,Paramètres!$A$1:$I$89,5,0)</f>
        <v>133.90415999999999</v>
      </c>
      <c r="FG44" s="14">
        <f t="shared" si="47"/>
        <v>34.896936615903982</v>
      </c>
      <c r="FH44" s="22">
        <f t="shared" si="22"/>
        <v>293.99524327269938</v>
      </c>
      <c r="FI44" s="62">
        <f t="shared" si="23"/>
        <v>523.29218702952448</v>
      </c>
      <c r="FJ44" s="62">
        <f ca="1">AVERAGE(OFFSET($FI$3,0,0,'Données projet'!$E$16+1,1))-AVERAGE(OFFSET($H$3,0,0,'Données projet'!$E$16+1,1))</f>
        <v>492.72391755143508</v>
      </c>
      <c r="FK44" s="62">
        <f t="shared" si="48"/>
        <v>304.88554179994355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52.535530115497764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143.77000000000001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6</v>
      </c>
      <c r="N45" s="14">
        <f>IF('Données projet'!$A$36&gt;35,N44+M45-V44,IF(A45&lt;'Données projet'!$A$36,$K$205^A45,IF(A45='Données projet'!$A$36,'Données projet'!$B$36,N44+M45-V44)))</f>
        <v>293.99999999999994</v>
      </c>
      <c r="O45" s="14">
        <f>N45*VLOOKUP('Données projet'!$B$9,Paramètres!$A$1:$I$89,3,0)*VLOOKUP('Données projet'!$B$9,Paramètres!$A$1:$I$89,5,0)</f>
        <v>266.01119999999992</v>
      </c>
      <c r="P45" s="14">
        <f t="shared" si="33"/>
        <v>64.00201337612566</v>
      </c>
      <c r="Q45" s="22">
        <f t="shared" si="53"/>
        <v>574.77301329675208</v>
      </c>
      <c r="R45" s="62">
        <f t="shared" si="0"/>
        <v>805.1808452488101</v>
      </c>
      <c r="S45" s="62">
        <f ca="1">AVERAGE(OFFSET($R$3,0,0,'Données projet'!$E$9+1,1))-AVERAGE(OFFSET($H$3,0,0,'Données projet'!$E$9+1,1))</f>
        <v>388.8309693898596</v>
      </c>
      <c r="T45" s="62">
        <f t="shared" si="34"/>
        <v>549.06702041234382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8.3459208298532666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8.3459208298532666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>
        <f>AI45*VLOOKUP('Données projet'!$B$10,Paramètres!$A$1:$I$89,3,0)*VLOOKUP('Données projet'!$B$10,Paramètres!$A$1:$I$89,5,0)</f>
        <v>6.7984728957526396E-14</v>
      </c>
      <c r="AK45" s="14">
        <f t="shared" si="35"/>
        <v>1.0682447123141398E-12</v>
      </c>
      <c r="AL45" s="22">
        <f t="shared" si="4"/>
        <v>1.978932943548152E-12</v>
      </c>
      <c r="AM45" s="62">
        <f t="shared" si="5"/>
        <v>230.40783195205998</v>
      </c>
      <c r="AN45" s="62">
        <f ca="1">AVERAGE(OFFSET($AM$3,0,0,'Données projet'!$E$10+1,1))-AVERAGE(OFFSET($H$3,0,0,'Données projet'!$E$10+1,1))</f>
        <v>197.85998851681552</v>
      </c>
      <c r="AO45" s="62">
        <f t="shared" si="36"/>
        <v>474.54844785896239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42.041982809906166</v>
      </c>
      <c r="AV45" s="23">
        <f>EXP(-LN(2)/25)*AV44+(1-EXP(-LN(2)/25))/(LN(2)/25)*Calculateur!AQ45*Calculateur!AS45*VLOOKUP('Données projet'!$B$10,Paramètres!$A$1:$I$89,3,0)*0.475*44/12</f>
        <v>31.510316753855939</v>
      </c>
      <c r="AW45" s="23">
        <f>EXP(-LN(2)/2)*AW44+(1-EXP(-LN(2)/2))/(LN(2)/2)*AQ45*AT45*VLOOKUP('Données projet'!$B$10,Paramètres!$A$1:$I$89,3,0)*0.475*44/12</f>
        <v>0.68074038745169452</v>
      </c>
      <c r="AX45" s="23">
        <f t="shared" si="6"/>
        <v>74.233039951213797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1.1368683772161603E-13</v>
      </c>
      <c r="BE45" s="14">
        <f>BD45*VLOOKUP('Données projet'!$B$11,Paramètres!$A$1:$I$89,3,0)*VLOOKUP('Données projet'!$B$11,Paramètres!$A$1:$I$89,5,0)</f>
        <v>6.7984728957526396E-14</v>
      </c>
      <c r="BF45" s="14">
        <f t="shared" si="37"/>
        <v>1.0682447123141398E-12</v>
      </c>
      <c r="BG45" s="22">
        <f t="shared" si="7"/>
        <v>1.978932943548152E-12</v>
      </c>
      <c r="BH45" s="62">
        <f t="shared" si="8"/>
        <v>230.40783195205998</v>
      </c>
      <c r="BI45" s="62">
        <f ca="1">AVERAGE(OFFSET($BH$3,0,0,'Données projet'!$E$11+1,1))-AVERAGE(OFFSET($H$3,0,0,'Données projet'!$E$11+1,1))</f>
        <v>197.85998851681552</v>
      </c>
      <c r="BJ45" s="62">
        <f t="shared" si="38"/>
        <v>474.54844785896239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42.041982809906166</v>
      </c>
      <c r="BQ45" s="23">
        <f>EXP(-LN(2)/25)*BQ44+(1-EXP(-LN(2)/25))/(LN(2)/25)*Calculateur!BL45*Calculateur!BN45*VLOOKUP('Données projet'!$B$11,Paramètres!$A$1:$I$89,3,0)*0.475*44/12</f>
        <v>31.510316753855939</v>
      </c>
      <c r="BR45" s="23">
        <f>EXP(-LN(2)/2)*BR44+(1-EXP(-LN(2)/2))/(LN(2)/2)*BL45*BO45*VLOOKUP('Données projet'!$B$11,Paramètres!$A$1:$I$89,3,0)*0.475*44/12</f>
        <v>0.68074038745169452</v>
      </c>
      <c r="BS45" s="24">
        <f t="shared" si="9"/>
        <v>74.233039951213797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>
        <f>BY45*VLOOKUP('Données projet'!$B$12,Paramètres!$A$1:$I$89,3,0)*VLOOKUP('Données projet'!$B$12,Paramètres!$A$1:$I$89,5,0)</f>
        <v>0</v>
      </c>
      <c r="CA45" s="14" t="e">
        <f t="shared" si="39"/>
        <v>#NUM!</v>
      </c>
      <c r="CB45" s="22" t="e">
        <f t="shared" si="10"/>
        <v>#NUM!</v>
      </c>
      <c r="CC45" s="62" t="e">
        <f t="shared" si="11"/>
        <v>#NUM!</v>
      </c>
      <c r="CD45" s="62">
        <f ca="1">AVERAGE(OFFSET($CC$3,0,0,'Données projet'!$E$12+1,1))-AVERAGE(OFFSET($H$3,0,0,'Données projet'!$E$12+1,1))</f>
        <v>72.97248599808384</v>
      </c>
      <c r="CE45" s="62">
        <f t="shared" si="40"/>
        <v>346.88163654003574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45.8254238348866</v>
      </c>
      <c r="CL45" s="23">
        <f>EXP(-LN(2)/25)*CL44+(1-EXP(-LN(2)/25))/(LN(2)/25)*Calculateur!CG45*Calculateur!CI45*VLOOKUP('Données projet'!$B$12,Paramètres!$A$1:$I$89,3,0)*0.475*44/12</f>
        <v>9.3610501250252796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55.186473959911879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>
        <f>CT45*VLOOKUP('Données projet'!$B$13,Paramètres!$A$1:$I$89,3,0)*VLOOKUP('Données projet'!$B$13,Paramètres!$A$1:$I$89,5,0)</f>
        <v>0</v>
      </c>
      <c r="CV45" s="14" t="e">
        <f t="shared" si="41"/>
        <v>#NUM!</v>
      </c>
      <c r="CW45" s="22" t="e">
        <f t="shared" si="13"/>
        <v>#NUM!</v>
      </c>
      <c r="CX45" s="62" t="e">
        <f t="shared" si="14"/>
        <v>#NUM!</v>
      </c>
      <c r="CY45" s="62">
        <f ca="1">AVERAGE(OFFSET($CX$3,0,0,'Données projet'!$E$13+1,1))-AVERAGE(OFFSET($H$3,0,0,'Données projet'!$E$13+1,1))</f>
        <v>67.303283896086128</v>
      </c>
      <c r="CZ45" s="62">
        <f t="shared" si="42"/>
        <v>318.97925671653547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41.613058969841312</v>
      </c>
      <c r="DG45" s="23">
        <f>EXP(-LN(2)/25)*DG44+(1-EXP(-LN(2)/25))/(LN(2)/25)*Calculateur!DB45*Calculateur!DD45*VLOOKUP('Données projet'!$B$13,Paramètres!$A$1:$I$89,3,0)*0.475*44/12</f>
        <v>8.5005636232820052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50.113622593123317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>
        <f>DO45*VLOOKUP('Données projet'!$B$14,Paramètres!$A$1:$I$89,3,0)*VLOOKUP('Données projet'!$B$14,Paramètres!$A$1:$I$89,5,0)</f>
        <v>0</v>
      </c>
      <c r="DQ45" s="14" t="e">
        <f t="shared" si="43"/>
        <v>#NUM!</v>
      </c>
      <c r="DR45" s="22" t="e">
        <f t="shared" si="16"/>
        <v>#NUM!</v>
      </c>
      <c r="DS45" s="62" t="e">
        <f t="shared" si="17"/>
        <v>#NUM!</v>
      </c>
      <c r="DT45" s="62">
        <f ca="1">AVERAGE(OFFSET($DS$3,0,0,'Données projet'!$E$14+1,1))-AVERAGE(OFFSET($H$3,0,0,'Données projet'!$E$14+1,1))</f>
        <v>75.244137291704476</v>
      </c>
      <c r="DU45" s="62">
        <f t="shared" si="44"/>
        <v>366.065475656937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48.726501565634017</v>
      </c>
      <c r="EB45" s="23">
        <f>EXP(-LN(2)/25)*EB44+(1-EXP(-LN(2)/25))/(LN(2)/25)*Calculateur!DW45*Calculateur!DY45*VLOOKUP('Données projet'!$B$14,Paramètres!$A$1:$I$89,3,0)*0.475*44/12</f>
        <v>9.9536716826997083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58.680173248333723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8.4</v>
      </c>
      <c r="EJ45" s="13">
        <f>IF('Données projet'!$A$192&gt;35,EJ44+EI45-ER44,IF(A45&lt;'Données projet'!$A$192,$EG$205^A45,IF(A45='Données projet'!$A$192,'Données projet'!$B$192,EJ44+EI45-ER44)))</f>
        <v>132.80000000000001</v>
      </c>
      <c r="EK45" s="18">
        <f>EJ45*VLOOKUP('Données projet'!$B$15,Paramètres!$A$1:$I$89,3,0)*VLOOKUP('Données projet'!$B$15,Paramètres!$A$1:$I$89,5,0)</f>
        <v>128.44416000000001</v>
      </c>
      <c r="EL45" s="14">
        <f t="shared" si="45"/>
        <v>33.636598855068925</v>
      </c>
      <c r="EM45" s="22">
        <f t="shared" si="19"/>
        <v>282.29065500591173</v>
      </c>
      <c r="EN45" s="62">
        <f t="shared" si="20"/>
        <v>512.69848695796975</v>
      </c>
      <c r="EO45" s="62">
        <f ca="1">AVERAGE(OFFSET($EN$3,0,0,'Données projet'!$E$15+1,1))-AVERAGE(OFFSET($H$3,0,0,'Données projet'!$E$15+1,1))</f>
        <v>452.74627739105745</v>
      </c>
      <c r="EP45" s="62">
        <f t="shared" si="46"/>
        <v>281.80695725575106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8.4</v>
      </c>
      <c r="FE45" s="13">
        <f>IF('Données projet'!$A$218&gt;35,FE44+FD45-FM44,IF(A45&lt;'Données projet'!$A$218,$FB$205^A45,IF(A45='Données projet'!$A$218,'Données projet'!$B$218,FE44+FD45-FM44)))</f>
        <v>132.80000000000001</v>
      </c>
      <c r="FF45" s="18">
        <f>FE45*VLOOKUP('Données projet'!$B$16,Paramètres!$A$1:$I$89,3,0)*VLOOKUP('Données projet'!$B$16,Paramètres!$A$1:$I$89,5,0)</f>
        <v>142.94592</v>
      </c>
      <c r="FG45" s="14">
        <f t="shared" si="47"/>
        <v>36.971054314096854</v>
      </c>
      <c r="FH45" s="22">
        <f t="shared" si="22"/>
        <v>313.35539693038533</v>
      </c>
      <c r="FI45" s="62">
        <f t="shared" si="23"/>
        <v>543.76322888244329</v>
      </c>
      <c r="FJ45" s="62">
        <f ca="1">AVERAGE(OFFSET($FI$3,0,0,'Données projet'!$E$16+1,1))-AVERAGE(OFFSET($H$3,0,0,'Données projet'!$E$16+1,1))</f>
        <v>492.72391755143508</v>
      </c>
      <c r="FK45" s="62">
        <f t="shared" si="48"/>
        <v>304.88554179994355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52.838499623288541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143.77000000000001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6</v>
      </c>
      <c r="N46" s="14">
        <f>IF('Données projet'!$A$36&gt;35,N45+M46-V45,IF(A46&lt;'Données projet'!$A$36,$K$205^A46,IF(A46='Données projet'!$A$36,'Données projet'!$B$36,N45+M46-V45)))</f>
        <v>299.99999999999994</v>
      </c>
      <c r="O46" s="14">
        <f>N46*VLOOKUP('Données projet'!$B$9,Paramètres!$A$1:$I$89,3,0)*VLOOKUP('Données projet'!$B$9,Paramètres!$A$1:$I$89,5,0)</f>
        <v>271.43999999999994</v>
      </c>
      <c r="P46" s="14">
        <f t="shared" si="33"/>
        <v>65.154778959151173</v>
      </c>
      <c r="Q46" s="22">
        <f t="shared" si="53"/>
        <v>586.23590668718805</v>
      </c>
      <c r="R46" s="62">
        <f t="shared" si="0"/>
        <v>817.73535540786543</v>
      </c>
      <c r="S46" s="62">
        <f ca="1">AVERAGE(OFFSET($R$3,0,0,'Données projet'!$E$9+1,1))-AVERAGE(OFFSET($H$3,0,0,'Données projet'!$E$9+1,1))</f>
        <v>388.8309693898596</v>
      </c>
      <c r="T46" s="62">
        <f t="shared" si="34"/>
        <v>549.06702041234382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8.182262412888905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8.182262412888905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>
        <f>AI46*VLOOKUP('Données projet'!$B$10,Paramètres!$A$1:$I$89,3,0)*VLOOKUP('Données projet'!$B$10,Paramètres!$A$1:$I$89,5,0)</f>
        <v>6.7984728957526396E-14</v>
      </c>
      <c r="AK46" s="14">
        <f t="shared" si="35"/>
        <v>1.0682447123141398E-12</v>
      </c>
      <c r="AL46" s="22">
        <f t="shared" si="4"/>
        <v>1.978932943548152E-12</v>
      </c>
      <c r="AM46" s="62">
        <f t="shared" si="5"/>
        <v>231.4994487206794</v>
      </c>
      <c r="AN46" s="62">
        <f ca="1">AVERAGE(OFFSET($AM$3,0,0,'Données projet'!$E$10+1,1))-AVERAGE(OFFSET($H$3,0,0,'Données projet'!$E$10+1,1))</f>
        <v>197.85998851681552</v>
      </c>
      <c r="AO46" s="62">
        <f t="shared" si="36"/>
        <v>474.54844785896239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41.217565170081379</v>
      </c>
      <c r="AV46" s="23">
        <f>EXP(-LN(2)/25)*AV45+(1-EXP(-LN(2)/25))/(LN(2)/25)*Calculateur!AQ46*Calculateur!AS46*VLOOKUP('Données projet'!$B$10,Paramètres!$A$1:$I$89,3,0)*0.475*44/12</f>
        <v>30.648665485166209</v>
      </c>
      <c r="AW46" s="23">
        <f>EXP(-LN(2)/2)*AW45+(1-EXP(-LN(2)/2))/(LN(2)/2)*AQ46*AT46*VLOOKUP('Données projet'!$B$10,Paramètres!$A$1:$I$89,3,0)*0.475*44/12</f>
        <v>0.48135614419465095</v>
      </c>
      <c r="AX46" s="23">
        <f t="shared" si="6"/>
        <v>72.34758679944224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1.1368683772161603E-13</v>
      </c>
      <c r="BE46" s="14">
        <f>BD46*VLOOKUP('Données projet'!$B$11,Paramètres!$A$1:$I$89,3,0)*VLOOKUP('Données projet'!$B$11,Paramètres!$A$1:$I$89,5,0)</f>
        <v>6.7984728957526396E-14</v>
      </c>
      <c r="BF46" s="14">
        <f t="shared" si="37"/>
        <v>1.0682447123141398E-12</v>
      </c>
      <c r="BG46" s="22">
        <f t="shared" si="7"/>
        <v>1.978932943548152E-12</v>
      </c>
      <c r="BH46" s="62">
        <f t="shared" si="8"/>
        <v>231.4994487206794</v>
      </c>
      <c r="BI46" s="62">
        <f ca="1">AVERAGE(OFFSET($BH$3,0,0,'Données projet'!$E$11+1,1))-AVERAGE(OFFSET($H$3,0,0,'Données projet'!$E$11+1,1))</f>
        <v>197.85998851681552</v>
      </c>
      <c r="BJ46" s="62">
        <f t="shared" si="38"/>
        <v>474.54844785896239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41.217565170081379</v>
      </c>
      <c r="BQ46" s="23">
        <f>EXP(-LN(2)/25)*BQ45+(1-EXP(-LN(2)/25))/(LN(2)/25)*Calculateur!BL46*Calculateur!BN46*VLOOKUP('Données projet'!$B$11,Paramètres!$A$1:$I$89,3,0)*0.475*44/12</f>
        <v>30.648665485166209</v>
      </c>
      <c r="BR46" s="23">
        <f>EXP(-LN(2)/2)*BR45+(1-EXP(-LN(2)/2))/(LN(2)/2)*BL46*BO46*VLOOKUP('Données projet'!$B$11,Paramètres!$A$1:$I$89,3,0)*0.475*44/12</f>
        <v>0.48135614419465095</v>
      </c>
      <c r="BS46" s="24">
        <f t="shared" si="9"/>
        <v>72.34758679944224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>
        <f>BY46*VLOOKUP('Données projet'!$B$12,Paramètres!$A$1:$I$89,3,0)*VLOOKUP('Données projet'!$B$12,Paramètres!$A$1:$I$89,5,0)</f>
        <v>0</v>
      </c>
      <c r="CA46" s="14" t="e">
        <f t="shared" si="39"/>
        <v>#NUM!</v>
      </c>
      <c r="CB46" s="22" t="e">
        <f t="shared" si="10"/>
        <v>#NUM!</v>
      </c>
      <c r="CC46" s="62" t="e">
        <f t="shared" si="11"/>
        <v>#NUM!</v>
      </c>
      <c r="CD46" s="62">
        <f ca="1">AVERAGE(OFFSET($CC$3,0,0,'Données projet'!$E$12+1,1))-AVERAGE(OFFSET($H$3,0,0,'Données projet'!$E$12+1,1))</f>
        <v>72.97248599808384</v>
      </c>
      <c r="CE46" s="62">
        <f t="shared" si="40"/>
        <v>346.88163654003574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44.926815224233103</v>
      </c>
      <c r="CL46" s="23">
        <f>EXP(-LN(2)/25)*CL45+(1-EXP(-LN(2)/25))/(LN(2)/25)*Calculateur!CG46*Calculateur!CI46*VLOOKUP('Données projet'!$B$12,Paramètres!$A$1:$I$89,3,0)*0.475*44/12</f>
        <v>9.1050717170802322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54.031886941313331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>
        <f>CT46*VLOOKUP('Données projet'!$B$13,Paramètres!$A$1:$I$89,3,0)*VLOOKUP('Données projet'!$B$13,Paramètres!$A$1:$I$89,5,0)</f>
        <v>0</v>
      </c>
      <c r="CV46" s="14" t="e">
        <f t="shared" si="41"/>
        <v>#NUM!</v>
      </c>
      <c r="CW46" s="22" t="e">
        <f t="shared" si="13"/>
        <v>#NUM!</v>
      </c>
      <c r="CX46" s="62" t="e">
        <f t="shared" si="14"/>
        <v>#NUM!</v>
      </c>
      <c r="CY46" s="62">
        <f ca="1">AVERAGE(OFFSET($CX$3,0,0,'Données projet'!$E$13+1,1))-AVERAGE(OFFSET($H$3,0,0,'Données projet'!$E$13+1,1))</f>
        <v>67.303283896086128</v>
      </c>
      <c r="CZ46" s="62">
        <f t="shared" si="42"/>
        <v>318.97925671653547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40.797052264902483</v>
      </c>
      <c r="DG46" s="23">
        <f>EXP(-LN(2)/25)*DG45+(1-EXP(-LN(2)/25))/(LN(2)/25)*Calculateur!DB46*Calculateur!DD46*VLOOKUP('Données projet'!$B$13,Paramètres!$A$1:$I$89,3,0)*0.475*44/12</f>
        <v>8.2681152639781459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49.065167528880629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>
        <f>DO46*VLOOKUP('Données projet'!$B$14,Paramètres!$A$1:$I$89,3,0)*VLOOKUP('Données projet'!$B$14,Paramètres!$A$1:$I$89,5,0)</f>
        <v>0</v>
      </c>
      <c r="DQ46" s="14" t="e">
        <f t="shared" si="43"/>
        <v>#NUM!</v>
      </c>
      <c r="DR46" s="22" t="e">
        <f t="shared" si="16"/>
        <v>#NUM!</v>
      </c>
      <c r="DS46" s="62" t="e">
        <f t="shared" si="17"/>
        <v>#NUM!</v>
      </c>
      <c r="DT46" s="62">
        <f ca="1">AVERAGE(OFFSET($DS$3,0,0,'Données projet'!$E$14+1,1))-AVERAGE(OFFSET($H$3,0,0,'Données projet'!$E$14+1,1))</f>
        <v>75.244137291704476</v>
      </c>
      <c r="DU46" s="62">
        <f t="shared" si="44"/>
        <v>366.065475656937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47.771004590163258</v>
      </c>
      <c r="EB46" s="23">
        <f>EXP(-LN(2)/25)*EB45+(1-EXP(-LN(2)/25))/(LN(2)/25)*Calculateur!DW46*Calculateur!DY46*VLOOKUP('Données projet'!$B$14,Paramètres!$A$1:$I$89,3,0)*0.475*44/12</f>
        <v>9.6814880070954406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57.452492597258697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8.4</v>
      </c>
      <c r="EJ46" s="13">
        <f>IF('Données projet'!$A$192&gt;35,EJ45+EI46-ER45,IF(A46&lt;'Données projet'!$A$192,$EG$205^A46,IF(A46='Données projet'!$A$192,'Données projet'!$B$192,EJ45+EI46-ER45)))</f>
        <v>141.20000000000002</v>
      </c>
      <c r="EK46" s="18">
        <f>EJ46*VLOOKUP('Données projet'!$B$15,Paramètres!$A$1:$I$89,3,0)*VLOOKUP('Données projet'!$B$15,Paramètres!$A$1:$I$89,5,0)</f>
        <v>136.56864000000002</v>
      </c>
      <c r="EL46" s="14">
        <f t="shared" si="45"/>
        <v>35.509797430964703</v>
      </c>
      <c r="EM46" s="22">
        <f t="shared" si="19"/>
        <v>299.70327852559689</v>
      </c>
      <c r="EN46" s="62">
        <f t="shared" si="20"/>
        <v>531.20272724627432</v>
      </c>
      <c r="EO46" s="62">
        <f ca="1">AVERAGE(OFFSET($EN$3,0,0,'Données projet'!$E$15+1,1))-AVERAGE(OFFSET($H$3,0,0,'Données projet'!$E$15+1,1))</f>
        <v>452.74627739105745</v>
      </c>
      <c r="EP46" s="62">
        <f t="shared" si="46"/>
        <v>281.80695725575106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8.4</v>
      </c>
      <c r="FE46" s="13">
        <f>IF('Données projet'!$A$218&gt;35,FE45+FD46-FM45,IF(A46&lt;'Données projet'!$A$218,$FB$205^A46,IF(A46='Données projet'!$A$218,'Données projet'!$B$218,FE45+FD46-FM45)))</f>
        <v>141.20000000000002</v>
      </c>
      <c r="FF46" s="18">
        <f>FE46*VLOOKUP('Données projet'!$B$16,Paramètres!$A$1:$I$89,3,0)*VLOOKUP('Données projet'!$B$16,Paramètres!$A$1:$I$89,5,0)</f>
        <v>151.98768000000001</v>
      </c>
      <c r="FG46" s="14">
        <f t="shared" si="47"/>
        <v>39.029946373574369</v>
      </c>
      <c r="FH46" s="22">
        <f t="shared" si="22"/>
        <v>332.68903260064207</v>
      </c>
      <c r="FI46" s="62">
        <f t="shared" si="23"/>
        <v>564.1884813213195</v>
      </c>
      <c r="FJ46" s="62">
        <f ca="1">AVERAGE(OFFSET($FI$3,0,0,'Données projet'!$E$16+1,1))-AVERAGE(OFFSET($H$3,0,0,'Données projet'!$E$16+1,1))</f>
        <v>492.72391755143508</v>
      </c>
      <c r="FK46" s="62">
        <f t="shared" si="48"/>
        <v>304.88554179994355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53.13621328745748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143.77000000000001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6</v>
      </c>
      <c r="N47" s="14">
        <f>IF('Données projet'!$A$36&gt;35,N46+M47-V46,IF(A47&lt;'Données projet'!$A$36,$K$205^A47,IF(A47='Données projet'!$A$36,'Données projet'!$B$36,N46+M47-V46)))</f>
        <v>305.99999999999994</v>
      </c>
      <c r="O47" s="14">
        <f>N47*VLOOKUP('Données projet'!$B$9,Paramètres!$A$1:$I$89,3,0)*VLOOKUP('Données projet'!$B$9,Paramètres!$A$1:$I$89,5,0)</f>
        <v>276.86879999999996</v>
      </c>
      <c r="P47" s="14">
        <f t="shared" si="33"/>
        <v>66.30486383631866</v>
      </c>
      <c r="Q47" s="22">
        <f t="shared" si="53"/>
        <v>597.6941311815882</v>
      </c>
      <c r="R47" s="62">
        <f t="shared" si="0"/>
        <v>830.26625956043904</v>
      </c>
      <c r="S47" s="62">
        <f ca="1">AVERAGE(OFFSET($R$3,0,0,'Données projet'!$E$9+1,1))-AVERAGE(OFFSET($H$3,0,0,'Données projet'!$E$9+1,1))</f>
        <v>388.8309693898596</v>
      </c>
      <c r="T47" s="62">
        <f t="shared" si="34"/>
        <v>549.06702041234382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8.0218132376594351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8.0218132376594351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>
        <f>AI47*VLOOKUP('Données projet'!$B$10,Paramètres!$A$1:$I$89,3,0)*VLOOKUP('Données projet'!$B$10,Paramètres!$A$1:$I$89,5,0)</f>
        <v>6.7984728957526396E-14</v>
      </c>
      <c r="AK47" s="14">
        <f t="shared" si="35"/>
        <v>1.0682447123141398E-12</v>
      </c>
      <c r="AL47" s="22">
        <f t="shared" si="4"/>
        <v>1.978932943548152E-12</v>
      </c>
      <c r="AM47" s="62">
        <f t="shared" si="5"/>
        <v>232.57212837885285</v>
      </c>
      <c r="AN47" s="62">
        <f ca="1">AVERAGE(OFFSET($AM$3,0,0,'Données projet'!$E$10+1,1))-AVERAGE(OFFSET($H$3,0,0,'Données projet'!$E$10+1,1))</f>
        <v>197.85998851681552</v>
      </c>
      <c r="AO47" s="62">
        <f t="shared" si="36"/>
        <v>474.54844785896239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40.409313857328442</v>
      </c>
      <c r="AV47" s="23">
        <f>EXP(-LN(2)/25)*AV46+(1-EXP(-LN(2)/25))/(LN(2)/25)*Calculateur!AQ47*Calculateur!AS47*VLOOKUP('Données projet'!$B$10,Paramètres!$A$1:$I$89,3,0)*0.475*44/12</f>
        <v>29.81057611573107</v>
      </c>
      <c r="AW47" s="23">
        <f>EXP(-LN(2)/2)*AW46+(1-EXP(-LN(2)/2))/(LN(2)/2)*AQ47*AT47*VLOOKUP('Données projet'!$B$10,Paramètres!$A$1:$I$89,3,0)*0.475*44/12</f>
        <v>0.34037019372584731</v>
      </c>
      <c r="AX47" s="23">
        <f t="shared" si="6"/>
        <v>70.560260166785355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1.1368683772161603E-13</v>
      </c>
      <c r="BE47" s="14">
        <f>BD47*VLOOKUP('Données projet'!$B$11,Paramètres!$A$1:$I$89,3,0)*VLOOKUP('Données projet'!$B$11,Paramètres!$A$1:$I$89,5,0)</f>
        <v>6.7984728957526396E-14</v>
      </c>
      <c r="BF47" s="14">
        <f t="shared" si="37"/>
        <v>1.0682447123141398E-12</v>
      </c>
      <c r="BG47" s="22">
        <f t="shared" si="7"/>
        <v>1.978932943548152E-12</v>
      </c>
      <c r="BH47" s="62">
        <f t="shared" si="8"/>
        <v>232.57212837885285</v>
      </c>
      <c r="BI47" s="62">
        <f ca="1">AVERAGE(OFFSET($BH$3,0,0,'Données projet'!$E$11+1,1))-AVERAGE(OFFSET($H$3,0,0,'Données projet'!$E$11+1,1))</f>
        <v>197.85998851681552</v>
      </c>
      <c r="BJ47" s="62">
        <f t="shared" si="38"/>
        <v>474.54844785896239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40.409313857328442</v>
      </c>
      <c r="BQ47" s="23">
        <f>EXP(-LN(2)/25)*BQ46+(1-EXP(-LN(2)/25))/(LN(2)/25)*Calculateur!BL47*Calculateur!BN47*VLOOKUP('Données projet'!$B$11,Paramètres!$A$1:$I$89,3,0)*0.475*44/12</f>
        <v>29.81057611573107</v>
      </c>
      <c r="BR47" s="23">
        <f>EXP(-LN(2)/2)*BR46+(1-EXP(-LN(2)/2))/(LN(2)/2)*BL47*BO47*VLOOKUP('Données projet'!$B$11,Paramètres!$A$1:$I$89,3,0)*0.475*44/12</f>
        <v>0.34037019372584731</v>
      </c>
      <c r="BS47" s="24">
        <f t="shared" si="9"/>
        <v>70.560260166785355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>
        <f>BY47*VLOOKUP('Données projet'!$B$12,Paramètres!$A$1:$I$89,3,0)*VLOOKUP('Données projet'!$B$12,Paramètres!$A$1:$I$89,5,0)</f>
        <v>0</v>
      </c>
      <c r="CA47" s="14" t="e">
        <f t="shared" si="39"/>
        <v>#NUM!</v>
      </c>
      <c r="CB47" s="22" t="e">
        <f t="shared" si="10"/>
        <v>#NUM!</v>
      </c>
      <c r="CC47" s="62" t="e">
        <f t="shared" si="11"/>
        <v>#NUM!</v>
      </c>
      <c r="CD47" s="62">
        <f ca="1">AVERAGE(OFFSET($CC$3,0,0,'Données projet'!$E$12+1,1))-AVERAGE(OFFSET($H$3,0,0,'Données projet'!$E$12+1,1))</f>
        <v>72.97248599808384</v>
      </c>
      <c r="CE47" s="62">
        <f t="shared" si="40"/>
        <v>346.88163654003574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44.04582778033739</v>
      </c>
      <c r="CL47" s="23">
        <f>EXP(-LN(2)/25)*CL46+(1-EXP(-LN(2)/25))/(LN(2)/25)*Calculateur!CG47*Calculateur!CI47*VLOOKUP('Données projet'!$B$12,Paramètres!$A$1:$I$89,3,0)*0.475*44/12</f>
        <v>8.8560930521617625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52.901920832499151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>
        <f>CT47*VLOOKUP('Données projet'!$B$13,Paramètres!$A$1:$I$89,3,0)*VLOOKUP('Données projet'!$B$13,Paramètres!$A$1:$I$89,5,0)</f>
        <v>0</v>
      </c>
      <c r="CV47" s="14" t="e">
        <f t="shared" si="41"/>
        <v>#NUM!</v>
      </c>
      <c r="CW47" s="22" t="e">
        <f t="shared" si="13"/>
        <v>#NUM!</v>
      </c>
      <c r="CX47" s="62" t="e">
        <f t="shared" si="14"/>
        <v>#NUM!</v>
      </c>
      <c r="CY47" s="62">
        <f ca="1">AVERAGE(OFFSET($CX$3,0,0,'Données projet'!$E$13+1,1))-AVERAGE(OFFSET($H$3,0,0,'Données projet'!$E$13+1,1))</f>
        <v>67.303283896086128</v>
      </c>
      <c r="CZ47" s="62">
        <f t="shared" si="42"/>
        <v>318.97925671653547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39.997046953732564</v>
      </c>
      <c r="DG47" s="23">
        <f>EXP(-LN(2)/25)*DG46+(1-EXP(-LN(2)/25))/(LN(2)/25)*Calculateur!DB47*Calculateur!DD47*VLOOKUP('Données projet'!$B$13,Paramètres!$A$1:$I$89,3,0)*0.475*44/12</f>
        <v>8.0420232172833792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48.039070171015943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>
        <f>DO47*VLOOKUP('Données projet'!$B$14,Paramètres!$A$1:$I$89,3,0)*VLOOKUP('Données projet'!$B$14,Paramètres!$A$1:$I$89,5,0)</f>
        <v>0</v>
      </c>
      <c r="DQ47" s="14" t="e">
        <f t="shared" si="43"/>
        <v>#NUM!</v>
      </c>
      <c r="DR47" s="22" t="e">
        <f t="shared" si="16"/>
        <v>#NUM!</v>
      </c>
      <c r="DS47" s="62" t="e">
        <f t="shared" si="17"/>
        <v>#NUM!</v>
      </c>
      <c r="DT47" s="62">
        <f ca="1">AVERAGE(OFFSET($DS$3,0,0,'Données projet'!$E$14+1,1))-AVERAGE(OFFSET($H$3,0,0,'Données projet'!$E$14+1,1))</f>
        <v>75.244137291704476</v>
      </c>
      <c r="DU47" s="62">
        <f t="shared" si="44"/>
        <v>366.065475656937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46.834244327585871</v>
      </c>
      <c r="EB47" s="23">
        <f>EXP(-LN(2)/25)*EB46+(1-EXP(-LN(2)/25))/(LN(2)/25)*Calculateur!DW47*Calculateur!DY47*VLOOKUP('Données projet'!$B$14,Paramètres!$A$1:$I$89,3,0)*0.475*44/12</f>
        <v>9.4167472084140886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56.250991535999958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8.4</v>
      </c>
      <c r="EJ47" s="13">
        <f>IF('Données projet'!$A$192&gt;35,EJ46+EI47-ER46,IF(A47&lt;'Données projet'!$A$192,$EG$205^A47,IF(A47='Données projet'!$A$192,'Données projet'!$B$192,EJ46+EI47-ER46)))</f>
        <v>149.60000000000002</v>
      </c>
      <c r="EK47" s="18">
        <f>EJ47*VLOOKUP('Données projet'!$B$15,Paramètres!$A$1:$I$89,3,0)*VLOOKUP('Données projet'!$B$15,Paramètres!$A$1:$I$89,5,0)</f>
        <v>144.69312000000002</v>
      </c>
      <c r="EL47" s="14">
        <f t="shared" si="45"/>
        <v>37.370061524802772</v>
      </c>
      <c r="EM47" s="22">
        <f t="shared" si="19"/>
        <v>317.09337448903148</v>
      </c>
      <c r="EN47" s="62">
        <f t="shared" si="20"/>
        <v>549.66550286788231</v>
      </c>
      <c r="EO47" s="62">
        <f ca="1">AVERAGE(OFFSET($EN$3,0,0,'Données projet'!$E$15+1,1))-AVERAGE(OFFSET($H$3,0,0,'Données projet'!$E$15+1,1))</f>
        <v>452.74627739105745</v>
      </c>
      <c r="EP47" s="62">
        <f t="shared" si="46"/>
        <v>281.80695725575106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8.4</v>
      </c>
      <c r="FE47" s="13">
        <f>IF('Données projet'!$A$218&gt;35,FE46+FD47-FM46,IF(A47&lt;'Données projet'!$A$218,$FB$205^A47,IF(A47='Données projet'!$A$218,'Données projet'!$B$218,FE46+FD47-FM46)))</f>
        <v>149.60000000000002</v>
      </c>
      <c r="FF47" s="18">
        <f>FE47*VLOOKUP('Données projet'!$B$16,Paramètres!$A$1:$I$89,3,0)*VLOOKUP('Données projet'!$B$16,Paramètres!$A$1:$I$89,5,0)</f>
        <v>161.02944000000002</v>
      </c>
      <c r="FG47" s="14">
        <f t="shared" si="47"/>
        <v>41.074621732940685</v>
      </c>
      <c r="FH47" s="22">
        <f t="shared" si="22"/>
        <v>351.99790751820501</v>
      </c>
      <c r="FI47" s="62">
        <f t="shared" si="23"/>
        <v>584.57003589705585</v>
      </c>
      <c r="FJ47" s="62">
        <f ca="1">AVERAGE(OFFSET($FI$3,0,0,'Données projet'!$E$16+1,1))-AVERAGE(OFFSET($H$3,0,0,'Données projet'!$E$16+1,1))</f>
        <v>492.72391755143508</v>
      </c>
      <c r="FK47" s="62">
        <f t="shared" si="48"/>
        <v>304.88554179994355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53.428762285141147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143.77000000000001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312</v>
      </c>
      <c r="L48" s="13">
        <f>VLOOKUP(A48,'Données projet'!$A$35:$I$55,9,0)</f>
        <v>6</v>
      </c>
      <c r="M48" s="13">
        <f t="array" ref="M48">INDEX(L:L,MIN(IF(ISNUMBER(L48:L244),ROW(L48:L244),"")))</f>
        <v>6</v>
      </c>
      <c r="N48" s="14">
        <f>IF('Données projet'!$A$36&gt;35,N47+M48-V47,IF(A48&lt;'Données projet'!$A$36,$K$205^A48,IF(A48='Données projet'!$A$36,'Données projet'!$B$36,N47+M48-V47)))</f>
        <v>311.99999999999994</v>
      </c>
      <c r="O48" s="14">
        <f>N48*VLOOKUP('Données projet'!$B$9,Paramètres!$A$1:$I$89,3,0)*VLOOKUP('Données projet'!$B$9,Paramètres!$A$1:$I$89,5,0)</f>
        <v>282.29759999999993</v>
      </c>
      <c r="P48" s="14">
        <f t="shared" si="33"/>
        <v>67.452326629470178</v>
      </c>
      <c r="Q48" s="22">
        <f t="shared" si="53"/>
        <v>609.14778887966042</v>
      </c>
      <c r="R48" s="62">
        <f t="shared" si="0"/>
        <v>842.77398832276788</v>
      </c>
      <c r="S48" s="62">
        <f ca="1">AVERAGE(OFFSET($R$3,0,0,'Données projet'!$E$9+1,1))-AVERAGE(OFFSET($H$3,0,0,'Données projet'!$E$9+1,1))</f>
        <v>388.8309693898596</v>
      </c>
      <c r="T48" s="62">
        <f t="shared" si="34"/>
        <v>549.06702041234382</v>
      </c>
      <c r="U48" s="16">
        <f>IF(ISNA(VLOOKUP(A48,'Données projet'!$A$35:$I$55,3,0)),0,VLOOKUP(A48,'Données projet'!$A$35:$I$55,3,0))</f>
        <v>9</v>
      </c>
      <c r="V48" s="16">
        <f>IF(ISNA(VLOOKUP(A48,'Données projet'!$A$35:$I$55,4,0)),0,VLOOKUP(A48,'Données projet'!$A$35:$I$55,4,0))</f>
        <v>312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7.8645103728918828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7.8645103728918828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>
        <f>AI48*VLOOKUP('Données projet'!$B$10,Paramètres!$A$1:$I$89,3,0)*VLOOKUP('Données projet'!$B$10,Paramètres!$A$1:$I$89,5,0)</f>
        <v>6.7984728957526396E-14</v>
      </c>
      <c r="AK48" s="14">
        <f t="shared" si="35"/>
        <v>1.0682447123141398E-12</v>
      </c>
      <c r="AL48" s="22">
        <f t="shared" si="4"/>
        <v>1.978932943548152E-12</v>
      </c>
      <c r="AM48" s="62">
        <f t="shared" si="5"/>
        <v>233.62619944310944</v>
      </c>
      <c r="AN48" s="62">
        <f ca="1">AVERAGE(OFFSET($AM$3,0,0,'Données projet'!$E$10+1,1))-AVERAGE(OFFSET($H$3,0,0,'Données projet'!$E$10+1,1))</f>
        <v>197.85998851681552</v>
      </c>
      <c r="AO48" s="62">
        <f t="shared" si="36"/>
        <v>474.54844785896239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39.616911859833969</v>
      </c>
      <c r="AV48" s="23">
        <f>EXP(-LN(2)/25)*AV47+(1-EXP(-LN(2)/25))/(LN(2)/25)*Calculateur!AQ48*Calculateur!AS48*VLOOKUP('Données projet'!$B$10,Paramètres!$A$1:$I$89,3,0)*0.475*44/12</f>
        <v>28.99540434417634</v>
      </c>
      <c r="AW48" s="23">
        <f>EXP(-LN(2)/2)*AW47+(1-EXP(-LN(2)/2))/(LN(2)/2)*AQ48*AT48*VLOOKUP('Données projet'!$B$10,Paramètres!$A$1:$I$89,3,0)*0.475*44/12</f>
        <v>0.24067807209732553</v>
      </c>
      <c r="AX48" s="23">
        <f t="shared" si="6"/>
        <v>68.852994276107637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1.1368683772161603E-13</v>
      </c>
      <c r="BE48" s="14">
        <f>BD48*VLOOKUP('Données projet'!$B$11,Paramètres!$A$1:$I$89,3,0)*VLOOKUP('Données projet'!$B$11,Paramètres!$A$1:$I$89,5,0)</f>
        <v>6.7984728957526396E-14</v>
      </c>
      <c r="BF48" s="14">
        <f t="shared" si="37"/>
        <v>1.0682447123141398E-12</v>
      </c>
      <c r="BG48" s="22">
        <f t="shared" si="7"/>
        <v>1.978932943548152E-12</v>
      </c>
      <c r="BH48" s="62">
        <f t="shared" si="8"/>
        <v>233.62619944310944</v>
      </c>
      <c r="BI48" s="62">
        <f ca="1">AVERAGE(OFFSET($BH$3,0,0,'Données projet'!$E$11+1,1))-AVERAGE(OFFSET($H$3,0,0,'Données projet'!$E$11+1,1))</f>
        <v>197.85998851681552</v>
      </c>
      <c r="BJ48" s="62">
        <f t="shared" si="38"/>
        <v>474.54844785896239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39.616911859833969</v>
      </c>
      <c r="BQ48" s="23">
        <f>EXP(-LN(2)/25)*BQ47+(1-EXP(-LN(2)/25))/(LN(2)/25)*Calculateur!BL48*Calculateur!BN48*VLOOKUP('Données projet'!$B$11,Paramètres!$A$1:$I$89,3,0)*0.475*44/12</f>
        <v>28.99540434417634</v>
      </c>
      <c r="BR48" s="23">
        <f>EXP(-LN(2)/2)*BR47+(1-EXP(-LN(2)/2))/(LN(2)/2)*BL48*BO48*VLOOKUP('Données projet'!$B$11,Paramètres!$A$1:$I$89,3,0)*0.475*44/12</f>
        <v>0.24067807209732553</v>
      </c>
      <c r="BS48" s="24">
        <f t="shared" si="9"/>
        <v>68.852994276107637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>
        <f>BY48*VLOOKUP('Données projet'!$B$12,Paramètres!$A$1:$I$89,3,0)*VLOOKUP('Données projet'!$B$12,Paramètres!$A$1:$I$89,5,0)</f>
        <v>0</v>
      </c>
      <c r="CA48" s="14" t="e">
        <f t="shared" si="39"/>
        <v>#NUM!</v>
      </c>
      <c r="CB48" s="22" t="e">
        <f t="shared" si="10"/>
        <v>#NUM!</v>
      </c>
      <c r="CC48" s="62" t="e">
        <f t="shared" si="11"/>
        <v>#NUM!</v>
      </c>
      <c r="CD48" s="62">
        <f ca="1">AVERAGE(OFFSET($CC$3,0,0,'Données projet'!$E$12+1,1))-AVERAGE(OFFSET($H$3,0,0,'Données projet'!$E$12+1,1))</f>
        <v>72.97248599808384</v>
      </c>
      <c r="CE48" s="62">
        <f t="shared" si="40"/>
        <v>346.88163654003574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43.182115962867194</v>
      </c>
      <c r="CL48" s="23">
        <f>EXP(-LN(2)/25)*CL47+(1-EXP(-LN(2)/25))/(LN(2)/25)*Calculateur!CG48*Calculateur!CI48*VLOOKUP('Données projet'!$B$12,Paramètres!$A$1:$I$89,3,0)*0.475*44/12</f>
        <v>8.6139227219287058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51.796038684795903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>
        <f>CT48*VLOOKUP('Données projet'!$B$13,Paramètres!$A$1:$I$89,3,0)*VLOOKUP('Données projet'!$B$13,Paramètres!$A$1:$I$89,5,0)</f>
        <v>0</v>
      </c>
      <c r="CV48" s="14" t="e">
        <f t="shared" si="41"/>
        <v>#NUM!</v>
      </c>
      <c r="CW48" s="22" t="e">
        <f t="shared" si="13"/>
        <v>#NUM!</v>
      </c>
      <c r="CX48" s="62" t="e">
        <f t="shared" si="14"/>
        <v>#NUM!</v>
      </c>
      <c r="CY48" s="62">
        <f ca="1">AVERAGE(OFFSET($CX$3,0,0,'Données projet'!$E$13+1,1))-AVERAGE(OFFSET($H$3,0,0,'Données projet'!$E$13+1,1))</f>
        <v>67.303283896086128</v>
      </c>
      <c r="CZ48" s="62">
        <f t="shared" si="42"/>
        <v>318.97925671653547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39.212729258759623</v>
      </c>
      <c r="DG48" s="23">
        <f>EXP(-LN(2)/25)*DG47+(1-EXP(-LN(2)/25))/(LN(2)/25)*Calculateur!DB48*Calculateur!DD48*VLOOKUP('Données projet'!$B$13,Paramètres!$A$1:$I$89,3,0)*0.475*44/12</f>
        <v>7.8221136694951445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47.034842928254768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>
        <f>DO48*VLOOKUP('Données projet'!$B$14,Paramètres!$A$1:$I$89,3,0)*VLOOKUP('Données projet'!$B$14,Paramètres!$A$1:$I$89,5,0)</f>
        <v>0</v>
      </c>
      <c r="DQ48" s="14" t="e">
        <f t="shared" si="43"/>
        <v>#NUM!</v>
      </c>
      <c r="DR48" s="22" t="e">
        <f t="shared" si="16"/>
        <v>#NUM!</v>
      </c>
      <c r="DS48" s="62" t="e">
        <f t="shared" si="17"/>
        <v>#NUM!</v>
      </c>
      <c r="DT48" s="62">
        <f ca="1">AVERAGE(OFFSET($DS$3,0,0,'Données projet'!$E$14+1,1))-AVERAGE(OFFSET($H$3,0,0,'Données projet'!$E$14+1,1))</f>
        <v>75.244137291704476</v>
      </c>
      <c r="DU48" s="62">
        <f t="shared" si="44"/>
        <v>366.065475656937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45.915853362390287</v>
      </c>
      <c r="EB48" s="23">
        <f>EXP(-LN(2)/25)*EB47+(1-EXP(-LN(2)/25))/(LN(2)/25)*Calculateur!DW48*Calculateur!DY48*VLOOKUP('Données projet'!$B$14,Paramètres!$A$1:$I$89,3,0)*0.475*44/12</f>
        <v>9.1592457607947928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55.075099123185083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158</v>
      </c>
      <c r="EH48" s="13">
        <f>VLOOKUP(A48,'Données projet'!$A$191:$I$211,9,0)</f>
        <v>8.4</v>
      </c>
      <c r="EI48" s="13">
        <f t="array" ref="EI48">INDEX(EH:EH,MIN(IF(ISNUMBER(EH48:EH244),ROW(EH48:EH244),"")))</f>
        <v>8.4</v>
      </c>
      <c r="EJ48" s="13">
        <f>IF('Données projet'!$A$192&gt;35,EJ47+EI48-ER47,IF(A48&lt;'Données projet'!$A$192,$EG$205^A48,IF(A48='Données projet'!$A$192,'Données projet'!$B$192,EJ47+EI48-ER47)))</f>
        <v>158.00000000000003</v>
      </c>
      <c r="EK48" s="18">
        <f>EJ48*VLOOKUP('Données projet'!$B$15,Paramètres!$A$1:$I$89,3,0)*VLOOKUP('Données projet'!$B$15,Paramètres!$A$1:$I$89,5,0)</f>
        <v>152.81760000000003</v>
      </c>
      <c r="EL48" s="14">
        <f t="shared" si="45"/>
        <v>39.218200171484227</v>
      </c>
      <c r="EM48" s="22">
        <f t="shared" si="19"/>
        <v>334.46235196533502</v>
      </c>
      <c r="EN48" s="62">
        <f t="shared" si="20"/>
        <v>568.08855140844253</v>
      </c>
      <c r="EO48" s="62">
        <f ca="1">AVERAGE(OFFSET($EN$3,0,0,'Données projet'!$E$15+1,1))-AVERAGE(OFFSET($H$3,0,0,'Données projet'!$E$15+1,1))</f>
        <v>452.74627739105745</v>
      </c>
      <c r="EP48" s="62">
        <f t="shared" si="46"/>
        <v>281.80695725575106</v>
      </c>
      <c r="EQ48" s="16">
        <f>IF(ISNA(VLOOKUP(A48,'Données projet'!$A$191:$I$211,3,0)),0,VLOOKUP(A48,'Données projet'!$A$191:$I$211,3,0))</f>
        <v>5</v>
      </c>
      <c r="ER48" s="16">
        <f>IF(ISNA(VLOOKUP(A48,'Données projet'!$A$191:$I$211,4,0)),0,VLOOKUP(A48,'Données projet'!$A$191:$I$211,4,0))</f>
        <v>21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158</v>
      </c>
      <c r="FC48" s="13">
        <f>VLOOKUP(A48,'Données projet'!$A$217:$I$237,9,0)</f>
        <v>8.4</v>
      </c>
      <c r="FD48" s="13">
        <f t="array" ref="FD48">INDEX(FC:FC,MIN(IF(ISNUMBER(FC48:FC244),ROW(FC48:FC244),"")))</f>
        <v>8.4</v>
      </c>
      <c r="FE48" s="13">
        <f>IF('Données projet'!$A$218&gt;35,FE47+FD48-FM47,IF(A48&lt;'Données projet'!$A$218,$FB$205^A48,IF(A48='Données projet'!$A$218,'Données projet'!$B$218,FE47+FD48-FM47)))</f>
        <v>158.00000000000003</v>
      </c>
      <c r="FF48" s="18">
        <f>FE48*VLOOKUP('Données projet'!$B$16,Paramètres!$A$1:$I$89,3,0)*VLOOKUP('Données projet'!$B$16,Paramètres!$A$1:$I$89,5,0)</f>
        <v>170.07120000000003</v>
      </c>
      <c r="FG48" s="14">
        <f t="shared" si="47"/>
        <v>43.10596962815594</v>
      </c>
      <c r="FH48" s="22">
        <f t="shared" si="22"/>
        <v>371.28357043570503</v>
      </c>
      <c r="FI48" s="62">
        <f t="shared" si="23"/>
        <v>604.90976987881254</v>
      </c>
      <c r="FJ48" s="62">
        <f ca="1">AVERAGE(OFFSET($FI$3,0,0,'Données projet'!$E$16+1,1))-AVERAGE(OFFSET($H$3,0,0,'Données projet'!$E$16+1,1))</f>
        <v>492.72391755143508</v>
      </c>
      <c r="FK48" s="62">
        <f t="shared" si="48"/>
        <v>304.88554179994355</v>
      </c>
      <c r="FL48" s="16">
        <f>IF(ISNA(VLOOKUP(A48,'Données projet'!$A$217:$I$237,3,0)),0,VLOOKUP(A48,'Données projet'!$A$217:$I$237,3,0))</f>
        <v>5</v>
      </c>
      <c r="FM48" s="16">
        <f>IF(ISNA(VLOOKUP(A48,'Données projet'!$A$217:$I$237,4,0)),0,VLOOKUP(A48,'Données projet'!$A$217:$I$237,4,0))</f>
        <v>21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53.716236211756573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143.77000000000001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-5.6843418860808015E-14</v>
      </c>
      <c r="O49" s="14">
        <f>N49*VLOOKUP('Données projet'!$B$9,Paramètres!$A$1:$I$89,3,0)*VLOOKUP('Données projet'!$B$9,Paramètres!$A$1:$I$89,5,0)</f>
        <v>-5.1431925385259088E-14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388.8309693898596</v>
      </c>
      <c r="T49" s="62">
        <f t="shared" si="34"/>
        <v>549.06702041234382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7.7102921213571483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7.7102921213571483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>
        <f>AI49*VLOOKUP('Données projet'!$B$10,Paramètres!$A$1:$I$89,3,0)*VLOOKUP('Données projet'!$B$10,Paramètres!$A$1:$I$89,5,0)</f>
        <v>6.7984728957526396E-14</v>
      </c>
      <c r="AK49" s="14">
        <f t="shared" si="35"/>
        <v>1.0682447123141398E-12</v>
      </c>
      <c r="AL49" s="22">
        <f t="shared" si="4"/>
        <v>1.978932943548152E-12</v>
      </c>
      <c r="AM49" s="62">
        <f t="shared" si="5"/>
        <v>234.66198473095099</v>
      </c>
      <c r="AN49" s="62">
        <f ca="1">AVERAGE(OFFSET($AM$3,0,0,'Données projet'!$E$10+1,1))-AVERAGE(OFFSET($H$3,0,0,'Données projet'!$E$10+1,1))</f>
        <v>197.85998851681552</v>
      </c>
      <c r="AO49" s="62">
        <f t="shared" si="36"/>
        <v>474.54844785896239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38.840048382192869</v>
      </c>
      <c r="AV49" s="23">
        <f>EXP(-LN(2)/25)*AV48+(1-EXP(-LN(2)/25))/(LN(2)/25)*Calculateur!AQ49*Calculateur!AS49*VLOOKUP('Données projet'!$B$10,Paramètres!$A$1:$I$89,3,0)*0.475*44/12</f>
        <v>28.202523487582791</v>
      </c>
      <c r="AW49" s="23">
        <f>EXP(-LN(2)/2)*AW48+(1-EXP(-LN(2)/2))/(LN(2)/2)*AQ49*AT49*VLOOKUP('Données projet'!$B$10,Paramètres!$A$1:$I$89,3,0)*0.475*44/12</f>
        <v>0.17018509686292368</v>
      </c>
      <c r="AX49" s="23">
        <f t="shared" si="6"/>
        <v>67.21275696663858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1.1368683772161603E-13</v>
      </c>
      <c r="BE49" s="14">
        <f>BD49*VLOOKUP('Données projet'!$B$11,Paramètres!$A$1:$I$89,3,0)*VLOOKUP('Données projet'!$B$11,Paramètres!$A$1:$I$89,5,0)</f>
        <v>6.7984728957526396E-14</v>
      </c>
      <c r="BF49" s="14">
        <f t="shared" si="37"/>
        <v>1.0682447123141398E-12</v>
      </c>
      <c r="BG49" s="22">
        <f t="shared" si="7"/>
        <v>1.978932943548152E-12</v>
      </c>
      <c r="BH49" s="62">
        <f t="shared" si="8"/>
        <v>234.66198473095099</v>
      </c>
      <c r="BI49" s="62">
        <f ca="1">AVERAGE(OFFSET($BH$3,0,0,'Données projet'!$E$11+1,1))-AVERAGE(OFFSET($H$3,0,0,'Données projet'!$E$11+1,1))</f>
        <v>197.85998851681552</v>
      </c>
      <c r="BJ49" s="62">
        <f t="shared" si="38"/>
        <v>474.54844785896239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38.840048382192869</v>
      </c>
      <c r="BQ49" s="23">
        <f>EXP(-LN(2)/25)*BQ48+(1-EXP(-LN(2)/25))/(LN(2)/25)*Calculateur!BL49*Calculateur!BN49*VLOOKUP('Données projet'!$B$11,Paramètres!$A$1:$I$89,3,0)*0.475*44/12</f>
        <v>28.202523487582791</v>
      </c>
      <c r="BR49" s="23">
        <f>EXP(-LN(2)/2)*BR48+(1-EXP(-LN(2)/2))/(LN(2)/2)*BL49*BO49*VLOOKUP('Données projet'!$B$11,Paramètres!$A$1:$I$89,3,0)*0.475*44/12</f>
        <v>0.17018509686292368</v>
      </c>
      <c r="BS49" s="24">
        <f t="shared" si="9"/>
        <v>67.21275696663858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>
        <f>BY49*VLOOKUP('Données projet'!$B$12,Paramètres!$A$1:$I$89,3,0)*VLOOKUP('Données projet'!$B$12,Paramètres!$A$1:$I$89,5,0)</f>
        <v>0</v>
      </c>
      <c r="CA49" s="14" t="e">
        <f t="shared" si="39"/>
        <v>#NUM!</v>
      </c>
      <c r="CB49" s="22" t="e">
        <f t="shared" si="10"/>
        <v>#NUM!</v>
      </c>
      <c r="CC49" s="62" t="e">
        <f t="shared" si="11"/>
        <v>#NUM!</v>
      </c>
      <c r="CD49" s="62">
        <f ca="1">AVERAGE(OFFSET($CC$3,0,0,'Données projet'!$E$12+1,1))-AVERAGE(OFFSET($H$3,0,0,'Données projet'!$E$12+1,1))</f>
        <v>72.97248599808384</v>
      </c>
      <c r="CE49" s="62">
        <f t="shared" si="40"/>
        <v>346.88163654003574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42.335341007325397</v>
      </c>
      <c r="CL49" s="23">
        <f>EXP(-LN(2)/25)*CL48+(1-EXP(-LN(2)/25))/(LN(2)/25)*Calculateur!CG49*Calculateur!CI49*VLOOKUP('Données projet'!$B$12,Paramètres!$A$1:$I$89,3,0)*0.475*44/12</f>
        <v>8.3783745521110564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50.713715559436451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>
        <f>CT49*VLOOKUP('Données projet'!$B$13,Paramètres!$A$1:$I$89,3,0)*VLOOKUP('Données projet'!$B$13,Paramètres!$A$1:$I$89,5,0)</f>
        <v>0</v>
      </c>
      <c r="CV49" s="14" t="e">
        <f t="shared" si="41"/>
        <v>#NUM!</v>
      </c>
      <c r="CW49" s="22" t="e">
        <f t="shared" si="13"/>
        <v>#NUM!</v>
      </c>
      <c r="CX49" s="62" t="e">
        <f t="shared" si="14"/>
        <v>#NUM!</v>
      </c>
      <c r="CY49" s="62">
        <f ca="1">AVERAGE(OFFSET($CX$3,0,0,'Données projet'!$E$13+1,1))-AVERAGE(OFFSET($H$3,0,0,'Données projet'!$E$13+1,1))</f>
        <v>67.303283896086128</v>
      </c>
      <c r="CZ49" s="62">
        <f t="shared" si="42"/>
        <v>318.97925671653547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38.443791555398548</v>
      </c>
      <c r="DG49" s="23">
        <f>EXP(-LN(2)/25)*DG48+(1-EXP(-LN(2)/25))/(LN(2)/25)*Calculateur!DB49*Calculateur!DD49*VLOOKUP('Données projet'!$B$13,Paramètres!$A$1:$I$89,3,0)*0.475*44/12</f>
        <v>7.6082175598557198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46.052009115254265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>
        <f>DO49*VLOOKUP('Données projet'!$B$14,Paramètres!$A$1:$I$89,3,0)*VLOOKUP('Données projet'!$B$14,Paramètres!$A$1:$I$89,5,0)</f>
        <v>0</v>
      </c>
      <c r="DQ49" s="14" t="e">
        <f t="shared" si="43"/>
        <v>#NUM!</v>
      </c>
      <c r="DR49" s="22" t="e">
        <f t="shared" si="16"/>
        <v>#NUM!</v>
      </c>
      <c r="DS49" s="62" t="e">
        <f t="shared" si="17"/>
        <v>#NUM!</v>
      </c>
      <c r="DT49" s="62">
        <f ca="1">AVERAGE(OFFSET($DS$3,0,0,'Données projet'!$E$14+1,1))-AVERAGE(OFFSET($H$3,0,0,'Données projet'!$E$14+1,1))</f>
        <v>75.244137291704476</v>
      </c>
      <c r="DU49" s="62">
        <f t="shared" si="44"/>
        <v>366.065475656937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45.01547148385901</v>
      </c>
      <c r="EB49" s="23">
        <f>EXP(-LN(2)/25)*EB48+(1-EXP(-LN(2)/25))/(LN(2)/25)*Calculateur!DW49*Calculateur!DY49*VLOOKUP('Données projet'!$B$14,Paramètres!$A$1:$I$89,3,0)*0.475*44/12</f>
        <v>8.9087857038020584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53.92425718766107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8.4</v>
      </c>
      <c r="EJ49" s="13">
        <f>IF('Données projet'!$A$192&gt;35,EJ48+EI49-ER48,IF(A49&lt;'Données projet'!$A$192,$EG$205^A49,IF(A49='Données projet'!$A$192,'Données projet'!$B$192,EJ48+EI49-ER48)))</f>
        <v>145.40000000000003</v>
      </c>
      <c r="EK49" s="18">
        <f>EJ49*VLOOKUP('Données projet'!$B$15,Paramètres!$A$1:$I$89,3,0)*VLOOKUP('Données projet'!$B$15,Paramètres!$A$1:$I$89,5,0)</f>
        <v>140.63088000000005</v>
      </c>
      <c r="EL49" s="14">
        <f t="shared" si="45"/>
        <v>36.441493403146445</v>
      </c>
      <c r="EM49" s="22">
        <f t="shared" si="19"/>
        <v>308.40105034381344</v>
      </c>
      <c r="EN49" s="62">
        <f t="shared" si="20"/>
        <v>543.06303507476241</v>
      </c>
      <c r="EO49" s="62">
        <f ca="1">AVERAGE(OFFSET($EN$3,0,0,'Données projet'!$E$15+1,1))-AVERAGE(OFFSET($H$3,0,0,'Données projet'!$E$15+1,1))</f>
        <v>452.74627739105745</v>
      </c>
      <c r="EP49" s="62">
        <f t="shared" si="46"/>
        <v>281.80695725575106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8.4</v>
      </c>
      <c r="FE49" s="13">
        <f>IF('Données projet'!$A$218&gt;35,FE48+FD49-FM48,IF(A49&lt;'Données projet'!$A$218,$FB$205^A49,IF(A49='Données projet'!$A$218,'Données projet'!$B$218,FE48+FD49-FM48)))</f>
        <v>145.40000000000003</v>
      </c>
      <c r="FF49" s="18">
        <f>FE49*VLOOKUP('Données projet'!$B$16,Paramètres!$A$1:$I$89,3,0)*VLOOKUP('Données projet'!$B$16,Paramètres!$A$1:$I$89,5,0)</f>
        <v>156.50856000000005</v>
      </c>
      <c r="FG49" s="14">
        <f t="shared" si="47"/>
        <v>40.054003013194027</v>
      </c>
      <c r="FH49" s="22">
        <f t="shared" si="22"/>
        <v>342.34646391464634</v>
      </c>
      <c r="FI49" s="62">
        <f t="shared" si="23"/>
        <v>577.00844864559531</v>
      </c>
      <c r="FJ49" s="62">
        <f ca="1">AVERAGE(OFFSET($FI$3,0,0,'Données projet'!$E$16+1,1))-AVERAGE(OFFSET($H$3,0,0,'Données projet'!$E$16+1,1))</f>
        <v>492.72391755143508</v>
      </c>
      <c r="FK49" s="62">
        <f t="shared" si="48"/>
        <v>304.88554179994355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53.998723108440636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143.77000000000001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-5.6843418860808015E-14</v>
      </c>
      <c r="O50" s="14">
        <f>N50*VLOOKUP('Données projet'!$B$9,Paramètres!$A$1:$I$89,3,0)*VLOOKUP('Données projet'!$B$9,Paramètres!$A$1:$I$89,5,0)</f>
        <v>-5.1431925385259088E-14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388.8309693898596</v>
      </c>
      <c r="T50" s="62">
        <f t="shared" si="34"/>
        <v>549.06702041234382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7.5590979956711646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7.5590979956711646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>
        <f>AI50*VLOOKUP('Données projet'!$B$10,Paramètres!$A$1:$I$89,3,0)*VLOOKUP('Données projet'!$B$10,Paramètres!$A$1:$I$89,5,0)</f>
        <v>6.7984728957526396E-14</v>
      </c>
      <c r="AK50" s="14">
        <f t="shared" si="35"/>
        <v>1.0682447123141398E-12</v>
      </c>
      <c r="AL50" s="22">
        <f t="shared" si="4"/>
        <v>1.978932943548152E-12</v>
      </c>
      <c r="AM50" s="62">
        <f t="shared" si="5"/>
        <v>235.67980145971754</v>
      </c>
      <c r="AN50" s="62">
        <f ca="1">AVERAGE(OFFSET($AM$3,0,0,'Données projet'!$E$10+1,1))-AVERAGE(OFFSET($H$3,0,0,'Données projet'!$E$10+1,1))</f>
        <v>197.85998851681552</v>
      </c>
      <c r="AO50" s="62">
        <f t="shared" si="36"/>
        <v>474.54844785896239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38.078418723508378</v>
      </c>
      <c r="AV50" s="23">
        <f>EXP(-LN(2)/25)*AV49+(1-EXP(-LN(2)/25))/(LN(2)/25)*Calculateur!AQ50*Calculateur!AS50*VLOOKUP('Données projet'!$B$10,Paramètres!$A$1:$I$89,3,0)*0.475*44/12</f>
        <v>27.431323999708589</v>
      </c>
      <c r="AW50" s="23">
        <f>EXP(-LN(2)/2)*AW49+(1-EXP(-LN(2)/2))/(LN(2)/2)*AQ50*AT50*VLOOKUP('Données projet'!$B$10,Paramètres!$A$1:$I$89,3,0)*0.475*44/12</f>
        <v>0.12033903604866278</v>
      </c>
      <c r="AX50" s="23">
        <f t="shared" si="6"/>
        <v>65.630081759265622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1.1368683772161603E-13</v>
      </c>
      <c r="BE50" s="14">
        <f>BD50*VLOOKUP('Données projet'!$B$11,Paramètres!$A$1:$I$89,3,0)*VLOOKUP('Données projet'!$B$11,Paramètres!$A$1:$I$89,5,0)</f>
        <v>6.7984728957526396E-14</v>
      </c>
      <c r="BF50" s="14">
        <f t="shared" si="37"/>
        <v>1.0682447123141398E-12</v>
      </c>
      <c r="BG50" s="22">
        <f t="shared" si="7"/>
        <v>1.978932943548152E-12</v>
      </c>
      <c r="BH50" s="62">
        <f t="shared" si="8"/>
        <v>235.67980145971754</v>
      </c>
      <c r="BI50" s="62">
        <f ca="1">AVERAGE(OFFSET($BH$3,0,0,'Données projet'!$E$11+1,1))-AVERAGE(OFFSET($H$3,0,0,'Données projet'!$E$11+1,1))</f>
        <v>197.85998851681552</v>
      </c>
      <c r="BJ50" s="62">
        <f t="shared" si="38"/>
        <v>474.54844785896239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38.078418723508378</v>
      </c>
      <c r="BQ50" s="23">
        <f>EXP(-LN(2)/25)*BQ49+(1-EXP(-LN(2)/25))/(LN(2)/25)*Calculateur!BL50*Calculateur!BN50*VLOOKUP('Données projet'!$B$11,Paramètres!$A$1:$I$89,3,0)*0.475*44/12</f>
        <v>27.431323999708589</v>
      </c>
      <c r="BR50" s="23">
        <f>EXP(-LN(2)/2)*BR49+(1-EXP(-LN(2)/2))/(LN(2)/2)*BL50*BO50*VLOOKUP('Données projet'!$B$11,Paramètres!$A$1:$I$89,3,0)*0.475*44/12</f>
        <v>0.12033903604866278</v>
      </c>
      <c r="BS50" s="24">
        <f t="shared" si="9"/>
        <v>65.630081759265622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>
        <f>BY50*VLOOKUP('Données projet'!$B$12,Paramètres!$A$1:$I$89,3,0)*VLOOKUP('Données projet'!$B$12,Paramètres!$A$1:$I$89,5,0)</f>
        <v>0</v>
      </c>
      <c r="CA50" s="14" t="e">
        <f t="shared" si="39"/>
        <v>#NUM!</v>
      </c>
      <c r="CB50" s="22" t="e">
        <f t="shared" si="10"/>
        <v>#NUM!</v>
      </c>
      <c r="CC50" s="62" t="e">
        <f t="shared" si="11"/>
        <v>#NUM!</v>
      </c>
      <c r="CD50" s="62">
        <f ca="1">AVERAGE(OFFSET($CC$3,0,0,'Données projet'!$E$12+1,1))-AVERAGE(OFFSET($H$3,0,0,'Données projet'!$E$12+1,1))</f>
        <v>72.97248599808384</v>
      </c>
      <c r="CE50" s="62">
        <f t="shared" si="40"/>
        <v>346.88163654003574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41.505170792180046</v>
      </c>
      <c r="CL50" s="23">
        <f>EXP(-LN(2)/25)*CL49+(1-EXP(-LN(2)/25))/(LN(2)/25)*Calculateur!CG50*Calculateur!CI50*VLOOKUP('Données projet'!$B$12,Paramètres!$A$1:$I$89,3,0)*0.475*44/12</f>
        <v>8.1492674593840118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49.654438251564059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>
        <f>CT50*VLOOKUP('Données projet'!$B$13,Paramètres!$A$1:$I$89,3,0)*VLOOKUP('Données projet'!$B$13,Paramètres!$A$1:$I$89,5,0)</f>
        <v>0</v>
      </c>
      <c r="CV50" s="14" t="e">
        <f t="shared" si="41"/>
        <v>#NUM!</v>
      </c>
      <c r="CW50" s="22" t="e">
        <f t="shared" si="13"/>
        <v>#NUM!</v>
      </c>
      <c r="CX50" s="62" t="e">
        <f t="shared" si="14"/>
        <v>#NUM!</v>
      </c>
      <c r="CY50" s="62">
        <f ca="1">AVERAGE(OFFSET($CX$3,0,0,'Données projet'!$E$13+1,1))-AVERAGE(OFFSET($H$3,0,0,'Données projet'!$E$13+1,1))</f>
        <v>67.303283896086128</v>
      </c>
      <c r="CZ50" s="62">
        <f t="shared" si="42"/>
        <v>318.97925671653547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37.689932251394694</v>
      </c>
      <c r="DG50" s="23">
        <f>EXP(-LN(2)/25)*DG49+(1-EXP(-LN(2)/25))/(LN(2)/25)*Calculateur!DB50*Calculateur!DD50*VLOOKUP('Données projet'!$B$13,Paramètres!$A$1:$I$89,3,0)*0.475*44/12</f>
        <v>7.4001704505826922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45.090102701977386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>
        <f>DO50*VLOOKUP('Données projet'!$B$14,Paramètres!$A$1:$I$89,3,0)*VLOOKUP('Données projet'!$B$14,Paramètres!$A$1:$I$89,5,0)</f>
        <v>0</v>
      </c>
      <c r="DQ50" s="14" t="e">
        <f t="shared" si="43"/>
        <v>#NUM!</v>
      </c>
      <c r="DR50" s="22" t="e">
        <f t="shared" si="16"/>
        <v>#NUM!</v>
      </c>
      <c r="DS50" s="62" t="e">
        <f t="shared" si="17"/>
        <v>#NUM!</v>
      </c>
      <c r="DT50" s="62">
        <f ca="1">AVERAGE(OFFSET($DS$3,0,0,'Données projet'!$E$14+1,1))-AVERAGE(OFFSET($H$3,0,0,'Données projet'!$E$14+1,1))</f>
        <v>75.244137291704476</v>
      </c>
      <c r="DU50" s="62">
        <f t="shared" si="44"/>
        <v>366.065475656937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44.132745544787014</v>
      </c>
      <c r="EB50" s="23">
        <f>EXP(-LN(2)/25)*EB49+(1-EXP(-LN(2)/25))/(LN(2)/25)*Calculateur!DW50*Calculateur!DY50*VLOOKUP('Données projet'!$B$14,Paramètres!$A$1:$I$89,3,0)*0.475*44/12</f>
        <v>8.665174490238913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52.797920035025925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8.4</v>
      </c>
      <c r="EJ50" s="13">
        <f>IF('Données projet'!$A$192&gt;35,EJ49+EI50-ER49,IF(A50&lt;'Données projet'!$A$192,$EG$205^A50,IF(A50='Données projet'!$A$192,'Données projet'!$B$192,EJ49+EI50-ER49)))</f>
        <v>153.80000000000004</v>
      </c>
      <c r="EK50" s="18">
        <f>EJ50*VLOOKUP('Données projet'!$B$15,Paramètres!$A$1:$I$89,3,0)*VLOOKUP('Données projet'!$B$15,Paramètres!$A$1:$I$89,5,0)</f>
        <v>148.75536000000005</v>
      </c>
      <c r="EL50" s="14">
        <f t="shared" si="45"/>
        <v>38.295599697511591</v>
      </c>
      <c r="EM50" s="22">
        <f t="shared" si="19"/>
        <v>325.78042147316609</v>
      </c>
      <c r="EN50" s="62">
        <f t="shared" si="20"/>
        <v>561.46022293288161</v>
      </c>
      <c r="EO50" s="62">
        <f ca="1">AVERAGE(OFFSET($EN$3,0,0,'Données projet'!$E$15+1,1))-AVERAGE(OFFSET($H$3,0,0,'Données projet'!$E$15+1,1))</f>
        <v>452.74627739105745</v>
      </c>
      <c r="EP50" s="62">
        <f t="shared" si="46"/>
        <v>281.80695725575106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8.4</v>
      </c>
      <c r="FE50" s="13">
        <f>IF('Données projet'!$A$218&gt;35,FE49+FD50-FM49,IF(A50&lt;'Données projet'!$A$218,$FB$205^A50,IF(A50='Données projet'!$A$218,'Données projet'!$B$218,FE49+FD50-FM49)))</f>
        <v>153.80000000000004</v>
      </c>
      <c r="FF50" s="18">
        <f>FE50*VLOOKUP('Données projet'!$B$16,Paramètres!$A$1:$I$89,3,0)*VLOOKUP('Données projet'!$B$16,Paramètres!$A$1:$I$89,5,0)</f>
        <v>165.55032000000003</v>
      </c>
      <c r="FG50" s="14">
        <f t="shared" si="47"/>
        <v>42.091910139548794</v>
      </c>
      <c r="FH50" s="22">
        <f t="shared" si="22"/>
        <v>361.64355082638082</v>
      </c>
      <c r="FI50" s="62">
        <f t="shared" si="23"/>
        <v>597.32335228609634</v>
      </c>
      <c r="FJ50" s="62">
        <f ca="1">AVERAGE(OFFSET($FI$3,0,0,'Données projet'!$E$16+1,1))-AVERAGE(OFFSET($H$3,0,0,'Données projet'!$E$16+1,1))</f>
        <v>492.72391755143508</v>
      </c>
      <c r="FK50" s="62">
        <f t="shared" si="48"/>
        <v>304.88554179994355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54.276309489013322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143.77000000000001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-5.6843418860808015E-14</v>
      </c>
      <c r="O51" s="14">
        <f>N51*VLOOKUP('Données projet'!$B$9,Paramètres!$A$1:$I$89,3,0)*VLOOKUP('Données projet'!$B$9,Paramètres!$A$1:$I$89,5,0)</f>
        <v>-5.1431925385259088E-14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388.8309693898596</v>
      </c>
      <c r="T51" s="62">
        <f t="shared" si="34"/>
        <v>549.06702041234382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7.4108686945705724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7.4108686945705724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>
        <f>AI51*VLOOKUP('Données projet'!$B$10,Paramètres!$A$1:$I$89,3,0)*VLOOKUP('Données projet'!$B$10,Paramètres!$A$1:$I$89,5,0)</f>
        <v>6.7984728957526396E-14</v>
      </c>
      <c r="AK51" s="14">
        <f t="shared" si="35"/>
        <v>1.0682447123141398E-12</v>
      </c>
      <c r="AL51" s="22">
        <f t="shared" si="4"/>
        <v>1.978932943548152E-12</v>
      </c>
      <c r="AM51" s="62">
        <f t="shared" si="5"/>
        <v>236.67996134373718</v>
      </c>
      <c r="AN51" s="62">
        <f ca="1">AVERAGE(OFFSET($AM$3,0,0,'Données projet'!$E$10+1,1))-AVERAGE(OFFSET($H$3,0,0,'Données projet'!$E$10+1,1))</f>
        <v>197.85998851681552</v>
      </c>
      <c r="AO51" s="62">
        <f t="shared" si="36"/>
        <v>474.54844785896239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37.331724157882469</v>
      </c>
      <c r="AV51" s="23">
        <f>EXP(-LN(2)/25)*AV50+(1-EXP(-LN(2)/25))/(LN(2)/25)*Calculateur!AQ51*Calculateur!AS51*VLOOKUP('Données projet'!$B$10,Paramètres!$A$1:$I$89,3,0)*0.475*44/12</f>
        <v>26.681213002385924</v>
      </c>
      <c r="AW51" s="23">
        <f>EXP(-LN(2)/2)*AW50+(1-EXP(-LN(2)/2))/(LN(2)/2)*AQ51*AT51*VLOOKUP('Données projet'!$B$10,Paramètres!$A$1:$I$89,3,0)*0.475*44/12</f>
        <v>8.5092548431461856E-2</v>
      </c>
      <c r="AX51" s="23">
        <f t="shared" si="6"/>
        <v>64.098029708699855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1.1368683772161603E-13</v>
      </c>
      <c r="BE51" s="14">
        <f>BD51*VLOOKUP('Données projet'!$B$11,Paramètres!$A$1:$I$89,3,0)*VLOOKUP('Données projet'!$B$11,Paramètres!$A$1:$I$89,5,0)</f>
        <v>6.7984728957526396E-14</v>
      </c>
      <c r="BF51" s="14">
        <f t="shared" si="37"/>
        <v>1.0682447123141398E-12</v>
      </c>
      <c r="BG51" s="22">
        <f t="shared" si="7"/>
        <v>1.978932943548152E-12</v>
      </c>
      <c r="BH51" s="62">
        <f t="shared" si="8"/>
        <v>236.67996134373718</v>
      </c>
      <c r="BI51" s="62">
        <f ca="1">AVERAGE(OFFSET($BH$3,0,0,'Données projet'!$E$11+1,1))-AVERAGE(OFFSET($H$3,0,0,'Données projet'!$E$11+1,1))</f>
        <v>197.85998851681552</v>
      </c>
      <c r="BJ51" s="62">
        <f t="shared" si="38"/>
        <v>474.54844785896239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37.331724157882469</v>
      </c>
      <c r="BQ51" s="23">
        <f>EXP(-LN(2)/25)*BQ50+(1-EXP(-LN(2)/25))/(LN(2)/25)*Calculateur!BL51*Calculateur!BN51*VLOOKUP('Données projet'!$B$11,Paramètres!$A$1:$I$89,3,0)*0.475*44/12</f>
        <v>26.681213002385924</v>
      </c>
      <c r="BR51" s="23">
        <f>EXP(-LN(2)/2)*BR50+(1-EXP(-LN(2)/2))/(LN(2)/2)*BL51*BO51*VLOOKUP('Données projet'!$B$11,Paramètres!$A$1:$I$89,3,0)*0.475*44/12</f>
        <v>8.5092548431461856E-2</v>
      </c>
      <c r="BS51" s="24">
        <f t="shared" si="9"/>
        <v>64.098029708699855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>
        <f>BY51*VLOOKUP('Données projet'!$B$12,Paramètres!$A$1:$I$89,3,0)*VLOOKUP('Données projet'!$B$12,Paramètres!$A$1:$I$89,5,0)</f>
        <v>0</v>
      </c>
      <c r="CA51" s="14" t="e">
        <f t="shared" si="39"/>
        <v>#NUM!</v>
      </c>
      <c r="CB51" s="22" t="e">
        <f t="shared" si="10"/>
        <v>#NUM!</v>
      </c>
      <c r="CC51" s="62" t="e">
        <f t="shared" si="11"/>
        <v>#NUM!</v>
      </c>
      <c r="CD51" s="62">
        <f ca="1">AVERAGE(OFFSET($CC$3,0,0,'Données projet'!$E$12+1,1))-AVERAGE(OFFSET($H$3,0,0,'Données projet'!$E$12+1,1))</f>
        <v>72.97248599808384</v>
      </c>
      <c r="CE51" s="62">
        <f t="shared" si="40"/>
        <v>346.88163654003574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40.691279708599865</v>
      </c>
      <c r="CL51" s="23">
        <f>EXP(-LN(2)/25)*CL50+(1-EXP(-LN(2)/25))/(LN(2)/25)*Calculateur!CG51*Calculateur!CI51*VLOOKUP('Données projet'!$B$12,Paramètres!$A$1:$I$89,3,0)*0.475*44/12</f>
        <v>7.9264253121558053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48.617705020755672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>
        <f>CT51*VLOOKUP('Données projet'!$B$13,Paramètres!$A$1:$I$89,3,0)*VLOOKUP('Données projet'!$B$13,Paramètres!$A$1:$I$89,5,0)</f>
        <v>0</v>
      </c>
      <c r="CV51" s="14" t="e">
        <f t="shared" si="41"/>
        <v>#NUM!</v>
      </c>
      <c r="CW51" s="22" t="e">
        <f t="shared" si="13"/>
        <v>#NUM!</v>
      </c>
      <c r="CX51" s="62" t="e">
        <f t="shared" si="14"/>
        <v>#NUM!</v>
      </c>
      <c r="CY51" s="62">
        <f ca="1">AVERAGE(OFFSET($CX$3,0,0,'Données projet'!$E$13+1,1))-AVERAGE(OFFSET($H$3,0,0,'Données projet'!$E$13+1,1))</f>
        <v>67.303283896086128</v>
      </c>
      <c r="CZ51" s="62">
        <f t="shared" si="42"/>
        <v>318.97925671653547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36.950855668533585</v>
      </c>
      <c r="DG51" s="23">
        <f>EXP(-LN(2)/25)*DG50+(1-EXP(-LN(2)/25))/(LN(2)/25)*Calculateur!DB51*Calculateur!DD51*VLOOKUP('Données projet'!$B$13,Paramètres!$A$1:$I$89,3,0)*0.475*44/12</f>
        <v>7.1978124004534578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44.148668068987043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>
        <f>DO51*VLOOKUP('Données projet'!$B$14,Paramètres!$A$1:$I$89,3,0)*VLOOKUP('Données projet'!$B$14,Paramètres!$A$1:$I$89,5,0)</f>
        <v>0</v>
      </c>
      <c r="DQ51" s="14" t="e">
        <f t="shared" si="43"/>
        <v>#NUM!</v>
      </c>
      <c r="DR51" s="22" t="e">
        <f t="shared" si="16"/>
        <v>#NUM!</v>
      </c>
      <c r="DS51" s="62" t="e">
        <f t="shared" si="17"/>
        <v>#NUM!</v>
      </c>
      <c r="DT51" s="62">
        <f ca="1">AVERAGE(OFFSET($DS$3,0,0,'Données projet'!$E$14+1,1))-AVERAGE(OFFSET($H$3,0,0,'Données projet'!$E$14+1,1))</f>
        <v>75.244137291704476</v>
      </c>
      <c r="DU51" s="62">
        <f t="shared" si="44"/>
        <v>366.065475656937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43.267329322970561</v>
      </c>
      <c r="EB51" s="23">
        <f>EXP(-LN(2)/25)*EB50+(1-EXP(-LN(2)/25))/(LN(2)/25)*Calculateur!DW51*Calculateur!DY51*VLOOKUP('Données projet'!$B$14,Paramètres!$A$1:$I$89,3,0)*0.475*44/12</f>
        <v>8.4282248381216078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51.695554161092168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8.4</v>
      </c>
      <c r="EJ51" s="13">
        <f>IF('Données projet'!$A$192&gt;35,EJ50+EI51-ER50,IF(A51&lt;'Données projet'!$A$192,$EG$205^A51,IF(A51='Données projet'!$A$192,'Données projet'!$B$192,EJ50+EI51-ER50)))</f>
        <v>162.20000000000005</v>
      </c>
      <c r="EK51" s="18">
        <f>EJ51*VLOOKUP('Données projet'!$B$15,Paramètres!$A$1:$I$89,3,0)*VLOOKUP('Données projet'!$B$15,Paramètres!$A$1:$I$89,5,0)</f>
        <v>156.87984000000003</v>
      </c>
      <c r="EL51" s="14">
        <f t="shared" si="45"/>
        <v>40.137950013229407</v>
      </c>
      <c r="EM51" s="22">
        <f t="shared" si="19"/>
        <v>343.13931760637462</v>
      </c>
      <c r="EN51" s="62">
        <f t="shared" si="20"/>
        <v>579.81927895010983</v>
      </c>
      <c r="EO51" s="62">
        <f ca="1">AVERAGE(OFFSET($EN$3,0,0,'Données projet'!$E$15+1,1))-AVERAGE(OFFSET($H$3,0,0,'Données projet'!$E$15+1,1))</f>
        <v>452.74627739105745</v>
      </c>
      <c r="EP51" s="62">
        <f t="shared" si="46"/>
        <v>281.80695725575106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8.4</v>
      </c>
      <c r="FE51" s="13">
        <f>IF('Données projet'!$A$218&gt;35,FE50+FD51-FM50,IF(A51&lt;'Données projet'!$A$218,$FB$205^A51,IF(A51='Données projet'!$A$218,'Données projet'!$B$218,FE50+FD51-FM50)))</f>
        <v>162.20000000000005</v>
      </c>
      <c r="FF51" s="18">
        <f>FE51*VLOOKUP('Données projet'!$B$16,Paramètres!$A$1:$I$89,3,0)*VLOOKUP('Données projet'!$B$16,Paramètres!$A$1:$I$89,5,0)</f>
        <v>174.59208000000004</v>
      </c>
      <c r="FG51" s="14">
        <f t="shared" si="47"/>
        <v>44.116895896327598</v>
      </c>
      <c r="FH51" s="22">
        <f t="shared" si="22"/>
        <v>380.91813301943733</v>
      </c>
      <c r="FI51" s="62">
        <f t="shared" si="23"/>
        <v>617.59809436317255</v>
      </c>
      <c r="FJ51" s="62">
        <f ca="1">AVERAGE(OFFSET($FI$3,0,0,'Données projet'!$E$16+1,1))-AVERAGE(OFFSET($H$3,0,0,'Données projet'!$E$16+1,1))</f>
        <v>492.72391755143508</v>
      </c>
      <c r="FK51" s="62">
        <f t="shared" si="48"/>
        <v>304.88554179994355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54.549080366473234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143.77000000000001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-5.6843418860808015E-14</v>
      </c>
      <c r="O52" s="14">
        <f>N52*VLOOKUP('Données projet'!$B$9,Paramètres!$A$1:$I$89,3,0)*VLOOKUP('Données projet'!$B$9,Paramètres!$A$1:$I$89,5,0)</f>
        <v>-5.1431925385259088E-14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388.8309693898596</v>
      </c>
      <c r="T52" s="62">
        <f t="shared" si="34"/>
        <v>549.06702041234382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7.2655460796536158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7.2655460796536158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>
        <f>AI52*VLOOKUP('Données projet'!$B$10,Paramètres!$A$1:$I$89,3,0)*VLOOKUP('Données projet'!$B$10,Paramètres!$A$1:$I$89,5,0)</f>
        <v>6.7984728957526396E-14</v>
      </c>
      <c r="AK52" s="14">
        <f t="shared" si="35"/>
        <v>1.0682447123141398E-12</v>
      </c>
      <c r="AL52" s="22">
        <f t="shared" si="4"/>
        <v>1.978932943548152E-12</v>
      </c>
      <c r="AM52" s="62">
        <f t="shared" si="5"/>
        <v>237.66277068979167</v>
      </c>
      <c r="AN52" s="62">
        <f ca="1">AVERAGE(OFFSET($AM$3,0,0,'Données projet'!$E$10+1,1))-AVERAGE(OFFSET($H$3,0,0,'Données projet'!$E$10+1,1))</f>
        <v>197.85998851681552</v>
      </c>
      <c r="AO52" s="62">
        <f t="shared" si="36"/>
        <v>474.54844785896239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36.599671817249771</v>
      </c>
      <c r="AV52" s="23">
        <f>EXP(-LN(2)/25)*AV51+(1-EXP(-LN(2)/25))/(LN(2)/25)*Calculateur!AQ52*Calculateur!AS52*VLOOKUP('Données projet'!$B$10,Paramètres!$A$1:$I$89,3,0)*0.475*44/12</f>
        <v>25.95161382973167</v>
      </c>
      <c r="AW52" s="23">
        <f>EXP(-LN(2)/2)*AW51+(1-EXP(-LN(2)/2))/(LN(2)/2)*AQ52*AT52*VLOOKUP('Données projet'!$B$10,Paramètres!$A$1:$I$89,3,0)*0.475*44/12</f>
        <v>6.0169518024331403E-2</v>
      </c>
      <c r="AX52" s="23">
        <f t="shared" si="6"/>
        <v>62.611455165005772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1.1368683772161603E-13</v>
      </c>
      <c r="BE52" s="14">
        <f>BD52*VLOOKUP('Données projet'!$B$11,Paramètres!$A$1:$I$89,3,0)*VLOOKUP('Données projet'!$B$11,Paramètres!$A$1:$I$89,5,0)</f>
        <v>6.7984728957526396E-14</v>
      </c>
      <c r="BF52" s="14">
        <f t="shared" si="37"/>
        <v>1.0682447123141398E-12</v>
      </c>
      <c r="BG52" s="22">
        <f t="shared" si="7"/>
        <v>1.978932943548152E-12</v>
      </c>
      <c r="BH52" s="62">
        <f t="shared" si="8"/>
        <v>237.66277068979167</v>
      </c>
      <c r="BI52" s="62">
        <f ca="1">AVERAGE(OFFSET($BH$3,0,0,'Données projet'!$E$11+1,1))-AVERAGE(OFFSET($H$3,0,0,'Données projet'!$E$11+1,1))</f>
        <v>197.85998851681552</v>
      </c>
      <c r="BJ52" s="62">
        <f t="shared" si="38"/>
        <v>474.54844785896239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36.599671817249771</v>
      </c>
      <c r="BQ52" s="23">
        <f>EXP(-LN(2)/25)*BQ51+(1-EXP(-LN(2)/25))/(LN(2)/25)*Calculateur!BL52*Calculateur!BN52*VLOOKUP('Données projet'!$B$11,Paramètres!$A$1:$I$89,3,0)*0.475*44/12</f>
        <v>25.95161382973167</v>
      </c>
      <c r="BR52" s="23">
        <f>EXP(-LN(2)/2)*BR51+(1-EXP(-LN(2)/2))/(LN(2)/2)*BL52*BO52*VLOOKUP('Données projet'!$B$11,Paramètres!$A$1:$I$89,3,0)*0.475*44/12</f>
        <v>6.0169518024331403E-2</v>
      </c>
      <c r="BS52" s="24">
        <f t="shared" si="9"/>
        <v>62.611455165005772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>
        <f>BY52*VLOOKUP('Données projet'!$B$12,Paramètres!$A$1:$I$89,3,0)*VLOOKUP('Données projet'!$B$12,Paramètres!$A$1:$I$89,5,0)</f>
        <v>0</v>
      </c>
      <c r="CA52" s="14" t="e">
        <f t="shared" si="39"/>
        <v>#NUM!</v>
      </c>
      <c r="CB52" s="22" t="e">
        <f t="shared" si="10"/>
        <v>#NUM!</v>
      </c>
      <c r="CC52" s="62" t="e">
        <f t="shared" si="11"/>
        <v>#NUM!</v>
      </c>
      <c r="CD52" s="62">
        <f ca="1">AVERAGE(OFFSET($CC$3,0,0,'Données projet'!$E$12+1,1))-AVERAGE(OFFSET($H$3,0,0,'Données projet'!$E$12+1,1))</f>
        <v>72.97248599808384</v>
      </c>
      <c r="CE52" s="62">
        <f t="shared" si="40"/>
        <v>346.88163654003574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39.893348532744149</v>
      </c>
      <c r="CL52" s="23">
        <f>EXP(-LN(2)/25)*CL51+(1-EXP(-LN(2)/25))/(LN(2)/25)*Calculateur!CG52*Calculateur!CI52*VLOOKUP('Données projet'!$B$12,Paramètres!$A$1:$I$89,3,0)*0.475*44/12</f>
        <v>7.7096767951623137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47.603025327906465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>
        <f>CT52*VLOOKUP('Données projet'!$B$13,Paramètres!$A$1:$I$89,3,0)*VLOOKUP('Données projet'!$B$13,Paramètres!$A$1:$I$89,5,0)</f>
        <v>0</v>
      </c>
      <c r="CV52" s="14" t="e">
        <f t="shared" si="41"/>
        <v>#NUM!</v>
      </c>
      <c r="CW52" s="22" t="e">
        <f t="shared" si="13"/>
        <v>#NUM!</v>
      </c>
      <c r="CX52" s="62" t="e">
        <f t="shared" si="14"/>
        <v>#NUM!</v>
      </c>
      <c r="CY52" s="62">
        <f ca="1">AVERAGE(OFFSET($CX$3,0,0,'Données projet'!$E$13+1,1))-AVERAGE(OFFSET($H$3,0,0,'Données projet'!$E$13+1,1))</f>
        <v>67.303283896086128</v>
      </c>
      <c r="CZ52" s="62">
        <f t="shared" si="42"/>
        <v>318.97925671653547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36.226271926670179</v>
      </c>
      <c r="DG52" s="23">
        <f>EXP(-LN(2)/25)*DG51+(1-EXP(-LN(2)/25))/(LN(2)/25)*Calculateur!DB52*Calculateur!DD52*VLOOKUP('Données projet'!$B$13,Paramètres!$A$1:$I$89,3,0)*0.475*44/12</f>
        <v>7.0009878418465545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43.227259768516731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>
        <f>DO52*VLOOKUP('Données projet'!$B$14,Paramètres!$A$1:$I$89,3,0)*VLOOKUP('Données projet'!$B$14,Paramètres!$A$1:$I$89,5,0)</f>
        <v>0</v>
      </c>
      <c r="DQ52" s="14" t="e">
        <f t="shared" si="43"/>
        <v>#NUM!</v>
      </c>
      <c r="DR52" s="22" t="e">
        <f t="shared" si="16"/>
        <v>#NUM!</v>
      </c>
      <c r="DS52" s="62" t="e">
        <f t="shared" si="17"/>
        <v>#NUM!</v>
      </c>
      <c r="DT52" s="62">
        <f ca="1">AVERAGE(OFFSET($DS$3,0,0,'Données projet'!$E$14+1,1))-AVERAGE(OFFSET($H$3,0,0,'Données projet'!$E$14+1,1))</f>
        <v>75.244137291704476</v>
      </c>
      <c r="DU52" s="62">
        <f t="shared" si="44"/>
        <v>366.065475656937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42.418883385412151</v>
      </c>
      <c r="EB52" s="23">
        <f>EXP(-LN(2)/25)*EB51+(1-EXP(-LN(2)/25))/(LN(2)/25)*Calculateur!DW52*Calculateur!DY52*VLOOKUP('Données projet'!$B$14,Paramètres!$A$1:$I$89,3,0)*0.475*44/12</f>
        <v>8.1977545867020911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50.616637972114241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8.4</v>
      </c>
      <c r="EJ52" s="13">
        <f>IF('Données projet'!$A$192&gt;35,EJ51+EI52-ER51,IF(A52&lt;'Données projet'!$A$192,$EG$205^A52,IF(A52='Données projet'!$A$192,'Données projet'!$B$192,EJ51+EI52-ER51)))</f>
        <v>170.60000000000005</v>
      </c>
      <c r="EK52" s="18">
        <f>EJ52*VLOOKUP('Données projet'!$B$15,Paramètres!$A$1:$I$89,3,0)*VLOOKUP('Données projet'!$B$15,Paramètres!$A$1:$I$89,5,0)</f>
        <v>165.00432000000006</v>
      </c>
      <c r="EL52" s="14">
        <f t="shared" si="45"/>
        <v>41.969222611359086</v>
      </c>
      <c r="EM52" s="22">
        <f t="shared" si="19"/>
        <v>360.47892004811712</v>
      </c>
      <c r="EN52" s="62">
        <f t="shared" si="20"/>
        <v>598.14169073790686</v>
      </c>
      <c r="EO52" s="62">
        <f ca="1">AVERAGE(OFFSET($EN$3,0,0,'Données projet'!$E$15+1,1))-AVERAGE(OFFSET($H$3,0,0,'Données projet'!$E$15+1,1))</f>
        <v>452.74627739105745</v>
      </c>
      <c r="EP52" s="62">
        <f t="shared" si="46"/>
        <v>281.80695725575106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8.4</v>
      </c>
      <c r="FE52" s="13">
        <f>IF('Données projet'!$A$218&gt;35,FE51+FD52-FM51,IF(A52&lt;'Données projet'!$A$218,$FB$205^A52,IF(A52='Données projet'!$A$218,'Données projet'!$B$218,FE51+FD52-FM51)))</f>
        <v>170.60000000000005</v>
      </c>
      <c r="FF52" s="18">
        <f>FE52*VLOOKUP('Données projet'!$B$16,Paramètres!$A$1:$I$89,3,0)*VLOOKUP('Données projet'!$B$16,Paramètres!$A$1:$I$89,5,0)</f>
        <v>183.63384000000005</v>
      </c>
      <c r="FG52" s="14">
        <f t="shared" si="47"/>
        <v>46.129705781806493</v>
      </c>
      <c r="FH52" s="22">
        <f t="shared" si="22"/>
        <v>400.17150890331305</v>
      </c>
      <c r="FI52" s="62">
        <f t="shared" si="23"/>
        <v>637.83427959310279</v>
      </c>
      <c r="FJ52" s="62">
        <f ca="1">AVERAGE(OFFSET($FI$3,0,0,'Données projet'!$E$16+1,1))-AVERAGE(OFFSET($H$3,0,0,'Données projet'!$E$16+1,1))</f>
        <v>492.72391755143508</v>
      </c>
      <c r="FK52" s="62">
        <f t="shared" si="48"/>
        <v>304.88554179994355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54.817119279033548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143.77000000000001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-5.6843418860808015E-14</v>
      </c>
      <c r="O53" s="14">
        <f>N53*VLOOKUP('Données projet'!$B$9,Paramètres!$A$1:$I$89,3,0)*VLOOKUP('Données projet'!$B$9,Paramètres!$A$1:$I$89,5,0)</f>
        <v>-5.1431925385259088E-14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388.8309693898596</v>
      </c>
      <c r="T53" s="62">
        <f t="shared" si="34"/>
        <v>549.06702041234382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7.1230731525771382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7.1230731525771382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>
        <f>AI53*VLOOKUP('Données projet'!$B$10,Paramètres!$A$1:$I$89,3,0)*VLOOKUP('Données projet'!$B$10,Paramètres!$A$1:$I$89,5,0)</f>
        <v>6.7984728957526396E-14</v>
      </c>
      <c r="AK53" s="14">
        <f t="shared" si="35"/>
        <v>1.0682447123141398E-12</v>
      </c>
      <c r="AL53" s="22">
        <f t="shared" si="4"/>
        <v>1.978932943548152E-12</v>
      </c>
      <c r="AM53" s="62">
        <f t="shared" si="5"/>
        <v>238.62853049092467</v>
      </c>
      <c r="AN53" s="62">
        <f ca="1">AVERAGE(OFFSET($AM$3,0,0,'Données projet'!$E$10+1,1))-AVERAGE(OFFSET($H$3,0,0,'Données projet'!$E$10+1,1))</f>
        <v>197.85998851681552</v>
      </c>
      <c r="AO53" s="62">
        <f t="shared" si="36"/>
        <v>474.54844785896239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35.881974576509037</v>
      </c>
      <c r="AV53" s="23">
        <f>EXP(-LN(2)/25)*AV52+(1-EXP(-LN(2)/25))/(LN(2)/25)*Calculateur!AQ53*Calculateur!AS53*VLOOKUP('Données projet'!$B$10,Paramètres!$A$1:$I$89,3,0)*0.475*44/12</f>
        <v>25.2419655848216</v>
      </c>
      <c r="AW53" s="23">
        <f>EXP(-LN(2)/2)*AW52+(1-EXP(-LN(2)/2))/(LN(2)/2)*AQ53*AT53*VLOOKUP('Données projet'!$B$10,Paramètres!$A$1:$I$89,3,0)*0.475*44/12</f>
        <v>4.2546274215730935E-2</v>
      </c>
      <c r="AX53" s="23">
        <f t="shared" si="6"/>
        <v>61.166486435546368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1.1368683772161603E-13</v>
      </c>
      <c r="BE53" s="14">
        <f>BD53*VLOOKUP('Données projet'!$B$11,Paramètres!$A$1:$I$89,3,0)*VLOOKUP('Données projet'!$B$11,Paramètres!$A$1:$I$89,5,0)</f>
        <v>6.7984728957526396E-14</v>
      </c>
      <c r="BF53" s="14">
        <f t="shared" si="37"/>
        <v>1.0682447123141398E-12</v>
      </c>
      <c r="BG53" s="22">
        <f t="shared" si="7"/>
        <v>1.978932943548152E-12</v>
      </c>
      <c r="BH53" s="62">
        <f t="shared" si="8"/>
        <v>238.62853049092467</v>
      </c>
      <c r="BI53" s="62">
        <f ca="1">AVERAGE(OFFSET($BH$3,0,0,'Données projet'!$E$11+1,1))-AVERAGE(OFFSET($H$3,0,0,'Données projet'!$E$11+1,1))</f>
        <v>197.85998851681552</v>
      </c>
      <c r="BJ53" s="62">
        <f t="shared" si="38"/>
        <v>474.54844785896239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35.881974576509037</v>
      </c>
      <c r="BQ53" s="23">
        <f>EXP(-LN(2)/25)*BQ52+(1-EXP(-LN(2)/25))/(LN(2)/25)*Calculateur!BL53*Calculateur!BN53*VLOOKUP('Données projet'!$B$11,Paramètres!$A$1:$I$89,3,0)*0.475*44/12</f>
        <v>25.2419655848216</v>
      </c>
      <c r="BR53" s="23">
        <f>EXP(-LN(2)/2)*BR52+(1-EXP(-LN(2)/2))/(LN(2)/2)*BL53*BO53*VLOOKUP('Données projet'!$B$11,Paramètres!$A$1:$I$89,3,0)*0.475*44/12</f>
        <v>4.2546274215730935E-2</v>
      </c>
      <c r="BS53" s="24">
        <f t="shared" si="9"/>
        <v>61.166486435546368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>
        <f>BY53*VLOOKUP('Données projet'!$B$12,Paramètres!$A$1:$I$89,3,0)*VLOOKUP('Données projet'!$B$12,Paramètres!$A$1:$I$89,5,0)</f>
        <v>0</v>
      </c>
      <c r="CA53" s="14" t="e">
        <f t="shared" si="39"/>
        <v>#NUM!</v>
      </c>
      <c r="CB53" s="22" t="e">
        <f t="shared" si="10"/>
        <v>#NUM!</v>
      </c>
      <c r="CC53" s="62" t="e">
        <f t="shared" si="11"/>
        <v>#NUM!</v>
      </c>
      <c r="CD53" s="62">
        <f ca="1">AVERAGE(OFFSET($CC$3,0,0,'Données projet'!$E$12+1,1))-AVERAGE(OFFSET($H$3,0,0,'Données projet'!$E$12+1,1))</f>
        <v>72.97248599808384</v>
      </c>
      <c r="CE53" s="62">
        <f t="shared" si="40"/>
        <v>346.88163654003574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39.111064300557004</v>
      </c>
      <c r="CL53" s="23">
        <f>EXP(-LN(2)/25)*CL52+(1-EXP(-LN(2)/25))/(LN(2)/25)*Calculateur!CG53*Calculateur!CI53*VLOOKUP('Données projet'!$B$12,Paramètres!$A$1:$I$89,3,0)*0.475*44/12</f>
        <v>7.498855277764318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46.609919578321325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>
        <f>CT53*VLOOKUP('Données projet'!$B$13,Paramètres!$A$1:$I$89,3,0)*VLOOKUP('Données projet'!$B$13,Paramètres!$A$1:$I$89,5,0)</f>
        <v>0</v>
      </c>
      <c r="CV53" s="14" t="e">
        <f t="shared" si="41"/>
        <v>#NUM!</v>
      </c>
      <c r="CW53" s="22" t="e">
        <f t="shared" si="13"/>
        <v>#NUM!</v>
      </c>
      <c r="CX53" s="62" t="e">
        <f t="shared" si="14"/>
        <v>#NUM!</v>
      </c>
      <c r="CY53" s="62">
        <f ca="1">AVERAGE(OFFSET($CX$3,0,0,'Données projet'!$E$13+1,1))-AVERAGE(OFFSET($H$3,0,0,'Données projet'!$E$13+1,1))</f>
        <v>67.303283896086128</v>
      </c>
      <c r="CZ53" s="62">
        <f t="shared" si="42"/>
        <v>318.97925671653547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35.515896830032268</v>
      </c>
      <c r="DG53" s="23">
        <f>EXP(-LN(2)/25)*DG52+(1-EXP(-LN(2)/25))/(LN(2)/25)*Calculateur!DB53*Calculateur!DD53*VLOOKUP('Données projet'!$B$13,Paramètres!$A$1:$I$89,3,0)*0.475*44/12</f>
        <v>6.8095454611453112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42.325442291177581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>
        <f>DO53*VLOOKUP('Données projet'!$B$14,Paramètres!$A$1:$I$89,3,0)*VLOOKUP('Données projet'!$B$14,Paramètres!$A$1:$I$89,5,0)</f>
        <v>0</v>
      </c>
      <c r="DQ53" s="14" t="e">
        <f t="shared" si="43"/>
        <v>#NUM!</v>
      </c>
      <c r="DR53" s="22" t="e">
        <f t="shared" si="16"/>
        <v>#NUM!</v>
      </c>
      <c r="DS53" s="62" t="e">
        <f t="shared" si="17"/>
        <v>#NUM!</v>
      </c>
      <c r="DT53" s="62">
        <f ca="1">AVERAGE(OFFSET($DS$3,0,0,'Données projet'!$E$14+1,1))-AVERAGE(OFFSET($H$3,0,0,'Données projet'!$E$14+1,1))</f>
        <v>75.244137291704476</v>
      </c>
      <c r="DU53" s="62">
        <f t="shared" si="44"/>
        <v>366.065475656937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41.587074955188342</v>
      </c>
      <c r="EB53" s="23">
        <f>EXP(-LN(2)/25)*EB52+(1-EXP(-LN(2)/25))/(LN(2)/25)*Calculateur!DW53*Calculateur!DY53*VLOOKUP('Données projet'!$B$14,Paramètres!$A$1:$I$89,3,0)*0.475*44/12</f>
        <v>7.973586556427545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49.560661511615891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179</v>
      </c>
      <c r="EH53" s="13">
        <f>VLOOKUP(A53,'Données projet'!$A$191:$I$211,9,0)</f>
        <v>8.4</v>
      </c>
      <c r="EI53" s="13">
        <f t="array" ref="EI53">INDEX(EH:EH,MIN(IF(ISNUMBER(EH53:EH249),ROW(EH53:EH249),"")))</f>
        <v>8.4</v>
      </c>
      <c r="EJ53" s="13">
        <f>IF('Données projet'!$A$192&gt;35,EJ52+EI53-ER52,IF(A53&lt;'Données projet'!$A$192,$EG$205^A53,IF(A53='Données projet'!$A$192,'Données projet'!$B$192,EJ52+EI53-ER52)))</f>
        <v>179.00000000000006</v>
      </c>
      <c r="EK53" s="18">
        <f>EJ53*VLOOKUP('Données projet'!$B$15,Paramètres!$A$1:$I$89,3,0)*VLOOKUP('Données projet'!$B$15,Paramètres!$A$1:$I$89,5,0)</f>
        <v>173.12880000000007</v>
      </c>
      <c r="EL53" s="14">
        <f t="shared" si="45"/>
        <v>43.790025187181634</v>
      </c>
      <c r="EM53" s="22">
        <f t="shared" si="19"/>
        <v>377.80028720100813</v>
      </c>
      <c r="EN53" s="62">
        <f t="shared" si="20"/>
        <v>616.42881769193082</v>
      </c>
      <c r="EO53" s="62">
        <f ca="1">AVERAGE(OFFSET($EN$3,0,0,'Données projet'!$E$15+1,1))-AVERAGE(OFFSET($H$3,0,0,'Données projet'!$E$15+1,1))</f>
        <v>452.74627739105745</v>
      </c>
      <c r="EP53" s="62">
        <f t="shared" si="46"/>
        <v>281.80695725575106</v>
      </c>
      <c r="EQ53" s="16">
        <f>IF(ISNA(VLOOKUP(A53,'Données projet'!$A$191:$I$211,3,0)),0,VLOOKUP(A53,'Données projet'!$A$191:$I$211,3,0))</f>
        <v>6</v>
      </c>
      <c r="ER53" s="16">
        <f>IF(ISNA(VLOOKUP(A53,'Données projet'!$A$191:$I$211,4,0)),0,VLOOKUP(A53,'Données projet'!$A$191:$I$211,4,0))</f>
        <v>21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179</v>
      </c>
      <c r="FC53" s="13">
        <f>VLOOKUP(A53,'Données projet'!$A$217:$I$237,9,0)</f>
        <v>8.4</v>
      </c>
      <c r="FD53" s="13">
        <f t="array" ref="FD53">INDEX(FC:FC,MIN(IF(ISNUMBER(FC53:FC249),ROW(FC53:FC249),"")))</f>
        <v>8.4</v>
      </c>
      <c r="FE53" s="13">
        <f>IF('Données projet'!$A$218&gt;35,FE52+FD53-FM52,IF(A53&lt;'Données projet'!$A$218,$FB$205^A53,IF(A53='Données projet'!$A$218,'Données projet'!$B$218,FE52+FD53-FM52)))</f>
        <v>179.00000000000006</v>
      </c>
      <c r="FF53" s="18">
        <f>FE53*VLOOKUP('Données projet'!$B$16,Paramètres!$A$1:$I$89,3,0)*VLOOKUP('Données projet'!$B$16,Paramètres!$A$1:$I$89,5,0)</f>
        <v>192.67560000000006</v>
      </c>
      <c r="FG53" s="14">
        <f t="shared" si="47"/>
        <v>48.131007733172986</v>
      </c>
      <c r="FH53" s="22">
        <f t="shared" si="22"/>
        <v>419.40484180194306</v>
      </c>
      <c r="FI53" s="62">
        <f t="shared" si="23"/>
        <v>658.03337229286581</v>
      </c>
      <c r="FJ53" s="62">
        <f ca="1">AVERAGE(OFFSET($FI$3,0,0,'Données projet'!$E$16+1,1))-AVERAGE(OFFSET($H$3,0,0,'Données projet'!$E$16+1,1))</f>
        <v>492.72391755143508</v>
      </c>
      <c r="FK53" s="62">
        <f t="shared" si="48"/>
        <v>304.88554179994355</v>
      </c>
      <c r="FL53" s="16">
        <f>IF(ISNA(VLOOKUP(A53,'Données projet'!$A$217:$I$237,3,0)),0,VLOOKUP(A53,'Données projet'!$A$217:$I$237,3,0))</f>
        <v>6</v>
      </c>
      <c r="FM53" s="16">
        <f>IF(ISNA(VLOOKUP(A53,'Données projet'!$A$217:$I$237,4,0)),0,VLOOKUP(A53,'Données projet'!$A$217:$I$237,4,0))</f>
        <v>21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55.080508315706183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143.77000000000001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-5.6843418860808015E-14</v>
      </c>
      <c r="O54" s="14">
        <f>N54*VLOOKUP('Données projet'!$B$9,Paramètres!$A$1:$I$89,3,0)*VLOOKUP('Données projet'!$B$9,Paramètres!$A$1:$I$89,5,0)</f>
        <v>-5.1431925385259088E-14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388.8309693898596</v>
      </c>
      <c r="T54" s="62">
        <f t="shared" si="34"/>
        <v>549.06702041234382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6.9833940327007253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6.9833940327007253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>
        <f>AI54*VLOOKUP('Données projet'!$B$10,Paramètres!$A$1:$I$89,3,0)*VLOOKUP('Données projet'!$B$10,Paramètres!$A$1:$I$89,5,0)</f>
        <v>6.7984728957526396E-14</v>
      </c>
      <c r="AK54" s="14">
        <f t="shared" si="35"/>
        <v>1.0682447123141398E-12</v>
      </c>
      <c r="AL54" s="22">
        <f t="shared" si="4"/>
        <v>1.978932943548152E-12</v>
      </c>
      <c r="AM54" s="62">
        <f t="shared" si="5"/>
        <v>239.57753651862342</v>
      </c>
      <c r="AN54" s="62">
        <f ca="1">AVERAGE(OFFSET($AM$3,0,0,'Données projet'!$E$10+1,1))-AVERAGE(OFFSET($H$3,0,0,'Données projet'!$E$10+1,1))</f>
        <v>197.85998851681552</v>
      </c>
      <c r="AO54" s="62">
        <f t="shared" si="36"/>
        <v>474.54844785896239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35.178350940907137</v>
      </c>
      <c r="AV54" s="23">
        <f>EXP(-LN(2)/25)*AV53+(1-EXP(-LN(2)/25))/(LN(2)/25)*Calculateur!AQ54*Calculateur!AS54*VLOOKUP('Données projet'!$B$10,Paramètres!$A$1:$I$89,3,0)*0.475*44/12</f>
        <v>24.551722708487375</v>
      </c>
      <c r="AW54" s="23">
        <f>EXP(-LN(2)/2)*AW53+(1-EXP(-LN(2)/2))/(LN(2)/2)*AQ54*AT54*VLOOKUP('Données projet'!$B$10,Paramètres!$A$1:$I$89,3,0)*0.475*44/12</f>
        <v>3.0084759012165705E-2</v>
      </c>
      <c r="AX54" s="23">
        <f t="shared" si="6"/>
        <v>59.760158408406681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1.1368683772161603E-13</v>
      </c>
      <c r="BE54" s="14">
        <f>BD54*VLOOKUP('Données projet'!$B$11,Paramètres!$A$1:$I$89,3,0)*VLOOKUP('Données projet'!$B$11,Paramètres!$A$1:$I$89,5,0)</f>
        <v>6.7984728957526396E-14</v>
      </c>
      <c r="BF54" s="14">
        <f t="shared" si="37"/>
        <v>1.0682447123141398E-12</v>
      </c>
      <c r="BG54" s="22">
        <f t="shared" si="7"/>
        <v>1.978932943548152E-12</v>
      </c>
      <c r="BH54" s="62">
        <f t="shared" si="8"/>
        <v>239.57753651862342</v>
      </c>
      <c r="BI54" s="62">
        <f ca="1">AVERAGE(OFFSET($BH$3,0,0,'Données projet'!$E$11+1,1))-AVERAGE(OFFSET($H$3,0,0,'Données projet'!$E$11+1,1))</f>
        <v>197.85998851681552</v>
      </c>
      <c r="BJ54" s="62">
        <f t="shared" si="38"/>
        <v>474.54844785896239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35.178350940907137</v>
      </c>
      <c r="BQ54" s="23">
        <f>EXP(-LN(2)/25)*BQ53+(1-EXP(-LN(2)/25))/(LN(2)/25)*Calculateur!BL54*Calculateur!BN54*VLOOKUP('Données projet'!$B$11,Paramètres!$A$1:$I$89,3,0)*0.475*44/12</f>
        <v>24.551722708487375</v>
      </c>
      <c r="BR54" s="23">
        <f>EXP(-LN(2)/2)*BR53+(1-EXP(-LN(2)/2))/(LN(2)/2)*BL54*BO54*VLOOKUP('Données projet'!$B$11,Paramètres!$A$1:$I$89,3,0)*0.475*44/12</f>
        <v>3.0084759012165705E-2</v>
      </c>
      <c r="BS54" s="24">
        <f t="shared" si="9"/>
        <v>59.760158408406681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>
        <f>BY54*VLOOKUP('Données projet'!$B$12,Paramètres!$A$1:$I$89,3,0)*VLOOKUP('Données projet'!$B$12,Paramètres!$A$1:$I$89,5,0)</f>
        <v>0</v>
      </c>
      <c r="CA54" s="14" t="e">
        <f t="shared" si="39"/>
        <v>#NUM!</v>
      </c>
      <c r="CB54" s="22" t="e">
        <f t="shared" si="10"/>
        <v>#NUM!</v>
      </c>
      <c r="CC54" s="62" t="e">
        <f t="shared" si="11"/>
        <v>#NUM!</v>
      </c>
      <c r="CD54" s="62">
        <f ca="1">AVERAGE(OFFSET($CC$3,0,0,'Données projet'!$E$12+1,1))-AVERAGE(OFFSET($H$3,0,0,'Données projet'!$E$12+1,1))</f>
        <v>72.97248599808384</v>
      </c>
      <c r="CE54" s="62">
        <f t="shared" si="40"/>
        <v>346.88163654003574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38.344120185016777</v>
      </c>
      <c r="CL54" s="23">
        <f>EXP(-LN(2)/25)*CL53+(1-EXP(-LN(2)/25))/(LN(2)/25)*Calculateur!CG54*Calculateur!CI54*VLOOKUP('Données projet'!$B$12,Paramètres!$A$1:$I$89,3,0)*0.475*44/12</f>
        <v>7.293798685846193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45.637918870862968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>
        <f>CT54*VLOOKUP('Données projet'!$B$13,Paramètres!$A$1:$I$89,3,0)*VLOOKUP('Données projet'!$B$13,Paramètres!$A$1:$I$89,5,0)</f>
        <v>0</v>
      </c>
      <c r="CV54" s="14" t="e">
        <f t="shared" si="41"/>
        <v>#NUM!</v>
      </c>
      <c r="CW54" s="22" t="e">
        <f t="shared" si="13"/>
        <v>#NUM!</v>
      </c>
      <c r="CX54" s="62" t="e">
        <f t="shared" si="14"/>
        <v>#NUM!</v>
      </c>
      <c r="CY54" s="62">
        <f ca="1">AVERAGE(OFFSET($CX$3,0,0,'Données projet'!$E$13+1,1))-AVERAGE(OFFSET($H$3,0,0,'Données projet'!$E$13+1,1))</f>
        <v>67.303283896086128</v>
      </c>
      <c r="CZ54" s="62">
        <f t="shared" si="42"/>
        <v>318.97925671653547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34.819451755753398</v>
      </c>
      <c r="DG54" s="23">
        <f>EXP(-LN(2)/25)*DG53+(1-EXP(-LN(2)/25))/(LN(2)/25)*Calculateur!DB54*Calculateur!DD54*VLOOKUP('Données projet'!$B$13,Paramètres!$A$1:$I$89,3,0)*0.475*44/12</f>
        <v>6.62333808241186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41.442789838165261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>
        <f>DO54*VLOOKUP('Données projet'!$B$14,Paramètres!$A$1:$I$89,3,0)*VLOOKUP('Données projet'!$B$14,Paramètres!$A$1:$I$89,5,0)</f>
        <v>0</v>
      </c>
      <c r="DQ54" s="14" t="e">
        <f t="shared" si="43"/>
        <v>#NUM!</v>
      </c>
      <c r="DR54" s="22" t="e">
        <f t="shared" si="16"/>
        <v>#NUM!</v>
      </c>
      <c r="DS54" s="62" t="e">
        <f t="shared" si="17"/>
        <v>#NUM!</v>
      </c>
      <c r="DT54" s="62">
        <f ca="1">AVERAGE(OFFSET($DS$3,0,0,'Données projet'!$E$14+1,1))-AVERAGE(OFFSET($H$3,0,0,'Données projet'!$E$14+1,1))</f>
        <v>75.244137291704476</v>
      </c>
      <c r="DU54" s="62">
        <f t="shared" si="44"/>
        <v>366.065475656937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40.771577780928176</v>
      </c>
      <c r="EB54" s="23">
        <f>EXP(-LN(2)/25)*EB53+(1-EXP(-LN(2)/25))/(LN(2)/25)*Calculateur!DW54*Calculateur!DY54*VLOOKUP('Données projet'!$B$14,Paramètres!$A$1:$I$89,3,0)*0.475*44/12</f>
        <v>7.7555484127293406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48.527126193657516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8</v>
      </c>
      <c r="EJ54" s="13">
        <f>IF('Données projet'!$A$192&gt;35,EJ53+EI54-ER53,IF(A54&lt;'Données projet'!$A$192,$EG$205^A54,IF(A54='Données projet'!$A$192,'Données projet'!$B$192,EJ53+EI54-ER53)))</f>
        <v>166.00000000000006</v>
      </c>
      <c r="EK54" s="18">
        <f>EJ54*VLOOKUP('Données projet'!$B$15,Paramètres!$A$1:$I$89,3,0)*VLOOKUP('Données projet'!$B$15,Paramètres!$A$1:$I$89,5,0)</f>
        <v>160.55520000000004</v>
      </c>
      <c r="EL54" s="14">
        <f t="shared" si="45"/>
        <v>40.96771705896618</v>
      </c>
      <c r="EM54" s="22">
        <f t="shared" si="19"/>
        <v>350.98574721103279</v>
      </c>
      <c r="EN54" s="62">
        <f t="shared" si="20"/>
        <v>590.56328372965424</v>
      </c>
      <c r="EO54" s="62">
        <f ca="1">AVERAGE(OFFSET($EN$3,0,0,'Données projet'!$E$15+1,1))-AVERAGE(OFFSET($H$3,0,0,'Données projet'!$E$15+1,1))</f>
        <v>452.74627739105745</v>
      </c>
      <c r="EP54" s="62">
        <f t="shared" si="46"/>
        <v>281.80695725575106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8</v>
      </c>
      <c r="FE54" s="13">
        <f>IF('Données projet'!$A$218&gt;35,FE53+FD54-FM53,IF(A54&lt;'Données projet'!$A$218,$FB$205^A54,IF(A54='Données projet'!$A$218,'Données projet'!$B$218,FE53+FD54-FM53)))</f>
        <v>166.00000000000006</v>
      </c>
      <c r="FF54" s="18">
        <f>FE54*VLOOKUP('Données projet'!$B$16,Paramètres!$A$1:$I$89,3,0)*VLOOKUP('Données projet'!$B$16,Paramètres!$A$1:$I$89,5,0)</f>
        <v>178.68240000000006</v>
      </c>
      <c r="FG54" s="14">
        <f t="shared" si="47"/>
        <v>45.028919214980071</v>
      </c>
      <c r="FH54" s="22">
        <f t="shared" si="22"/>
        <v>389.63054763275704</v>
      </c>
      <c r="FI54" s="62">
        <f t="shared" si="23"/>
        <v>629.20808415137844</v>
      </c>
      <c r="FJ54" s="62">
        <f ca="1">AVERAGE(OFFSET($FI$3,0,0,'Données projet'!$E$16+1,1))-AVERAGE(OFFSET($H$3,0,0,'Données projet'!$E$16+1,1))</f>
        <v>492.72391755143508</v>
      </c>
      <c r="FK54" s="62">
        <f t="shared" si="48"/>
        <v>304.88554179994355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55.339328141442209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143.77000000000001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-5.6843418860808015E-14</v>
      </c>
      <c r="O55" s="14">
        <f>N55*VLOOKUP('Données projet'!$B$9,Paramètres!$A$1:$I$89,3,0)*VLOOKUP('Données projet'!$B$9,Paramètres!$A$1:$I$89,5,0)</f>
        <v>-5.1431925385259088E-14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388.8309693898596</v>
      </c>
      <c r="T55" s="62">
        <f t="shared" si="34"/>
        <v>549.06702041234382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6.8464539351692384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6.8464539351692384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>
        <f>AI55*VLOOKUP('Données projet'!$B$10,Paramètres!$A$1:$I$89,3,0)*VLOOKUP('Données projet'!$B$10,Paramètres!$A$1:$I$89,5,0)</f>
        <v>6.7984728957526396E-14</v>
      </c>
      <c r="AK55" s="14">
        <f t="shared" si="35"/>
        <v>1.0682447123141398E-12</v>
      </c>
      <c r="AL55" s="22">
        <f t="shared" si="4"/>
        <v>1.978932943548152E-12</v>
      </c>
      <c r="AM55" s="62">
        <f t="shared" si="5"/>
        <v>240.51007941340131</v>
      </c>
      <c r="AN55" s="62">
        <f ca="1">AVERAGE(OFFSET($AM$3,0,0,'Données projet'!$E$10+1,1))-AVERAGE(OFFSET($H$3,0,0,'Données projet'!$E$10+1,1))</f>
        <v>197.85998851681552</v>
      </c>
      <c r="AO55" s="62">
        <f t="shared" si="36"/>
        <v>474.54844785896239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34.488524935631354</v>
      </c>
      <c r="AV55" s="23">
        <f>EXP(-LN(2)/25)*AV54+(1-EXP(-LN(2)/25))/(LN(2)/25)*Calculateur!AQ55*Calculateur!AS55*VLOOKUP('Données projet'!$B$10,Paramètres!$A$1:$I$89,3,0)*0.475*44/12</f>
        <v>23.880354559904806</v>
      </c>
      <c r="AW55" s="23">
        <f>EXP(-LN(2)/2)*AW54+(1-EXP(-LN(2)/2))/(LN(2)/2)*AQ55*AT55*VLOOKUP('Données projet'!$B$10,Paramètres!$A$1:$I$89,3,0)*0.475*44/12</f>
        <v>2.1273137107865471E-2</v>
      </c>
      <c r="AX55" s="23">
        <f t="shared" si="6"/>
        <v>58.390152632644032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1.1368683772161603E-13</v>
      </c>
      <c r="BE55" s="14">
        <f>BD55*VLOOKUP('Données projet'!$B$11,Paramètres!$A$1:$I$89,3,0)*VLOOKUP('Données projet'!$B$11,Paramètres!$A$1:$I$89,5,0)</f>
        <v>6.7984728957526396E-14</v>
      </c>
      <c r="BF55" s="14">
        <f t="shared" si="37"/>
        <v>1.0682447123141398E-12</v>
      </c>
      <c r="BG55" s="22">
        <f t="shared" si="7"/>
        <v>1.978932943548152E-12</v>
      </c>
      <c r="BH55" s="62">
        <f t="shared" si="8"/>
        <v>240.51007941340131</v>
      </c>
      <c r="BI55" s="62">
        <f ca="1">AVERAGE(OFFSET($BH$3,0,0,'Données projet'!$E$11+1,1))-AVERAGE(OFFSET($H$3,0,0,'Données projet'!$E$11+1,1))</f>
        <v>197.85998851681552</v>
      </c>
      <c r="BJ55" s="62">
        <f t="shared" si="38"/>
        <v>474.54844785896239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34.488524935631354</v>
      </c>
      <c r="BQ55" s="23">
        <f>EXP(-LN(2)/25)*BQ54+(1-EXP(-LN(2)/25))/(LN(2)/25)*Calculateur!BL55*Calculateur!BN55*VLOOKUP('Données projet'!$B$11,Paramètres!$A$1:$I$89,3,0)*0.475*44/12</f>
        <v>23.880354559904806</v>
      </c>
      <c r="BR55" s="23">
        <f>EXP(-LN(2)/2)*BR54+(1-EXP(-LN(2)/2))/(LN(2)/2)*BL55*BO55*VLOOKUP('Données projet'!$B$11,Paramètres!$A$1:$I$89,3,0)*0.475*44/12</f>
        <v>2.1273137107865471E-2</v>
      </c>
      <c r="BS55" s="24">
        <f t="shared" si="9"/>
        <v>58.390152632644032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>
        <f>BY55*VLOOKUP('Données projet'!$B$12,Paramètres!$A$1:$I$89,3,0)*VLOOKUP('Données projet'!$B$12,Paramètres!$A$1:$I$89,5,0)</f>
        <v>0</v>
      </c>
      <c r="CA55" s="14" t="e">
        <f t="shared" si="39"/>
        <v>#NUM!</v>
      </c>
      <c r="CB55" s="22" t="e">
        <f t="shared" si="10"/>
        <v>#NUM!</v>
      </c>
      <c r="CC55" s="62" t="e">
        <f t="shared" si="11"/>
        <v>#NUM!</v>
      </c>
      <c r="CD55" s="62">
        <f ca="1">AVERAGE(OFFSET($CC$3,0,0,'Données projet'!$E$12+1,1))-AVERAGE(OFFSET($H$3,0,0,'Données projet'!$E$12+1,1))</f>
        <v>72.97248599808384</v>
      </c>
      <c r="CE55" s="62">
        <f t="shared" si="40"/>
        <v>346.88163654003574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37.592215375792577</v>
      </c>
      <c r="CL55" s="23">
        <f>EXP(-LN(2)/25)*CL54+(1-EXP(-LN(2)/25))/(LN(2)/25)*Calculateur!CG55*Calculateur!CI55*VLOOKUP('Données projet'!$B$12,Paramètres!$A$1:$I$89,3,0)*0.475*44/12</f>
        <v>7.0943493772175259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44.686564753010103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>
        <f>CT55*VLOOKUP('Données projet'!$B$13,Paramètres!$A$1:$I$89,3,0)*VLOOKUP('Données projet'!$B$13,Paramètres!$A$1:$I$89,5,0)</f>
        <v>0</v>
      </c>
      <c r="CV55" s="14" t="e">
        <f t="shared" si="41"/>
        <v>#NUM!</v>
      </c>
      <c r="CW55" s="22" t="e">
        <f t="shared" si="13"/>
        <v>#NUM!</v>
      </c>
      <c r="CX55" s="62" t="e">
        <f t="shared" si="14"/>
        <v>#NUM!</v>
      </c>
      <c r="CY55" s="62">
        <f ca="1">AVERAGE(OFFSET($CX$3,0,0,'Données projet'!$E$13+1,1))-AVERAGE(OFFSET($H$3,0,0,'Données projet'!$E$13+1,1))</f>
        <v>67.303283896086128</v>
      </c>
      <c r="CZ55" s="62">
        <f t="shared" si="42"/>
        <v>318.97925671653547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34.136663544591592</v>
      </c>
      <c r="DG55" s="23">
        <f>EXP(-LN(2)/25)*DG54+(1-EXP(-LN(2)/25))/(LN(2)/25)*Calculateur!DB55*Calculateur!DD55*VLOOKUP('Données projet'!$B$13,Paramètres!$A$1:$I$89,3,0)*0.475*44/12</f>
        <v>6.4422225542420959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40.578886098833685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>
        <f>DO55*VLOOKUP('Données projet'!$B$14,Paramètres!$A$1:$I$89,3,0)*VLOOKUP('Données projet'!$B$14,Paramètres!$A$1:$I$89,5,0)</f>
        <v>0</v>
      </c>
      <c r="DQ55" s="14" t="e">
        <f t="shared" si="43"/>
        <v>#NUM!</v>
      </c>
      <c r="DR55" s="22" t="e">
        <f t="shared" si="16"/>
        <v>#NUM!</v>
      </c>
      <c r="DS55" s="62" t="e">
        <f t="shared" si="17"/>
        <v>#NUM!</v>
      </c>
      <c r="DT55" s="62">
        <f ca="1">AVERAGE(OFFSET($DS$3,0,0,'Données projet'!$E$14+1,1))-AVERAGE(OFFSET($H$3,0,0,'Données projet'!$E$14+1,1))</f>
        <v>75.244137291704476</v>
      </c>
      <c r="DU55" s="62">
        <f t="shared" si="44"/>
        <v>366.065475656937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39.972072008851086</v>
      </c>
      <c r="EB55" s="23">
        <f>EXP(-LN(2)/25)*EB54+(1-EXP(-LN(2)/25))/(LN(2)/25)*Calculateur!DW55*Calculateur!DY55*VLOOKUP('Données projet'!$B$14,Paramètres!$A$1:$I$89,3,0)*0.475*44/12</f>
        <v>7.5434725335366917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47.515544542387779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8</v>
      </c>
      <c r="EJ55" s="13">
        <f>IF('Données projet'!$A$192&gt;35,EJ54+EI55-ER54,IF(A55&lt;'Données projet'!$A$192,$EG$205^A55,IF(A55='Données projet'!$A$192,'Données projet'!$B$192,EJ54+EI55-ER54)))</f>
        <v>174.00000000000006</v>
      </c>
      <c r="EK55" s="18">
        <f>EJ55*VLOOKUP('Données projet'!$B$15,Paramètres!$A$1:$I$89,3,0)*VLOOKUP('Données projet'!$B$15,Paramètres!$A$1:$I$89,5,0)</f>
        <v>168.29280000000006</v>
      </c>
      <c r="EL55" s="14">
        <f t="shared" si="45"/>
        <v>42.707443263135104</v>
      </c>
      <c r="EM55" s="22">
        <f t="shared" si="19"/>
        <v>367.49209034996039</v>
      </c>
      <c r="EN55" s="62">
        <f t="shared" si="20"/>
        <v>608.00216976335969</v>
      </c>
      <c r="EO55" s="62">
        <f ca="1">AVERAGE(OFFSET($EN$3,0,0,'Données projet'!$E$15+1,1))-AVERAGE(OFFSET($H$3,0,0,'Données projet'!$E$15+1,1))</f>
        <v>452.74627739105745</v>
      </c>
      <c r="EP55" s="62">
        <f t="shared" si="46"/>
        <v>281.80695725575106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8</v>
      </c>
      <c r="FE55" s="13">
        <f>IF('Données projet'!$A$218&gt;35,FE54+FD55-FM54,IF(A55&lt;'Données projet'!$A$218,$FB$205^A55,IF(A55='Données projet'!$A$218,'Données projet'!$B$218,FE54+FD55-FM54)))</f>
        <v>174.00000000000006</v>
      </c>
      <c r="FF55" s="18">
        <f>FE55*VLOOKUP('Données projet'!$B$16,Paramètres!$A$1:$I$89,3,0)*VLOOKUP('Données projet'!$B$16,Paramètres!$A$1:$I$89,5,0)</f>
        <v>187.29360000000005</v>
      </c>
      <c r="FG55" s="14">
        <f t="shared" si="47"/>
        <v>46.941107550760456</v>
      </c>
      <c r="FH55" s="22">
        <f t="shared" si="22"/>
        <v>407.9587823175745</v>
      </c>
      <c r="FI55" s="62">
        <f t="shared" si="23"/>
        <v>648.4688617309738</v>
      </c>
      <c r="FJ55" s="62">
        <f ca="1">AVERAGE(OFFSET($FI$3,0,0,'Données projet'!$E$16+1,1))-AVERAGE(OFFSET($H$3,0,0,'Données projet'!$E$16+1,1))</f>
        <v>492.72391755143508</v>
      </c>
      <c r="FK55" s="62">
        <f t="shared" si="48"/>
        <v>304.88554179994355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55.59365802183617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143.77000000000001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-5.6843418860808015E-14</v>
      </c>
      <c r="O56" s="14">
        <f>N56*VLOOKUP('Données projet'!$B$9,Paramètres!$A$1:$I$89,3,0)*VLOOKUP('Données projet'!$B$9,Paramètres!$A$1:$I$89,5,0)</f>
        <v>-5.1431925385259088E-14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388.8309693898596</v>
      </c>
      <c r="T56" s="62">
        <f t="shared" si="34"/>
        <v>549.06702041234382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6.7121991494251318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6.7121991494251318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>
        <f>AI56*VLOOKUP('Données projet'!$B$10,Paramètres!$A$1:$I$89,3,0)*VLOOKUP('Données projet'!$B$10,Paramètres!$A$1:$I$89,5,0)</f>
        <v>6.7984728957526396E-14</v>
      </c>
      <c r="AK56" s="14">
        <f t="shared" si="35"/>
        <v>1.0682447123141398E-12</v>
      </c>
      <c r="AL56" s="22">
        <f t="shared" si="4"/>
        <v>1.978932943548152E-12</v>
      </c>
      <c r="AM56" s="62">
        <f t="shared" si="5"/>
        <v>241.4264447738083</v>
      </c>
      <c r="AN56" s="62">
        <f ca="1">AVERAGE(OFFSET($AM$3,0,0,'Données projet'!$E$10+1,1))-AVERAGE(OFFSET($H$3,0,0,'Données projet'!$E$10+1,1))</f>
        <v>197.85998851681552</v>
      </c>
      <c r="AO56" s="62">
        <f t="shared" si="36"/>
        <v>474.54844785896239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33.812225997566706</v>
      </c>
      <c r="AV56" s="23">
        <f>EXP(-LN(2)/25)*AV55+(1-EXP(-LN(2)/25))/(LN(2)/25)*Calculateur!AQ56*Calculateur!AS56*VLOOKUP('Données projet'!$B$10,Paramètres!$A$1:$I$89,3,0)*0.475*44/12</f>
        <v>23.227345008650943</v>
      </c>
      <c r="AW56" s="23">
        <f>EXP(-LN(2)/2)*AW55+(1-EXP(-LN(2)/2))/(LN(2)/2)*AQ56*AT56*VLOOKUP('Données projet'!$B$10,Paramètres!$A$1:$I$89,3,0)*0.475*44/12</f>
        <v>1.5042379506082854E-2</v>
      </c>
      <c r="AX56" s="23">
        <f t="shared" si="6"/>
        <v>57.054613385723734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1.1368683772161603E-13</v>
      </c>
      <c r="BE56" s="14">
        <f>BD56*VLOOKUP('Données projet'!$B$11,Paramètres!$A$1:$I$89,3,0)*VLOOKUP('Données projet'!$B$11,Paramètres!$A$1:$I$89,5,0)</f>
        <v>6.7984728957526396E-14</v>
      </c>
      <c r="BF56" s="14">
        <f t="shared" si="37"/>
        <v>1.0682447123141398E-12</v>
      </c>
      <c r="BG56" s="22">
        <f t="shared" si="7"/>
        <v>1.978932943548152E-12</v>
      </c>
      <c r="BH56" s="62">
        <f t="shared" si="8"/>
        <v>241.4264447738083</v>
      </c>
      <c r="BI56" s="62">
        <f ca="1">AVERAGE(OFFSET($BH$3,0,0,'Données projet'!$E$11+1,1))-AVERAGE(OFFSET($H$3,0,0,'Données projet'!$E$11+1,1))</f>
        <v>197.85998851681552</v>
      </c>
      <c r="BJ56" s="62">
        <f t="shared" si="38"/>
        <v>474.54844785896239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33.812225997566706</v>
      </c>
      <c r="BQ56" s="23">
        <f>EXP(-LN(2)/25)*BQ55+(1-EXP(-LN(2)/25))/(LN(2)/25)*Calculateur!BL56*Calculateur!BN56*VLOOKUP('Données projet'!$B$11,Paramètres!$A$1:$I$89,3,0)*0.475*44/12</f>
        <v>23.227345008650943</v>
      </c>
      <c r="BR56" s="23">
        <f>EXP(-LN(2)/2)*BR55+(1-EXP(-LN(2)/2))/(LN(2)/2)*BL56*BO56*VLOOKUP('Données projet'!$B$11,Paramètres!$A$1:$I$89,3,0)*0.475*44/12</f>
        <v>1.5042379506082854E-2</v>
      </c>
      <c r="BS56" s="24">
        <f t="shared" si="9"/>
        <v>57.054613385723734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>
        <f>BY56*VLOOKUP('Données projet'!$B$12,Paramètres!$A$1:$I$89,3,0)*VLOOKUP('Données projet'!$B$12,Paramètres!$A$1:$I$89,5,0)</f>
        <v>0</v>
      </c>
      <c r="CA56" s="14" t="e">
        <f t="shared" si="39"/>
        <v>#NUM!</v>
      </c>
      <c r="CB56" s="22" t="e">
        <f t="shared" si="10"/>
        <v>#NUM!</v>
      </c>
      <c r="CC56" s="62" t="e">
        <f t="shared" si="11"/>
        <v>#NUM!</v>
      </c>
      <c r="CD56" s="62">
        <f ca="1">AVERAGE(OFFSET($CC$3,0,0,'Données projet'!$E$12+1,1))-AVERAGE(OFFSET($H$3,0,0,'Données projet'!$E$12+1,1))</f>
        <v>72.97248599808384</v>
      </c>
      <c r="CE56" s="62">
        <f t="shared" si="40"/>
        <v>346.88163654003574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36.855054961260613</v>
      </c>
      <c r="CL56" s="23">
        <f>EXP(-LN(2)/25)*CL55+(1-EXP(-LN(2)/25))/(LN(2)/25)*Calculateur!CG56*Calculateur!CI56*VLOOKUP('Données projet'!$B$12,Paramètres!$A$1:$I$89,3,0)*0.475*44/12</f>
        <v>6.9003540204218936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43.755408981682507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>
        <f>CT56*VLOOKUP('Données projet'!$B$13,Paramètres!$A$1:$I$89,3,0)*VLOOKUP('Données projet'!$B$13,Paramètres!$A$1:$I$89,5,0)</f>
        <v>0</v>
      </c>
      <c r="CV56" s="14" t="e">
        <f t="shared" si="41"/>
        <v>#NUM!</v>
      </c>
      <c r="CW56" s="22" t="e">
        <f t="shared" si="13"/>
        <v>#NUM!</v>
      </c>
      <c r="CX56" s="62" t="e">
        <f t="shared" si="14"/>
        <v>#NUM!</v>
      </c>
      <c r="CY56" s="62">
        <f ca="1">AVERAGE(OFFSET($CX$3,0,0,'Données projet'!$E$13+1,1))-AVERAGE(OFFSET($H$3,0,0,'Données projet'!$E$13+1,1))</f>
        <v>67.303283896086128</v>
      </c>
      <c r="CZ56" s="62">
        <f t="shared" si="42"/>
        <v>318.97925671653547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33.467264393790977</v>
      </c>
      <c r="DG56" s="23">
        <f>EXP(-LN(2)/25)*DG55+(1-EXP(-LN(2)/25))/(LN(2)/25)*Calculateur!DB56*Calculateur!DD56*VLOOKUP('Données projet'!$B$13,Paramètres!$A$1:$I$89,3,0)*0.475*44/12</f>
        <v>6.2660596397145856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39.733324033505561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>
        <f>DO56*VLOOKUP('Données projet'!$B$14,Paramètres!$A$1:$I$89,3,0)*VLOOKUP('Données projet'!$B$14,Paramètres!$A$1:$I$89,5,0)</f>
        <v>0</v>
      </c>
      <c r="DQ56" s="14" t="e">
        <f t="shared" si="43"/>
        <v>#NUM!</v>
      </c>
      <c r="DR56" s="22" t="e">
        <f t="shared" si="16"/>
        <v>#NUM!</v>
      </c>
      <c r="DS56" s="62" t="e">
        <f t="shared" si="17"/>
        <v>#NUM!</v>
      </c>
      <c r="DT56" s="62">
        <f ca="1">AVERAGE(OFFSET($DS$3,0,0,'Données projet'!$E$14+1,1))-AVERAGE(OFFSET($H$3,0,0,'Données projet'!$E$14+1,1))</f>
        <v>75.244137291704476</v>
      </c>
      <c r="DU56" s="62">
        <f t="shared" si="44"/>
        <v>366.065475656937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39.188244057314058</v>
      </c>
      <c r="EB56" s="23">
        <f>EXP(-LN(2)/25)*EB55+(1-EXP(-LN(2)/25))/(LN(2)/25)*Calculateur!DW56*Calculateur!DY56*VLOOKUP('Données projet'!$B$14,Paramètres!$A$1:$I$89,3,0)*0.475*44/12</f>
        <v>7.3371958804131507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46.525439937727207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8</v>
      </c>
      <c r="EJ56" s="13">
        <f>IF('Données projet'!$A$192&gt;35,EJ55+EI56-ER55,IF(A56&lt;'Données projet'!$A$192,$EG$205^A56,IF(A56='Données projet'!$A$192,'Données projet'!$B$192,EJ55+EI56-ER55)))</f>
        <v>182.00000000000006</v>
      </c>
      <c r="EK56" s="18">
        <f>EJ56*VLOOKUP('Données projet'!$B$15,Paramètres!$A$1:$I$89,3,0)*VLOOKUP('Données projet'!$B$15,Paramètres!$A$1:$I$89,5,0)</f>
        <v>176.03040000000004</v>
      </c>
      <c r="EL56" s="14">
        <f t="shared" si="45"/>
        <v>44.437880346232944</v>
      </c>
      <c r="EM56" s="22">
        <f t="shared" si="19"/>
        <v>383.98225493635573</v>
      </c>
      <c r="EN56" s="62">
        <f t="shared" si="20"/>
        <v>625.40869971016207</v>
      </c>
      <c r="EO56" s="62">
        <f ca="1">AVERAGE(OFFSET($EN$3,0,0,'Données projet'!$E$15+1,1))-AVERAGE(OFFSET($H$3,0,0,'Données projet'!$E$15+1,1))</f>
        <v>452.74627739105745</v>
      </c>
      <c r="EP56" s="62">
        <f t="shared" si="46"/>
        <v>281.80695725575106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8</v>
      </c>
      <c r="FE56" s="13">
        <f>IF('Données projet'!$A$218&gt;35,FE55+FD56-FM55,IF(A56&lt;'Données projet'!$A$218,$FB$205^A56,IF(A56='Données projet'!$A$218,'Données projet'!$B$218,FE55+FD56-FM55)))</f>
        <v>182.00000000000006</v>
      </c>
      <c r="FF56" s="18">
        <f>FE56*VLOOKUP('Données projet'!$B$16,Paramètres!$A$1:$I$89,3,0)*VLOOKUP('Données projet'!$B$16,Paramètres!$A$1:$I$89,5,0)</f>
        <v>195.90480000000005</v>
      </c>
      <c r="FG56" s="14">
        <f t="shared" si="47"/>
        <v>48.843085918490004</v>
      </c>
      <c r="FH56" s="22">
        <f t="shared" si="22"/>
        <v>426.26923464137013</v>
      </c>
      <c r="FI56" s="62">
        <f t="shared" si="23"/>
        <v>667.69567941517641</v>
      </c>
      <c r="FJ56" s="62">
        <f ca="1">AVERAGE(OFFSET($FI$3,0,0,'Données projet'!$E$16+1,1))-AVERAGE(OFFSET($H$3,0,0,'Données projet'!$E$16+1,1))</f>
        <v>492.72391755143508</v>
      </c>
      <c r="FK56" s="62">
        <f t="shared" si="48"/>
        <v>304.88554179994355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55.843575847401716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143.77000000000001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-5.6843418860808015E-14</v>
      </c>
      <c r="O57" s="14">
        <f>N57*VLOOKUP('Données projet'!$B$9,Paramètres!$A$1:$I$89,3,0)*VLOOKUP('Données projet'!$B$9,Paramètres!$A$1:$I$89,5,0)</f>
        <v>-5.1431925385259088E-14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388.8309693898596</v>
      </c>
      <c r="T57" s="62">
        <f t="shared" si="34"/>
        <v>549.06702041234382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6.5805770181421339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6.5805770181421339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>
        <f>AI57*VLOOKUP('Données projet'!$B$10,Paramètres!$A$1:$I$89,3,0)*VLOOKUP('Données projet'!$B$10,Paramètres!$A$1:$I$89,5,0)</f>
        <v>6.7984728957526396E-14</v>
      </c>
      <c r="AK57" s="14">
        <f t="shared" si="35"/>
        <v>1.0682447123141398E-12</v>
      </c>
      <c r="AL57" s="22">
        <f t="shared" si="4"/>
        <v>1.978932943548152E-12</v>
      </c>
      <c r="AM57" s="62">
        <f t="shared" si="5"/>
        <v>242.32691324389825</v>
      </c>
      <c r="AN57" s="62">
        <f ca="1">AVERAGE(OFFSET($AM$3,0,0,'Données projet'!$E$10+1,1))-AVERAGE(OFFSET($H$3,0,0,'Données projet'!$E$10+1,1))</f>
        <v>197.85998851681552</v>
      </c>
      <c r="AO57" s="62">
        <f t="shared" si="36"/>
        <v>474.54844785896239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33.149188869175887</v>
      </c>
      <c r="AV57" s="23">
        <f>EXP(-LN(2)/25)*AV56+(1-EXP(-LN(2)/25))/(LN(2)/25)*Calculateur!AQ57*Calculateur!AS57*VLOOKUP('Données projet'!$B$10,Paramètres!$A$1:$I$89,3,0)*0.475*44/12</f>
        <v>22.592192037916394</v>
      </c>
      <c r="AW57" s="23">
        <f>EXP(-LN(2)/2)*AW56+(1-EXP(-LN(2)/2))/(LN(2)/2)*AQ57*AT57*VLOOKUP('Données projet'!$B$10,Paramètres!$A$1:$I$89,3,0)*0.475*44/12</f>
        <v>1.0636568553932737E-2</v>
      </c>
      <c r="AX57" s="23">
        <f t="shared" si="6"/>
        <v>55.752017475646213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1.1368683772161603E-13</v>
      </c>
      <c r="BE57" s="14">
        <f>BD57*VLOOKUP('Données projet'!$B$11,Paramètres!$A$1:$I$89,3,0)*VLOOKUP('Données projet'!$B$11,Paramètres!$A$1:$I$89,5,0)</f>
        <v>6.7984728957526396E-14</v>
      </c>
      <c r="BF57" s="14">
        <f t="shared" si="37"/>
        <v>1.0682447123141398E-12</v>
      </c>
      <c r="BG57" s="22">
        <f t="shared" si="7"/>
        <v>1.978932943548152E-12</v>
      </c>
      <c r="BH57" s="62">
        <f t="shared" si="8"/>
        <v>242.32691324389825</v>
      </c>
      <c r="BI57" s="62">
        <f ca="1">AVERAGE(OFFSET($BH$3,0,0,'Données projet'!$E$11+1,1))-AVERAGE(OFFSET($H$3,0,0,'Données projet'!$E$11+1,1))</f>
        <v>197.85998851681552</v>
      </c>
      <c r="BJ57" s="62">
        <f t="shared" si="38"/>
        <v>474.54844785896239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33.149188869175887</v>
      </c>
      <c r="BQ57" s="23">
        <f>EXP(-LN(2)/25)*BQ56+(1-EXP(-LN(2)/25))/(LN(2)/25)*Calculateur!BL57*Calculateur!BN57*VLOOKUP('Données projet'!$B$11,Paramètres!$A$1:$I$89,3,0)*0.475*44/12</f>
        <v>22.592192037916394</v>
      </c>
      <c r="BR57" s="23">
        <f>EXP(-LN(2)/2)*BR56+(1-EXP(-LN(2)/2))/(LN(2)/2)*BL57*BO57*VLOOKUP('Données projet'!$B$11,Paramètres!$A$1:$I$89,3,0)*0.475*44/12</f>
        <v>1.0636568553932737E-2</v>
      </c>
      <c r="BS57" s="24">
        <f t="shared" si="9"/>
        <v>55.752017475646213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>
        <f>BY57*VLOOKUP('Données projet'!$B$12,Paramètres!$A$1:$I$89,3,0)*VLOOKUP('Données projet'!$B$12,Paramètres!$A$1:$I$89,5,0)</f>
        <v>0</v>
      </c>
      <c r="CA57" s="14" t="e">
        <f t="shared" si="39"/>
        <v>#NUM!</v>
      </c>
      <c r="CB57" s="22" t="e">
        <f t="shared" si="10"/>
        <v>#NUM!</v>
      </c>
      <c r="CC57" s="62" t="e">
        <f t="shared" si="11"/>
        <v>#NUM!</v>
      </c>
      <c r="CD57" s="62">
        <f ca="1">AVERAGE(OFFSET($CC$3,0,0,'Données projet'!$E$12+1,1))-AVERAGE(OFFSET($H$3,0,0,'Données projet'!$E$12+1,1))</f>
        <v>72.97248599808384</v>
      </c>
      <c r="CE57" s="62">
        <f t="shared" si="40"/>
        <v>346.88163654003574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36.132349812834164</v>
      </c>
      <c r="CL57" s="23">
        <f>EXP(-LN(2)/25)*CL56+(1-EXP(-LN(2)/25))/(LN(2)/25)*Calculateur!CG57*Calculateur!CI57*VLOOKUP('Données projet'!$B$12,Paramètres!$A$1:$I$89,3,0)*0.475*44/12</f>
        <v>6.7116634768596102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42.844013289693777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>
        <f>CT57*VLOOKUP('Données projet'!$B$13,Paramètres!$A$1:$I$89,3,0)*VLOOKUP('Données projet'!$B$13,Paramètres!$A$1:$I$89,5,0)</f>
        <v>0</v>
      </c>
      <c r="CV57" s="14" t="e">
        <f t="shared" si="41"/>
        <v>#NUM!</v>
      </c>
      <c r="CW57" s="22" t="e">
        <f t="shared" si="13"/>
        <v>#NUM!</v>
      </c>
      <c r="CX57" s="62" t="e">
        <f t="shared" si="14"/>
        <v>#NUM!</v>
      </c>
      <c r="CY57" s="62">
        <f ca="1">AVERAGE(OFFSET($CX$3,0,0,'Données projet'!$E$13+1,1))-AVERAGE(OFFSET($H$3,0,0,'Données projet'!$E$13+1,1))</f>
        <v>67.303283896086128</v>
      </c>
      <c r="CZ57" s="62">
        <f t="shared" si="42"/>
        <v>318.97925671653547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32.810991752044401</v>
      </c>
      <c r="DG57" s="23">
        <f>EXP(-LN(2)/25)*DG56+(1-EXP(-LN(2)/25))/(LN(2)/25)*Calculateur!DB57*Calculateur!DD57*VLOOKUP('Données projet'!$B$13,Paramètres!$A$1:$I$89,3,0)*0.475*44/12</f>
        <v>6.0947139093488349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38.905705661393235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>
        <f>DO57*VLOOKUP('Données projet'!$B$14,Paramètres!$A$1:$I$89,3,0)*VLOOKUP('Données projet'!$B$14,Paramètres!$A$1:$I$89,5,0)</f>
        <v>0</v>
      </c>
      <c r="DQ57" s="14" t="e">
        <f t="shared" si="43"/>
        <v>#NUM!</v>
      </c>
      <c r="DR57" s="22" t="e">
        <f t="shared" si="16"/>
        <v>#NUM!</v>
      </c>
      <c r="DS57" s="62" t="e">
        <f t="shared" si="17"/>
        <v>#NUM!</v>
      </c>
      <c r="DT57" s="62">
        <f ca="1">AVERAGE(OFFSET($DS$3,0,0,'Données projet'!$E$14+1,1))-AVERAGE(OFFSET($H$3,0,0,'Données projet'!$E$14+1,1))</f>
        <v>75.244137291704476</v>
      </c>
      <c r="DU57" s="62">
        <f t="shared" si="44"/>
        <v>366.065475656937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38.419786493818833</v>
      </c>
      <c r="EB57" s="23">
        <f>EXP(-LN(2)/25)*EB56+(1-EXP(-LN(2)/25))/(LN(2)/25)*Calculateur!DW57*Calculateur!DY57*VLOOKUP('Données projet'!$B$14,Paramètres!$A$1:$I$89,3,0)*0.475*44/12</f>
        <v>7.1365598732168909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45.556346367035722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8</v>
      </c>
      <c r="EJ57" s="13">
        <f>IF('Données projet'!$A$192&gt;35,EJ56+EI57-ER56,IF(A57&lt;'Données projet'!$A$192,$EG$205^A57,IF(A57='Données projet'!$A$192,'Données projet'!$B$192,EJ56+EI57-ER56)))</f>
        <v>190.00000000000006</v>
      </c>
      <c r="EK57" s="18">
        <f>EJ57*VLOOKUP('Données projet'!$B$15,Paramètres!$A$1:$I$89,3,0)*VLOOKUP('Données projet'!$B$15,Paramètres!$A$1:$I$89,5,0)</f>
        <v>183.76800000000006</v>
      </c>
      <c r="EL57" s="14">
        <f t="shared" si="45"/>
        <v>46.159483283907285</v>
      </c>
      <c r="EM57" s="22">
        <f t="shared" si="19"/>
        <v>400.45703338613862</v>
      </c>
      <c r="EN57" s="62">
        <f t="shared" si="20"/>
        <v>642.78394663003485</v>
      </c>
      <c r="EO57" s="62">
        <f ca="1">AVERAGE(OFFSET($EN$3,0,0,'Données projet'!$E$15+1,1))-AVERAGE(OFFSET($H$3,0,0,'Données projet'!$E$15+1,1))</f>
        <v>452.74627739105745</v>
      </c>
      <c r="EP57" s="62">
        <f t="shared" si="46"/>
        <v>281.80695725575106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8</v>
      </c>
      <c r="FE57" s="13">
        <f>IF('Données projet'!$A$218&gt;35,FE56+FD57-FM56,IF(A57&lt;'Données projet'!$A$218,$FB$205^A57,IF(A57='Données projet'!$A$218,'Données projet'!$B$218,FE56+FD57-FM56)))</f>
        <v>190.00000000000006</v>
      </c>
      <c r="FF57" s="18">
        <f>FE57*VLOOKUP('Données projet'!$B$16,Paramètres!$A$1:$I$89,3,0)*VLOOKUP('Données projet'!$B$16,Paramètres!$A$1:$I$89,5,0)</f>
        <v>204.51600000000005</v>
      </c>
      <c r="FG57" s="14">
        <f t="shared" si="47"/>
        <v>50.735354396355888</v>
      </c>
      <c r="FH57" s="22">
        <f t="shared" si="22"/>
        <v>444.5627755736532</v>
      </c>
      <c r="FI57" s="62">
        <f t="shared" si="23"/>
        <v>686.88968881754943</v>
      </c>
      <c r="FJ57" s="62">
        <f ca="1">AVERAGE(OFFSET($FI$3,0,0,'Données projet'!$E$16+1,1))-AVERAGE(OFFSET($H$3,0,0,'Données projet'!$E$16+1,1))</f>
        <v>492.72391755143508</v>
      </c>
      <c r="FK57" s="62">
        <f t="shared" si="48"/>
        <v>304.88554179994355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56.089158157426262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143.77000000000001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-5.6843418860808015E-14</v>
      </c>
      <c r="O58" s="14">
        <f>N58*VLOOKUP('Données projet'!$B$9,Paramètres!$A$1:$I$89,3,0)*VLOOKUP('Données projet'!$B$9,Paramètres!$A$1:$I$89,5,0)</f>
        <v>-5.1431925385259088E-14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388.8309693898596</v>
      </c>
      <c r="T58" s="62">
        <f t="shared" si="34"/>
        <v>549.06702041234382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6.4515359165720225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6.4515359165720225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>
        <f>AI58*VLOOKUP('Données projet'!$B$10,Paramètres!$A$1:$I$89,3,0)*VLOOKUP('Données projet'!$B$10,Paramètres!$A$1:$I$89,5,0)</f>
        <v>6.7984728957526396E-14</v>
      </c>
      <c r="AK58" s="14">
        <f t="shared" si="35"/>
        <v>1.0682447123141398E-12</v>
      </c>
      <c r="AL58" s="22">
        <f t="shared" si="4"/>
        <v>1.978932943548152E-12</v>
      </c>
      <c r="AM58" s="62">
        <f t="shared" si="5"/>
        <v>243.21176059917806</v>
      </c>
      <c r="AN58" s="62">
        <f ca="1">AVERAGE(OFFSET($AM$3,0,0,'Données projet'!$E$10+1,1))-AVERAGE(OFFSET($H$3,0,0,'Données projet'!$E$10+1,1))</f>
        <v>197.85998851681552</v>
      </c>
      <c r="AO58" s="62">
        <f t="shared" si="36"/>
        <v>474.54844785896239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32.499153494460096</v>
      </c>
      <c r="AV58" s="23">
        <f>EXP(-LN(2)/25)*AV57+(1-EXP(-LN(2)/25))/(LN(2)/25)*Calculateur!AQ58*Calculateur!AS58*VLOOKUP('Données projet'!$B$10,Paramètres!$A$1:$I$89,3,0)*0.475*44/12</f>
        <v>21.974407358567827</v>
      </c>
      <c r="AW58" s="23">
        <f>EXP(-LN(2)/2)*AW57+(1-EXP(-LN(2)/2))/(LN(2)/2)*AQ58*AT58*VLOOKUP('Données projet'!$B$10,Paramètres!$A$1:$I$89,3,0)*0.475*44/12</f>
        <v>7.5211897530414289E-3</v>
      </c>
      <c r="AX58" s="23">
        <f t="shared" si="6"/>
        <v>54.481082042780962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1.1368683772161603E-13</v>
      </c>
      <c r="BE58" s="14">
        <f>BD58*VLOOKUP('Données projet'!$B$11,Paramètres!$A$1:$I$89,3,0)*VLOOKUP('Données projet'!$B$11,Paramètres!$A$1:$I$89,5,0)</f>
        <v>6.7984728957526396E-14</v>
      </c>
      <c r="BF58" s="14">
        <f t="shared" si="37"/>
        <v>1.0682447123141398E-12</v>
      </c>
      <c r="BG58" s="22">
        <f t="shared" si="7"/>
        <v>1.978932943548152E-12</v>
      </c>
      <c r="BH58" s="62">
        <f t="shared" si="8"/>
        <v>243.21176059917806</v>
      </c>
      <c r="BI58" s="62">
        <f ca="1">AVERAGE(OFFSET($BH$3,0,0,'Données projet'!$E$11+1,1))-AVERAGE(OFFSET($H$3,0,0,'Données projet'!$E$11+1,1))</f>
        <v>197.85998851681552</v>
      </c>
      <c r="BJ58" s="62">
        <f t="shared" si="38"/>
        <v>474.54844785896239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32.499153494460096</v>
      </c>
      <c r="BQ58" s="23">
        <f>EXP(-LN(2)/25)*BQ57+(1-EXP(-LN(2)/25))/(LN(2)/25)*Calculateur!BL58*Calculateur!BN58*VLOOKUP('Données projet'!$B$11,Paramètres!$A$1:$I$89,3,0)*0.475*44/12</f>
        <v>21.974407358567827</v>
      </c>
      <c r="BR58" s="23">
        <f>EXP(-LN(2)/2)*BR57+(1-EXP(-LN(2)/2))/(LN(2)/2)*BL58*BO58*VLOOKUP('Données projet'!$B$11,Paramètres!$A$1:$I$89,3,0)*0.475*44/12</f>
        <v>7.5211897530414289E-3</v>
      </c>
      <c r="BS58" s="24">
        <f t="shared" si="9"/>
        <v>54.481082042780962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>
        <f>BY58*VLOOKUP('Données projet'!$B$12,Paramètres!$A$1:$I$89,3,0)*VLOOKUP('Données projet'!$B$12,Paramètres!$A$1:$I$89,5,0)</f>
        <v>0</v>
      </c>
      <c r="CA58" s="14" t="e">
        <f t="shared" si="39"/>
        <v>#NUM!</v>
      </c>
      <c r="CB58" s="22" t="e">
        <f t="shared" si="10"/>
        <v>#NUM!</v>
      </c>
      <c r="CC58" s="62" t="e">
        <f t="shared" si="11"/>
        <v>#NUM!</v>
      </c>
      <c r="CD58" s="62">
        <f ca="1">AVERAGE(OFFSET($CC$3,0,0,'Données projet'!$E$12+1,1))-AVERAGE(OFFSET($H$3,0,0,'Données projet'!$E$12+1,1))</f>
        <v>72.97248599808384</v>
      </c>
      <c r="CE58" s="62">
        <f t="shared" si="40"/>
        <v>346.88163654003574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35.423816471561743</v>
      </c>
      <c r="CL58" s="23">
        <f>EXP(-LN(2)/25)*CL57+(1-EXP(-LN(2)/25))/(LN(2)/25)*Calculateur!CG58*Calculateur!CI58*VLOOKUP('Données projet'!$B$12,Paramètres!$A$1:$I$89,3,0)*0.475*44/12</f>
        <v>6.5281326861338416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41.951949157695587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>
        <f>CT58*VLOOKUP('Données projet'!$B$13,Paramètres!$A$1:$I$89,3,0)*VLOOKUP('Données projet'!$B$13,Paramètres!$A$1:$I$89,5,0)</f>
        <v>0</v>
      </c>
      <c r="CV58" s="14" t="e">
        <f t="shared" si="41"/>
        <v>#NUM!</v>
      </c>
      <c r="CW58" s="22" t="e">
        <f t="shared" si="13"/>
        <v>#NUM!</v>
      </c>
      <c r="CX58" s="62" t="e">
        <f t="shared" si="14"/>
        <v>#NUM!</v>
      </c>
      <c r="CY58" s="62">
        <f ca="1">AVERAGE(OFFSET($CX$3,0,0,'Données projet'!$E$13+1,1))-AVERAGE(OFFSET($H$3,0,0,'Données projet'!$E$13+1,1))</f>
        <v>67.303283896086128</v>
      </c>
      <c r="CZ58" s="62">
        <f t="shared" si="42"/>
        <v>318.97925671653547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32.167588216515689</v>
      </c>
      <c r="DG58" s="23">
        <f>EXP(-LN(2)/25)*DG57+(1-EXP(-LN(2)/25))/(LN(2)/25)*Calculateur!DB58*Calculateur!DD58*VLOOKUP('Données projet'!$B$13,Paramètres!$A$1:$I$89,3,0)*0.475*44/12</f>
        <v>5.928053636990616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38.095641853506308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>
        <f>DO58*VLOOKUP('Données projet'!$B$14,Paramètres!$A$1:$I$89,3,0)*VLOOKUP('Données projet'!$B$14,Paramètres!$A$1:$I$89,5,0)</f>
        <v>0</v>
      </c>
      <c r="DQ58" s="14" t="e">
        <f t="shared" si="43"/>
        <v>#NUM!</v>
      </c>
      <c r="DR58" s="22" t="e">
        <f t="shared" si="16"/>
        <v>#NUM!</v>
      </c>
      <c r="DS58" s="62" t="e">
        <f t="shared" si="17"/>
        <v>#NUM!</v>
      </c>
      <c r="DT58" s="62">
        <f ca="1">AVERAGE(OFFSET($DS$3,0,0,'Données projet'!$E$14+1,1))-AVERAGE(OFFSET($H$3,0,0,'Données projet'!$E$14+1,1))</f>
        <v>75.244137291704476</v>
      </c>
      <c r="DU58" s="62">
        <f t="shared" si="44"/>
        <v>366.065475656937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37.666397914430917</v>
      </c>
      <c r="EB58" s="23">
        <f>EXP(-LN(2)/25)*EB57+(1-EXP(-LN(2)/25))/(LN(2)/25)*Calculateur!DW58*Calculateur!DY58*VLOOKUP('Données projet'!$B$14,Paramètres!$A$1:$I$89,3,0)*0.475*44/12</f>
        <v>6.9414102681884025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44.607808182619323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198</v>
      </c>
      <c r="EH58" s="13">
        <f>VLOOKUP(A58,'Données projet'!$A$191:$I$211,9,0)</f>
        <v>8</v>
      </c>
      <c r="EI58" s="13">
        <f t="array" ref="EI58">INDEX(EH:EH,MIN(IF(ISNUMBER(EH58:EH254),ROW(EH58:EH254),"")))</f>
        <v>8</v>
      </c>
      <c r="EJ58" s="13">
        <f>IF('Données projet'!$A$192&gt;35,EJ57+EI58-ER57,IF(A58&lt;'Données projet'!$A$192,$EG$205^A58,IF(A58='Données projet'!$A$192,'Données projet'!$B$192,EJ57+EI58-ER57)))</f>
        <v>198.00000000000006</v>
      </c>
      <c r="EK58" s="18">
        <f>EJ58*VLOOKUP('Données projet'!$B$15,Paramètres!$A$1:$I$89,3,0)*VLOOKUP('Données projet'!$B$15,Paramètres!$A$1:$I$89,5,0)</f>
        <v>191.50560000000007</v>
      </c>
      <c r="EL58" s="14">
        <f t="shared" si="45"/>
        <v>47.872666570685276</v>
      </c>
      <c r="EM58" s="22">
        <f t="shared" si="19"/>
        <v>416.9171476106103</v>
      </c>
      <c r="EN58" s="62">
        <f t="shared" si="20"/>
        <v>660.12890820978635</v>
      </c>
      <c r="EO58" s="62">
        <f ca="1">AVERAGE(OFFSET($EN$3,0,0,'Données projet'!$E$15+1,1))-AVERAGE(OFFSET($H$3,0,0,'Données projet'!$E$15+1,1))</f>
        <v>452.74627739105745</v>
      </c>
      <c r="EP58" s="62">
        <f t="shared" si="46"/>
        <v>281.80695725575106</v>
      </c>
      <c r="EQ58" s="16">
        <f>IF(ISNA(VLOOKUP(A58,'Données projet'!$A$191:$I$211,3,0)),0,VLOOKUP(A58,'Données projet'!$A$191:$I$211,3,0))</f>
        <v>7</v>
      </c>
      <c r="ER58" s="16">
        <f>IF(ISNA(VLOOKUP(A58,'Données projet'!$A$191:$I$211,4,0)),0,VLOOKUP(A58,'Données projet'!$A$191:$I$211,4,0))</f>
        <v>21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198</v>
      </c>
      <c r="FC58" s="13">
        <f>VLOOKUP(A58,'Données projet'!$A$217:$I$237,9,0)</f>
        <v>8</v>
      </c>
      <c r="FD58" s="13">
        <f t="array" ref="FD58">INDEX(FC:FC,MIN(IF(ISNUMBER(FC58:FC254),ROW(FC58:FC254),"")))</f>
        <v>8</v>
      </c>
      <c r="FE58" s="13">
        <f>IF('Données projet'!$A$218&gt;35,FE57+FD58-FM57,IF(A58&lt;'Données projet'!$A$218,$FB$205^A58,IF(A58='Données projet'!$A$218,'Données projet'!$B$218,FE57+FD58-FM57)))</f>
        <v>198.00000000000006</v>
      </c>
      <c r="FF58" s="18">
        <f>FE58*VLOOKUP('Données projet'!$B$16,Paramètres!$A$1:$I$89,3,0)*VLOOKUP('Données projet'!$B$16,Paramètres!$A$1:$I$89,5,0)</f>
        <v>213.12720000000004</v>
      </c>
      <c r="FG58" s="14">
        <f t="shared" si="47"/>
        <v>52.618368568459893</v>
      </c>
      <c r="FH58" s="22">
        <f t="shared" si="22"/>
        <v>462.8401985900677</v>
      </c>
      <c r="FI58" s="62">
        <f t="shared" si="23"/>
        <v>706.0519591892438</v>
      </c>
      <c r="FJ58" s="62">
        <f ca="1">AVERAGE(OFFSET($FI$3,0,0,'Données projet'!$E$16+1,1))-AVERAGE(OFFSET($H$3,0,0,'Données projet'!$E$16+1,1))</f>
        <v>492.72391755143508</v>
      </c>
      <c r="FK58" s="62">
        <f t="shared" si="48"/>
        <v>304.88554179994355</v>
      </c>
      <c r="FL58" s="16">
        <f>IF(ISNA(VLOOKUP(A58,'Données projet'!$A$217:$I$237,3,0)),0,VLOOKUP(A58,'Données projet'!$A$217:$I$237,3,0))</f>
        <v>7</v>
      </c>
      <c r="FM58" s="16">
        <f>IF(ISNA(VLOOKUP(A58,'Données projet'!$A$217:$I$237,4,0)),0,VLOOKUP(A58,'Données projet'!$A$217:$I$237,4,0))</f>
        <v>21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56.330480163411671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143.77000000000001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-5.6843418860808015E-14</v>
      </c>
      <c r="O59" s="14">
        <f>N59*VLOOKUP('Données projet'!$B$9,Paramètres!$A$1:$I$89,3,0)*VLOOKUP('Données projet'!$B$9,Paramètres!$A$1:$I$89,5,0)</f>
        <v>-5.1431925385259088E-14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388.8309693898596</v>
      </c>
      <c r="T59" s="62">
        <f t="shared" si="34"/>
        <v>549.06702041234382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6.3250252322964009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6.3250252322964009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>
        <f>AI59*VLOOKUP('Données projet'!$B$10,Paramètres!$A$1:$I$89,3,0)*VLOOKUP('Données projet'!$B$10,Paramètres!$A$1:$I$89,5,0)</f>
        <v>6.7984728957526396E-14</v>
      </c>
      <c r="AK59" s="14">
        <f t="shared" si="35"/>
        <v>1.0682447123141398E-12</v>
      </c>
      <c r="AL59" s="22">
        <f t="shared" si="4"/>
        <v>1.978932943548152E-12</v>
      </c>
      <c r="AM59" s="62">
        <f t="shared" si="5"/>
        <v>244.08125783106615</v>
      </c>
      <c r="AN59" s="62">
        <f ca="1">AVERAGE(OFFSET($AM$3,0,0,'Données projet'!$E$10+1,1))-AVERAGE(OFFSET($H$3,0,0,'Données projet'!$E$10+1,1))</f>
        <v>197.85998851681552</v>
      </c>
      <c r="AO59" s="62">
        <f t="shared" si="36"/>
        <v>474.54844785896239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31.861864916960052</v>
      </c>
      <c r="AV59" s="23">
        <f>EXP(-LN(2)/25)*AV58+(1-EXP(-LN(2)/25))/(LN(2)/25)*Calculateur!AQ59*Calculateur!AS59*VLOOKUP('Données projet'!$B$10,Paramètres!$A$1:$I$89,3,0)*0.475*44/12</f>
        <v>21.373516033763931</v>
      </c>
      <c r="AW59" s="23">
        <f>EXP(-LN(2)/2)*AW58+(1-EXP(-LN(2)/2))/(LN(2)/2)*AQ59*AT59*VLOOKUP('Données projet'!$B$10,Paramètres!$A$1:$I$89,3,0)*0.475*44/12</f>
        <v>5.3182842769663695E-3</v>
      </c>
      <c r="AX59" s="23">
        <f t="shared" si="6"/>
        <v>53.240699235000946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1.1368683772161603E-13</v>
      </c>
      <c r="BE59" s="14">
        <f>BD59*VLOOKUP('Données projet'!$B$11,Paramètres!$A$1:$I$89,3,0)*VLOOKUP('Données projet'!$B$11,Paramètres!$A$1:$I$89,5,0)</f>
        <v>6.7984728957526396E-14</v>
      </c>
      <c r="BF59" s="14">
        <f t="shared" si="37"/>
        <v>1.0682447123141398E-12</v>
      </c>
      <c r="BG59" s="22">
        <f t="shared" si="7"/>
        <v>1.978932943548152E-12</v>
      </c>
      <c r="BH59" s="62">
        <f t="shared" si="8"/>
        <v>244.08125783106615</v>
      </c>
      <c r="BI59" s="62">
        <f ca="1">AVERAGE(OFFSET($BH$3,0,0,'Données projet'!$E$11+1,1))-AVERAGE(OFFSET($H$3,0,0,'Données projet'!$E$11+1,1))</f>
        <v>197.85998851681552</v>
      </c>
      <c r="BJ59" s="62">
        <f t="shared" si="38"/>
        <v>474.54844785896239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31.861864916960052</v>
      </c>
      <c r="BQ59" s="23">
        <f>EXP(-LN(2)/25)*BQ58+(1-EXP(-LN(2)/25))/(LN(2)/25)*Calculateur!BL59*Calculateur!BN59*VLOOKUP('Données projet'!$B$11,Paramètres!$A$1:$I$89,3,0)*0.475*44/12</f>
        <v>21.373516033763931</v>
      </c>
      <c r="BR59" s="23">
        <f>EXP(-LN(2)/2)*BR58+(1-EXP(-LN(2)/2))/(LN(2)/2)*BL59*BO59*VLOOKUP('Données projet'!$B$11,Paramètres!$A$1:$I$89,3,0)*0.475*44/12</f>
        <v>5.3182842769663695E-3</v>
      </c>
      <c r="BS59" s="24">
        <f t="shared" si="9"/>
        <v>53.240699235000946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>
        <f>BY59*VLOOKUP('Données projet'!$B$12,Paramètres!$A$1:$I$89,3,0)*VLOOKUP('Données projet'!$B$12,Paramètres!$A$1:$I$89,5,0)</f>
        <v>0</v>
      </c>
      <c r="CA59" s="14" t="e">
        <f t="shared" si="39"/>
        <v>#NUM!</v>
      </c>
      <c r="CB59" s="22" t="e">
        <f t="shared" si="10"/>
        <v>#NUM!</v>
      </c>
      <c r="CC59" s="62" t="e">
        <f t="shared" si="11"/>
        <v>#NUM!</v>
      </c>
      <c r="CD59" s="62">
        <f ca="1">AVERAGE(OFFSET($CC$3,0,0,'Données projet'!$E$12+1,1))-AVERAGE(OFFSET($H$3,0,0,'Données projet'!$E$12+1,1))</f>
        <v>72.97248599808384</v>
      </c>
      <c r="CE59" s="62">
        <f t="shared" si="40"/>
        <v>346.88163654003574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34.729177036949011</v>
      </c>
      <c r="CL59" s="23">
        <f>EXP(-LN(2)/25)*CL58+(1-EXP(-LN(2)/25))/(LN(2)/25)*Calculateur!CG59*Calculateur!CI59*VLOOKUP('Données projet'!$B$12,Paramètres!$A$1:$I$89,3,0)*0.475*44/12</f>
        <v>6.349620554531934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41.078797591480942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>
        <f>CT59*VLOOKUP('Données projet'!$B$13,Paramètres!$A$1:$I$89,3,0)*VLOOKUP('Données projet'!$B$13,Paramètres!$A$1:$I$89,5,0)</f>
        <v>0</v>
      </c>
      <c r="CV59" s="14" t="e">
        <f t="shared" si="41"/>
        <v>#NUM!</v>
      </c>
      <c r="CW59" s="22" t="e">
        <f t="shared" si="13"/>
        <v>#NUM!</v>
      </c>
      <c r="CX59" s="62" t="e">
        <f t="shared" si="14"/>
        <v>#NUM!</v>
      </c>
      <c r="CY59" s="62">
        <f ca="1">AVERAGE(OFFSET($CX$3,0,0,'Données projet'!$E$13+1,1))-AVERAGE(OFFSET($H$3,0,0,'Données projet'!$E$13+1,1))</f>
        <v>67.303283896086128</v>
      </c>
      <c r="CZ59" s="62">
        <f t="shared" si="42"/>
        <v>318.97925671653547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31.536801431881287</v>
      </c>
      <c r="DG59" s="23">
        <f>EXP(-LN(2)/25)*DG58+(1-EXP(-LN(2)/25))/(LN(2)/25)*Calculateur!DB59*Calculateur!DD59*VLOOKUP('Données projet'!$B$13,Paramètres!$A$1:$I$89,3,0)*0.475*44/12</f>
        <v>5.7659506985443159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37.302752130425603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>
        <f>DO59*VLOOKUP('Données projet'!$B$14,Paramètres!$A$1:$I$89,3,0)*VLOOKUP('Données projet'!$B$14,Paramètres!$A$1:$I$89,5,0)</f>
        <v>0</v>
      </c>
      <c r="DQ59" s="14" t="e">
        <f t="shared" si="43"/>
        <v>#NUM!</v>
      </c>
      <c r="DR59" s="22" t="e">
        <f t="shared" si="16"/>
        <v>#NUM!</v>
      </c>
      <c r="DS59" s="62" t="e">
        <f t="shared" si="17"/>
        <v>#NUM!</v>
      </c>
      <c r="DT59" s="62">
        <f ca="1">AVERAGE(OFFSET($DS$3,0,0,'Données projet'!$E$14+1,1))-AVERAGE(OFFSET($H$3,0,0,'Données projet'!$E$14+1,1))</f>
        <v>75.244137291704476</v>
      </c>
      <c r="DU59" s="62">
        <f t="shared" si="44"/>
        <v>366.065475656937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36.927782825563135</v>
      </c>
      <c r="EB59" s="23">
        <f>EXP(-LN(2)/25)*EB58+(1-EXP(-LN(2)/25))/(LN(2)/25)*Calculateur!DW59*Calculateur!DY59*VLOOKUP('Données projet'!$B$14,Paramètres!$A$1:$I$89,3,0)*0.475*44/12</f>
        <v>6.7515970393718892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43.679379864935022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7.4</v>
      </c>
      <c r="EJ59" s="13">
        <f>IF('Données projet'!$A$192&gt;35,EJ58+EI59-ER58,IF(A59&lt;'Données projet'!$A$192,$EG$205^A59,IF(A59='Données projet'!$A$192,'Données projet'!$B$192,EJ58+EI59-ER58)))</f>
        <v>184.40000000000006</v>
      </c>
      <c r="EK59" s="18">
        <f>EJ59*VLOOKUP('Données projet'!$B$15,Paramètres!$A$1:$I$89,3,0)*VLOOKUP('Données projet'!$B$15,Paramètres!$A$1:$I$89,5,0)</f>
        <v>178.35168000000004</v>
      </c>
      <c r="EL59" s="14">
        <f t="shared" si="45"/>
        <v>44.95526921941952</v>
      </c>
      <c r="EM59" s="22">
        <f t="shared" si="19"/>
        <v>388.92626989048904</v>
      </c>
      <c r="EN59" s="62">
        <f t="shared" si="20"/>
        <v>633.00752772155317</v>
      </c>
      <c r="EO59" s="62">
        <f ca="1">AVERAGE(OFFSET($EN$3,0,0,'Données projet'!$E$15+1,1))-AVERAGE(OFFSET($H$3,0,0,'Données projet'!$E$15+1,1))</f>
        <v>452.74627739105745</v>
      </c>
      <c r="EP59" s="62">
        <f t="shared" si="46"/>
        <v>281.80695725575106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7.4</v>
      </c>
      <c r="FE59" s="13">
        <f>IF('Données projet'!$A$218&gt;35,FE58+FD59-FM58,IF(A59&lt;'Données projet'!$A$218,$FB$205^A59,IF(A59='Données projet'!$A$218,'Données projet'!$B$218,FE58+FD59-FM58)))</f>
        <v>184.40000000000006</v>
      </c>
      <c r="FF59" s="18">
        <f>FE59*VLOOKUP('Données projet'!$B$16,Paramètres!$A$1:$I$89,3,0)*VLOOKUP('Données projet'!$B$16,Paramètres!$A$1:$I$89,5,0)</f>
        <v>198.48816000000005</v>
      </c>
      <c r="FG59" s="14">
        <f t="shared" si="47"/>
        <v>49.411764464573423</v>
      </c>
      <c r="FH59" s="22">
        <f t="shared" si="22"/>
        <v>431.75903510913213</v>
      </c>
      <c r="FI59" s="62">
        <f t="shared" si="23"/>
        <v>675.84029294019626</v>
      </c>
      <c r="FJ59" s="62">
        <f ca="1">AVERAGE(OFFSET($FI$3,0,0,'Données projet'!$E$16+1,1))-AVERAGE(OFFSET($H$3,0,0,'Données projet'!$E$16+1,1))</f>
        <v>492.72391755143508</v>
      </c>
      <c r="FK59" s="62">
        <f t="shared" si="48"/>
        <v>304.88554179994355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56.567615772108411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143.77000000000001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-5.6843418860808015E-14</v>
      </c>
      <c r="O60" s="14">
        <f>N60*VLOOKUP('Données projet'!$B$9,Paramètres!$A$1:$I$89,3,0)*VLOOKUP('Données projet'!$B$9,Paramètres!$A$1:$I$89,5,0)</f>
        <v>-5.1431925385259088E-14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388.8309693898596</v>
      </c>
      <c r="T60" s="62">
        <f t="shared" si="34"/>
        <v>549.06702041234382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6.2009953453755253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6.2009953453755253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>
        <f>AI60*VLOOKUP('Données projet'!$B$10,Paramètres!$A$1:$I$89,3,0)*VLOOKUP('Données projet'!$B$10,Paramètres!$A$1:$I$89,5,0)</f>
        <v>6.7984728957526396E-14</v>
      </c>
      <c r="AK60" s="14">
        <f t="shared" si="35"/>
        <v>1.0682447123141398E-12</v>
      </c>
      <c r="AL60" s="22">
        <f t="shared" si="4"/>
        <v>1.978932943548152E-12</v>
      </c>
      <c r="AM60" s="62">
        <f t="shared" si="5"/>
        <v>244.93567122988551</v>
      </c>
      <c r="AN60" s="62">
        <f ca="1">AVERAGE(OFFSET($AM$3,0,0,'Données projet'!$E$10+1,1))-AVERAGE(OFFSET($H$3,0,0,'Données projet'!$E$10+1,1))</f>
        <v>197.85998851681552</v>
      </c>
      <c r="AO60" s="62">
        <f t="shared" si="36"/>
        <v>474.54844785896239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31.237073179757132</v>
      </c>
      <c r="AV60" s="23">
        <f>EXP(-LN(2)/25)*AV59+(1-EXP(-LN(2)/25))/(LN(2)/25)*Calculateur!AQ60*Calculateur!AS60*VLOOKUP('Données projet'!$B$10,Paramètres!$A$1:$I$89,3,0)*0.475*44/12</f>
        <v>20.789056113836299</v>
      </c>
      <c r="AW60" s="23">
        <f>EXP(-LN(2)/2)*AW59+(1-EXP(-LN(2)/2))/(LN(2)/2)*AQ60*AT60*VLOOKUP('Données projet'!$B$10,Paramètres!$A$1:$I$89,3,0)*0.475*44/12</f>
        <v>3.7605948765207149E-3</v>
      </c>
      <c r="AX60" s="23">
        <f t="shared" si="6"/>
        <v>52.029889888469945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1.1368683772161603E-13</v>
      </c>
      <c r="BE60" s="14">
        <f>BD60*VLOOKUP('Données projet'!$B$11,Paramètres!$A$1:$I$89,3,0)*VLOOKUP('Données projet'!$B$11,Paramètres!$A$1:$I$89,5,0)</f>
        <v>6.7984728957526396E-14</v>
      </c>
      <c r="BF60" s="14">
        <f t="shared" si="37"/>
        <v>1.0682447123141398E-12</v>
      </c>
      <c r="BG60" s="22">
        <f t="shared" si="7"/>
        <v>1.978932943548152E-12</v>
      </c>
      <c r="BH60" s="62">
        <f t="shared" si="8"/>
        <v>244.93567122988551</v>
      </c>
      <c r="BI60" s="62">
        <f ca="1">AVERAGE(OFFSET($BH$3,0,0,'Données projet'!$E$11+1,1))-AVERAGE(OFFSET($H$3,0,0,'Données projet'!$E$11+1,1))</f>
        <v>197.85998851681552</v>
      </c>
      <c r="BJ60" s="62">
        <f t="shared" si="38"/>
        <v>474.54844785896239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31.237073179757132</v>
      </c>
      <c r="BQ60" s="23">
        <f>EXP(-LN(2)/25)*BQ59+(1-EXP(-LN(2)/25))/(LN(2)/25)*Calculateur!BL60*Calculateur!BN60*VLOOKUP('Données projet'!$B$11,Paramètres!$A$1:$I$89,3,0)*0.475*44/12</f>
        <v>20.789056113836299</v>
      </c>
      <c r="BR60" s="23">
        <f>EXP(-LN(2)/2)*BR59+(1-EXP(-LN(2)/2))/(LN(2)/2)*BL60*BO60*VLOOKUP('Données projet'!$B$11,Paramètres!$A$1:$I$89,3,0)*0.475*44/12</f>
        <v>3.7605948765207149E-3</v>
      </c>
      <c r="BS60" s="24">
        <f t="shared" si="9"/>
        <v>52.029889888469945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>
        <f>BY60*VLOOKUP('Données projet'!$B$12,Paramètres!$A$1:$I$89,3,0)*VLOOKUP('Données projet'!$B$12,Paramètres!$A$1:$I$89,5,0)</f>
        <v>0</v>
      </c>
      <c r="CA60" s="14" t="e">
        <f t="shared" si="39"/>
        <v>#NUM!</v>
      </c>
      <c r="CB60" s="22" t="e">
        <f t="shared" si="10"/>
        <v>#NUM!</v>
      </c>
      <c r="CC60" s="62" t="e">
        <f t="shared" si="11"/>
        <v>#NUM!</v>
      </c>
      <c r="CD60" s="62">
        <f ca="1">AVERAGE(OFFSET($CC$3,0,0,'Données projet'!$E$12+1,1))-AVERAGE(OFFSET($H$3,0,0,'Données projet'!$E$12+1,1))</f>
        <v>72.97248599808384</v>
      </c>
      <c r="CE60" s="62">
        <f t="shared" si="40"/>
        <v>346.88163654003574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34.048159057960817</v>
      </c>
      <c r="CL60" s="23">
        <f>EXP(-LN(2)/25)*CL59+(1-EXP(-LN(2)/25))/(LN(2)/25)*Calculateur!CG60*Calculateur!CI60*VLOOKUP('Données projet'!$B$12,Paramètres!$A$1:$I$89,3,0)*0.475*44/12</f>
        <v>6.1759898465562255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40.224148904517044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>
        <f>CT60*VLOOKUP('Données projet'!$B$13,Paramètres!$A$1:$I$89,3,0)*VLOOKUP('Données projet'!$B$13,Paramètres!$A$1:$I$89,5,0)</f>
        <v>0</v>
      </c>
      <c r="CV60" s="14" t="e">
        <f t="shared" si="41"/>
        <v>#NUM!</v>
      </c>
      <c r="CW60" s="22" t="e">
        <f t="shared" si="13"/>
        <v>#NUM!</v>
      </c>
      <c r="CX60" s="62" t="e">
        <f t="shared" si="14"/>
        <v>#NUM!</v>
      </c>
      <c r="CY60" s="62">
        <f ca="1">AVERAGE(OFFSET($CX$3,0,0,'Données projet'!$E$13+1,1))-AVERAGE(OFFSET($H$3,0,0,'Données projet'!$E$13+1,1))</f>
        <v>67.303283896086128</v>
      </c>
      <c r="CZ60" s="62">
        <f t="shared" si="42"/>
        <v>318.97925671653547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30.918383991351615</v>
      </c>
      <c r="DG60" s="23">
        <f>EXP(-LN(2)/25)*DG59+(1-EXP(-LN(2)/25))/(LN(2)/25)*Calculateur!DB60*Calculateur!DD60*VLOOKUP('Données projet'!$B$13,Paramètres!$A$1:$I$89,3,0)*0.475*44/12</f>
        <v>5.6082804734744522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36.526664464826069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>
        <f>DO60*VLOOKUP('Données projet'!$B$14,Paramètres!$A$1:$I$89,3,0)*VLOOKUP('Données projet'!$B$14,Paramètres!$A$1:$I$89,5,0)</f>
        <v>0</v>
      </c>
      <c r="DQ60" s="14" t="e">
        <f t="shared" si="43"/>
        <v>#NUM!</v>
      </c>
      <c r="DR60" s="22" t="e">
        <f t="shared" si="16"/>
        <v>#NUM!</v>
      </c>
      <c r="DS60" s="62" t="e">
        <f t="shared" si="17"/>
        <v>#NUM!</v>
      </c>
      <c r="DT60" s="62">
        <f ca="1">AVERAGE(OFFSET($DS$3,0,0,'Données projet'!$E$14+1,1))-AVERAGE(OFFSET($H$3,0,0,'Données projet'!$E$14+1,1))</f>
        <v>75.244137291704476</v>
      </c>
      <c r="DU60" s="62">
        <f t="shared" si="44"/>
        <v>366.065475656937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36.20365152807733</v>
      </c>
      <c r="EB60" s="23">
        <f>EXP(-LN(2)/25)*EB59+(1-EXP(-LN(2)/25))/(LN(2)/25)*Calculateur!DW60*Calculateur!DY60*VLOOKUP('Données projet'!$B$14,Paramètres!$A$1:$I$89,3,0)*0.475*44/12</f>
        <v>6.5669742632792074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42.770625791356537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7.4</v>
      </c>
      <c r="EJ60" s="13">
        <f>IF('Données projet'!$A$192&gt;35,EJ59+EI60-ER59,IF(A60&lt;'Données projet'!$A$192,$EG$205^A60,IF(A60='Données projet'!$A$192,'Données projet'!$B$192,EJ59+EI60-ER59)))</f>
        <v>191.80000000000007</v>
      </c>
      <c r="EK60" s="18">
        <f>EJ60*VLOOKUP('Données projet'!$B$15,Paramètres!$A$1:$I$89,3,0)*VLOOKUP('Données projet'!$B$15,Paramètres!$A$1:$I$89,5,0)</f>
        <v>185.50896000000006</v>
      </c>
      <c r="EL60" s="14">
        <f t="shared" si="45"/>
        <v>46.545669588393878</v>
      </c>
      <c r="EM60" s="22">
        <f t="shared" si="19"/>
        <v>404.16181319978608</v>
      </c>
      <c r="EN60" s="62">
        <f t="shared" si="20"/>
        <v>649.09748442966963</v>
      </c>
      <c r="EO60" s="62">
        <f ca="1">AVERAGE(OFFSET($EN$3,0,0,'Données projet'!$E$15+1,1))-AVERAGE(OFFSET($H$3,0,0,'Données projet'!$E$15+1,1))</f>
        <v>452.74627739105745</v>
      </c>
      <c r="EP60" s="62">
        <f t="shared" si="46"/>
        <v>281.80695725575106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7.4</v>
      </c>
      <c r="FE60" s="13">
        <f>IF('Données projet'!$A$218&gt;35,FE59+FD60-FM59,IF(A60&lt;'Données projet'!$A$218,$FB$205^A60,IF(A60='Données projet'!$A$218,'Données projet'!$B$218,FE59+FD60-FM59)))</f>
        <v>191.80000000000007</v>
      </c>
      <c r="FF60" s="18">
        <f>FE60*VLOOKUP('Données projet'!$B$16,Paramètres!$A$1:$I$89,3,0)*VLOOKUP('Données projet'!$B$16,Paramètres!$A$1:$I$89,5,0)</f>
        <v>206.45352000000008</v>
      </c>
      <c r="FG60" s="14">
        <f t="shared" si="47"/>
        <v>51.159824031352372</v>
      </c>
      <c r="FH60" s="22">
        <f t="shared" si="22"/>
        <v>448.6765741879388</v>
      </c>
      <c r="FI60" s="62">
        <f t="shared" si="23"/>
        <v>693.61224541782235</v>
      </c>
      <c r="FJ60" s="62">
        <f ca="1">AVERAGE(OFFSET($FI$3,0,0,'Données projet'!$E$16+1,1))-AVERAGE(OFFSET($H$3,0,0,'Données projet'!$E$16+1,1))</f>
        <v>492.72391755143508</v>
      </c>
      <c r="FK60" s="62">
        <f t="shared" si="48"/>
        <v>304.88554179994355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56.800637608150055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143.77000000000001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-5.6843418860808015E-14</v>
      </c>
      <c r="O61" s="14">
        <f>N61*VLOOKUP('Données projet'!$B$9,Paramètres!$A$1:$I$89,3,0)*VLOOKUP('Données projet'!$B$9,Paramètres!$A$1:$I$89,5,0)</f>
        <v>-5.1431925385259088E-14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388.8309693898596</v>
      </c>
      <c r="T61" s="62">
        <f t="shared" si="34"/>
        <v>549.06702041234382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6.0793976088864072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6.0793976088864072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>
        <f>AI61*VLOOKUP('Données projet'!$B$10,Paramètres!$A$1:$I$89,3,0)*VLOOKUP('Données projet'!$B$10,Paramètres!$A$1:$I$89,5,0)</f>
        <v>6.7984728957526396E-14</v>
      </c>
      <c r="AK61" s="14">
        <f t="shared" si="35"/>
        <v>1.0682447123141398E-12</v>
      </c>
      <c r="AL61" s="22">
        <f t="shared" si="4"/>
        <v>1.978932943548152E-12</v>
      </c>
      <c r="AM61" s="62">
        <f t="shared" si="5"/>
        <v>245.77526246641759</v>
      </c>
      <c r="AN61" s="62">
        <f ca="1">AVERAGE(OFFSET($AM$3,0,0,'Données projet'!$E$10+1,1))-AVERAGE(OFFSET($H$3,0,0,'Données projet'!$E$10+1,1))</f>
        <v>197.85998851681552</v>
      </c>
      <c r="AO61" s="62">
        <f t="shared" si="36"/>
        <v>474.54844785896239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30.624533227435432</v>
      </c>
      <c r="AV61" s="23">
        <f>EXP(-LN(2)/25)*AV60+(1-EXP(-LN(2)/25))/(LN(2)/25)*Calculateur!AQ61*Calculateur!AS61*VLOOKUP('Données projet'!$B$10,Paramètres!$A$1:$I$89,3,0)*0.475*44/12</f>
        <v>20.220578281154499</v>
      </c>
      <c r="AW61" s="23">
        <f>EXP(-LN(2)/2)*AW60+(1-EXP(-LN(2)/2))/(LN(2)/2)*AQ61*AT61*VLOOKUP('Données projet'!$B$10,Paramètres!$A$1:$I$89,3,0)*0.475*44/12</f>
        <v>2.6591421384831852E-3</v>
      </c>
      <c r="AX61" s="23">
        <f t="shared" si="6"/>
        <v>50.847770650728414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1.1368683772161603E-13</v>
      </c>
      <c r="BE61" s="14">
        <f>BD61*VLOOKUP('Données projet'!$B$11,Paramètres!$A$1:$I$89,3,0)*VLOOKUP('Données projet'!$B$11,Paramètres!$A$1:$I$89,5,0)</f>
        <v>6.7984728957526396E-14</v>
      </c>
      <c r="BF61" s="14">
        <f t="shared" si="37"/>
        <v>1.0682447123141398E-12</v>
      </c>
      <c r="BG61" s="22">
        <f t="shared" si="7"/>
        <v>1.978932943548152E-12</v>
      </c>
      <c r="BH61" s="62">
        <f t="shared" si="8"/>
        <v>245.77526246641759</v>
      </c>
      <c r="BI61" s="62">
        <f ca="1">AVERAGE(OFFSET($BH$3,0,0,'Données projet'!$E$11+1,1))-AVERAGE(OFFSET($H$3,0,0,'Données projet'!$E$11+1,1))</f>
        <v>197.85998851681552</v>
      </c>
      <c r="BJ61" s="62">
        <f t="shared" si="38"/>
        <v>474.54844785896239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30.624533227435432</v>
      </c>
      <c r="BQ61" s="23">
        <f>EXP(-LN(2)/25)*BQ60+(1-EXP(-LN(2)/25))/(LN(2)/25)*Calculateur!BL61*Calculateur!BN61*VLOOKUP('Données projet'!$B$11,Paramètres!$A$1:$I$89,3,0)*0.475*44/12</f>
        <v>20.220578281154499</v>
      </c>
      <c r="BR61" s="23">
        <f>EXP(-LN(2)/2)*BR60+(1-EXP(-LN(2)/2))/(LN(2)/2)*BL61*BO61*VLOOKUP('Données projet'!$B$11,Paramètres!$A$1:$I$89,3,0)*0.475*44/12</f>
        <v>2.6591421384831852E-3</v>
      </c>
      <c r="BS61" s="24">
        <f t="shared" si="9"/>
        <v>50.847770650728414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>
        <f>BY61*VLOOKUP('Données projet'!$B$12,Paramètres!$A$1:$I$89,3,0)*VLOOKUP('Données projet'!$B$12,Paramètres!$A$1:$I$89,5,0)</f>
        <v>0</v>
      </c>
      <c r="CA61" s="14" t="e">
        <f t="shared" si="39"/>
        <v>#NUM!</v>
      </c>
      <c r="CB61" s="22" t="e">
        <f t="shared" si="10"/>
        <v>#NUM!</v>
      </c>
      <c r="CC61" s="62" t="e">
        <f t="shared" si="11"/>
        <v>#NUM!</v>
      </c>
      <c r="CD61" s="62">
        <f ca="1">AVERAGE(OFFSET($CC$3,0,0,'Données projet'!$E$12+1,1))-AVERAGE(OFFSET($H$3,0,0,'Données projet'!$E$12+1,1))</f>
        <v>72.97248599808384</v>
      </c>
      <c r="CE61" s="62">
        <f t="shared" si="40"/>
        <v>346.88163654003574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33.380495426160628</v>
      </c>
      <c r="CL61" s="23">
        <f>EXP(-LN(2)/25)*CL60+(1-EXP(-LN(2)/25))/(LN(2)/25)*Calculateur!CG61*Calculateur!CI61*VLOOKUP('Données projet'!$B$12,Paramètres!$A$1:$I$89,3,0)*0.475*44/12</f>
        <v>6.0071070794209547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39.387602505581583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>
        <f>CT61*VLOOKUP('Données projet'!$B$13,Paramètres!$A$1:$I$89,3,0)*VLOOKUP('Données projet'!$B$13,Paramètres!$A$1:$I$89,5,0)</f>
        <v>0</v>
      </c>
      <c r="CV61" s="14" t="e">
        <f t="shared" si="41"/>
        <v>#NUM!</v>
      </c>
      <c r="CW61" s="22" t="e">
        <f t="shared" si="13"/>
        <v>#NUM!</v>
      </c>
      <c r="CX61" s="62" t="e">
        <f t="shared" si="14"/>
        <v>#NUM!</v>
      </c>
      <c r="CY61" s="62">
        <f ca="1">AVERAGE(OFFSET($CX$3,0,0,'Données projet'!$E$13+1,1))-AVERAGE(OFFSET($H$3,0,0,'Données projet'!$E$13+1,1))</f>
        <v>67.303283896086128</v>
      </c>
      <c r="CZ61" s="62">
        <f t="shared" si="42"/>
        <v>318.97925671653547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30.312093339633336</v>
      </c>
      <c r="DG61" s="23">
        <f>EXP(-LN(2)/25)*DG60+(1-EXP(-LN(2)/25))/(LN(2)/25)*Calculateur!DB61*Calculateur!DD61*VLOOKUP('Données projet'!$B$13,Paramètres!$A$1:$I$89,3,0)*0.475*44/12</f>
        <v>5.4549217490006408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35.767015088633975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>
        <f>DO61*VLOOKUP('Données projet'!$B$14,Paramètres!$A$1:$I$89,3,0)*VLOOKUP('Données projet'!$B$14,Paramètres!$A$1:$I$89,5,0)</f>
        <v>0</v>
      </c>
      <c r="DQ61" s="14" t="e">
        <f t="shared" si="43"/>
        <v>#NUM!</v>
      </c>
      <c r="DR61" s="22" t="e">
        <f t="shared" si="16"/>
        <v>#NUM!</v>
      </c>
      <c r="DS61" s="62" t="e">
        <f t="shared" si="17"/>
        <v>#NUM!</v>
      </c>
      <c r="DT61" s="62">
        <f ca="1">AVERAGE(OFFSET($DS$3,0,0,'Données projet'!$E$14+1,1))-AVERAGE(OFFSET($H$3,0,0,'Données projet'!$E$14+1,1))</f>
        <v>75.244137291704476</v>
      </c>
      <c r="DU61" s="62">
        <f t="shared" si="44"/>
        <v>366.065475656937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35.493720003658744</v>
      </c>
      <c r="EB61" s="23">
        <f>EXP(-LN(2)/25)*EB60+(1-EXP(-LN(2)/25))/(LN(2)/25)*Calculateur!DW61*Calculateur!DY61*VLOOKUP('Données projet'!$B$14,Paramètres!$A$1:$I$89,3,0)*0.475*44/12</f>
        <v>6.3874000067076704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41.881120010366416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7.4</v>
      </c>
      <c r="EJ61" s="13">
        <f>IF('Données projet'!$A$192&gt;35,EJ60+EI61-ER60,IF(A61&lt;'Données projet'!$A$192,$EG$205^A61,IF(A61='Données projet'!$A$192,'Données projet'!$B$192,EJ60+EI61-ER60)))</f>
        <v>199.20000000000007</v>
      </c>
      <c r="EK61" s="18">
        <f>EJ61*VLOOKUP('Données projet'!$B$15,Paramètres!$A$1:$I$89,3,0)*VLOOKUP('Données projet'!$B$15,Paramètres!$A$1:$I$89,5,0)</f>
        <v>192.66624000000007</v>
      </c>
      <c r="EL61" s="14">
        <f t="shared" si="45"/>
        <v>48.12894172983674</v>
      </c>
      <c r="EM61" s="22">
        <f t="shared" si="19"/>
        <v>419.38494151279912</v>
      </c>
      <c r="EN61" s="62">
        <f t="shared" si="20"/>
        <v>665.16020397921466</v>
      </c>
      <c r="EO61" s="62">
        <f ca="1">AVERAGE(OFFSET($EN$3,0,0,'Données projet'!$E$15+1,1))-AVERAGE(OFFSET($H$3,0,0,'Données projet'!$E$15+1,1))</f>
        <v>452.74627739105745</v>
      </c>
      <c r="EP61" s="62">
        <f t="shared" si="46"/>
        <v>281.80695725575106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7.4</v>
      </c>
      <c r="FE61" s="13">
        <f>IF('Données projet'!$A$218&gt;35,FE60+FD61-FM60,IF(A61&lt;'Données projet'!$A$218,$FB$205^A61,IF(A61='Données projet'!$A$218,'Données projet'!$B$218,FE60+FD61-FM60)))</f>
        <v>199.20000000000007</v>
      </c>
      <c r="FF61" s="18">
        <f>FE61*VLOOKUP('Données projet'!$B$16,Paramètres!$A$1:$I$89,3,0)*VLOOKUP('Données projet'!$B$16,Paramètres!$A$1:$I$89,5,0)</f>
        <v>214.41888000000006</v>
      </c>
      <c r="FG61" s="14">
        <f t="shared" si="47"/>
        <v>52.900048736813666</v>
      </c>
      <c r="FH61" s="22">
        <f t="shared" si="22"/>
        <v>465.58046754995058</v>
      </c>
      <c r="FI61" s="62">
        <f t="shared" si="23"/>
        <v>711.35573001636612</v>
      </c>
      <c r="FJ61" s="62">
        <f ca="1">AVERAGE(OFFSET($FI$3,0,0,'Données projet'!$E$16+1,1))-AVERAGE(OFFSET($H$3,0,0,'Données projet'!$E$16+1,1))</f>
        <v>492.72391755143508</v>
      </c>
      <c r="FK61" s="62">
        <f t="shared" si="48"/>
        <v>304.88554179994355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57.029617036295164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143.77000000000001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-5.6843418860808015E-14</v>
      </c>
      <c r="O62" s="14">
        <f>N62*VLOOKUP('Données projet'!$B$9,Paramètres!$A$1:$I$89,3,0)*VLOOKUP('Données projet'!$B$9,Paramètres!$A$1:$I$89,5,0)</f>
        <v>-5.1431925385259088E-14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388.8309693898596</v>
      </c>
      <c r="T62" s="62">
        <f t="shared" si="34"/>
        <v>549.06702041234382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5.9601843298425452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5.9601843298425452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>
        <f>AI62*VLOOKUP('Données projet'!$B$10,Paramètres!$A$1:$I$89,3,0)*VLOOKUP('Données projet'!$B$10,Paramètres!$A$1:$I$89,5,0)</f>
        <v>6.7984728957526396E-14</v>
      </c>
      <c r="AK62" s="14">
        <f t="shared" si="35"/>
        <v>1.0682447123141398E-12</v>
      </c>
      <c r="AL62" s="22">
        <f t="shared" si="4"/>
        <v>1.978932943548152E-12</v>
      </c>
      <c r="AM62" s="62">
        <f t="shared" si="5"/>
        <v>246.60028867204065</v>
      </c>
      <c r="AN62" s="62">
        <f ca="1">AVERAGE(OFFSET($AM$3,0,0,'Données projet'!$E$10+1,1))-AVERAGE(OFFSET($H$3,0,0,'Données projet'!$E$10+1,1))</f>
        <v>197.85998851681552</v>
      </c>
      <c r="AO62" s="62">
        <f t="shared" si="36"/>
        <v>474.54844785896239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30.024004809966282</v>
      </c>
      <c r="AV62" s="23">
        <f>EXP(-LN(2)/25)*AV61+(1-EXP(-LN(2)/25))/(LN(2)/25)*Calculateur!AQ62*Calculateur!AS62*VLOOKUP('Données projet'!$B$10,Paramètres!$A$1:$I$89,3,0)*0.475*44/12</f>
        <v>19.667645504702332</v>
      </c>
      <c r="AW62" s="23">
        <f>EXP(-LN(2)/2)*AW61+(1-EXP(-LN(2)/2))/(LN(2)/2)*AQ62*AT62*VLOOKUP('Données projet'!$B$10,Paramètres!$A$1:$I$89,3,0)*0.475*44/12</f>
        <v>1.8802974382603579E-3</v>
      </c>
      <c r="AX62" s="23">
        <f t="shared" si="6"/>
        <v>49.693530612106876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1.1368683772161603E-13</v>
      </c>
      <c r="BE62" s="14">
        <f>BD62*VLOOKUP('Données projet'!$B$11,Paramètres!$A$1:$I$89,3,0)*VLOOKUP('Données projet'!$B$11,Paramètres!$A$1:$I$89,5,0)</f>
        <v>6.7984728957526396E-14</v>
      </c>
      <c r="BF62" s="14">
        <f t="shared" si="37"/>
        <v>1.0682447123141398E-12</v>
      </c>
      <c r="BG62" s="22">
        <f t="shared" si="7"/>
        <v>1.978932943548152E-12</v>
      </c>
      <c r="BH62" s="62">
        <f t="shared" si="8"/>
        <v>246.60028867204065</v>
      </c>
      <c r="BI62" s="62">
        <f ca="1">AVERAGE(OFFSET($BH$3,0,0,'Données projet'!$E$11+1,1))-AVERAGE(OFFSET($H$3,0,0,'Données projet'!$E$11+1,1))</f>
        <v>197.85998851681552</v>
      </c>
      <c r="BJ62" s="62">
        <f t="shared" si="38"/>
        <v>474.54844785896239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30.024004809966282</v>
      </c>
      <c r="BQ62" s="23">
        <f>EXP(-LN(2)/25)*BQ61+(1-EXP(-LN(2)/25))/(LN(2)/25)*Calculateur!BL62*Calculateur!BN62*VLOOKUP('Données projet'!$B$11,Paramètres!$A$1:$I$89,3,0)*0.475*44/12</f>
        <v>19.667645504702332</v>
      </c>
      <c r="BR62" s="23">
        <f>EXP(-LN(2)/2)*BR61+(1-EXP(-LN(2)/2))/(LN(2)/2)*BL62*BO62*VLOOKUP('Données projet'!$B$11,Paramètres!$A$1:$I$89,3,0)*0.475*44/12</f>
        <v>1.8802974382603579E-3</v>
      </c>
      <c r="BS62" s="24">
        <f t="shared" si="9"/>
        <v>49.693530612106876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>
        <f>BY62*VLOOKUP('Données projet'!$B$12,Paramètres!$A$1:$I$89,3,0)*VLOOKUP('Données projet'!$B$12,Paramètres!$A$1:$I$89,5,0)</f>
        <v>0</v>
      </c>
      <c r="CA62" s="14" t="e">
        <f t="shared" si="39"/>
        <v>#NUM!</v>
      </c>
      <c r="CB62" s="22" t="e">
        <f t="shared" si="10"/>
        <v>#NUM!</v>
      </c>
      <c r="CC62" s="62" t="e">
        <f t="shared" si="11"/>
        <v>#NUM!</v>
      </c>
      <c r="CD62" s="62">
        <f ca="1">AVERAGE(OFFSET($CC$3,0,0,'Données projet'!$E$12+1,1))-AVERAGE(OFFSET($H$3,0,0,'Données projet'!$E$12+1,1))</f>
        <v>72.97248599808384</v>
      </c>
      <c r="CE62" s="62">
        <f t="shared" si="40"/>
        <v>346.88163654003574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32.725924270945434</v>
      </c>
      <c r="CL62" s="23">
        <f>EXP(-LN(2)/25)*CL61+(1-EXP(-LN(2)/25))/(LN(2)/25)*Calculateur!CG62*Calculateur!CI62*VLOOKUP('Données projet'!$B$12,Paramètres!$A$1:$I$89,3,0)*0.475*44/12</f>
        <v>5.8428424204341569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38.568766691379594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>
        <f>CT62*VLOOKUP('Données projet'!$B$13,Paramètres!$A$1:$I$89,3,0)*VLOOKUP('Données projet'!$B$13,Paramètres!$A$1:$I$89,5,0)</f>
        <v>0</v>
      </c>
      <c r="CV62" s="14" t="e">
        <f t="shared" si="41"/>
        <v>#NUM!</v>
      </c>
      <c r="CW62" s="22" t="e">
        <f t="shared" si="13"/>
        <v>#NUM!</v>
      </c>
      <c r="CX62" s="62" t="e">
        <f t="shared" si="14"/>
        <v>#NUM!</v>
      </c>
      <c r="CY62" s="62">
        <f ca="1">AVERAGE(OFFSET($CX$3,0,0,'Données projet'!$E$13+1,1))-AVERAGE(OFFSET($H$3,0,0,'Données projet'!$E$13+1,1))</f>
        <v>67.303283896086128</v>
      </c>
      <c r="CZ62" s="62">
        <f t="shared" si="42"/>
        <v>318.97925671653547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29.71769167779447</v>
      </c>
      <c r="DG62" s="23">
        <f>EXP(-LN(2)/25)*DG61+(1-EXP(-LN(2)/25))/(LN(2)/25)*Calculateur!DB62*Calculateur!DD62*VLOOKUP('Données projet'!$B$13,Paramètres!$A$1:$I$89,3,0)*0.475*44/12</f>
        <v>5.3057566269123511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35.023448304706818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>
        <f>DO62*VLOOKUP('Données projet'!$B$14,Paramètres!$A$1:$I$89,3,0)*VLOOKUP('Données projet'!$B$14,Paramètres!$A$1:$I$89,5,0)</f>
        <v>0</v>
      </c>
      <c r="DQ62" s="14" t="e">
        <f t="shared" si="43"/>
        <v>#NUM!</v>
      </c>
      <c r="DR62" s="22" t="e">
        <f t="shared" si="16"/>
        <v>#NUM!</v>
      </c>
      <c r="DS62" s="62" t="e">
        <f t="shared" si="17"/>
        <v>#NUM!</v>
      </c>
      <c r="DT62" s="62">
        <f ca="1">AVERAGE(OFFSET($DS$3,0,0,'Données projet'!$E$14+1,1))-AVERAGE(OFFSET($H$3,0,0,'Données projet'!$E$14+1,1))</f>
        <v>75.244137291704476</v>
      </c>
      <c r="DU62" s="62">
        <f t="shared" si="44"/>
        <v>366.065475656937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34.797709803418535</v>
      </c>
      <c r="EB62" s="23">
        <f>EXP(-LN(2)/25)*EB61+(1-EXP(-LN(2)/25))/(LN(2)/25)*Calculateur!DW62*Calculateur!DY62*VLOOKUP('Données projet'!$B$14,Paramètres!$A$1:$I$89,3,0)*0.475*44/12</f>
        <v>6.2127362176254817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41.010446021044018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7.4</v>
      </c>
      <c r="EJ62" s="13">
        <f>IF('Données projet'!$A$192&gt;35,EJ61+EI62-ER61,IF(A62&lt;'Données projet'!$A$192,$EG$205^A62,IF(A62='Données projet'!$A$192,'Données projet'!$B$192,EJ61+EI62-ER61)))</f>
        <v>206.60000000000008</v>
      </c>
      <c r="EK62" s="18">
        <f>EJ62*VLOOKUP('Données projet'!$B$15,Paramètres!$A$1:$I$89,3,0)*VLOOKUP('Données projet'!$B$15,Paramètres!$A$1:$I$89,5,0)</f>
        <v>199.82352000000006</v>
      </c>
      <c r="EL62" s="14">
        <f t="shared" si="45"/>
        <v>49.705380770418969</v>
      </c>
      <c r="EM62" s="22">
        <f t="shared" si="19"/>
        <v>434.59616884181315</v>
      </c>
      <c r="EN62" s="62">
        <f t="shared" si="20"/>
        <v>681.19645751385178</v>
      </c>
      <c r="EO62" s="62">
        <f ca="1">AVERAGE(OFFSET($EN$3,0,0,'Données projet'!$E$15+1,1))-AVERAGE(OFFSET($H$3,0,0,'Données projet'!$E$15+1,1))</f>
        <v>452.74627739105745</v>
      </c>
      <c r="EP62" s="62">
        <f t="shared" si="46"/>
        <v>281.80695725575106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7.4</v>
      </c>
      <c r="FE62" s="13">
        <f>IF('Données projet'!$A$218&gt;35,FE61+FD62-FM61,IF(A62&lt;'Données projet'!$A$218,$FB$205^A62,IF(A62='Données projet'!$A$218,'Données projet'!$B$218,FE61+FD62-FM61)))</f>
        <v>206.60000000000008</v>
      </c>
      <c r="FF62" s="18">
        <f>FE62*VLOOKUP('Données projet'!$B$16,Paramètres!$A$1:$I$89,3,0)*VLOOKUP('Données projet'!$B$16,Paramètres!$A$1:$I$89,5,0)</f>
        <v>222.38424000000006</v>
      </c>
      <c r="FG62" s="14">
        <f t="shared" si="47"/>
        <v>54.632762964056163</v>
      </c>
      <c r="FH62" s="22">
        <f t="shared" si="22"/>
        <v>482.47128016239793</v>
      </c>
      <c r="FI62" s="62">
        <f t="shared" si="23"/>
        <v>729.07156883443656</v>
      </c>
      <c r="FJ62" s="62">
        <f ca="1">AVERAGE(OFFSET($FI$3,0,0,'Données projet'!$E$16+1,1))-AVERAGE(OFFSET($H$3,0,0,'Données projet'!$E$16+1,1))</f>
        <v>492.72391755143508</v>
      </c>
      <c r="FK62" s="62">
        <f t="shared" si="48"/>
        <v>304.88554179994355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57.254624183283269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143.77000000000001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-5.6843418860808015E-14</v>
      </c>
      <c r="O63" s="14">
        <f>N63*VLOOKUP('Données projet'!$B$9,Paramètres!$A$1:$I$89,3,0)*VLOOKUP('Données projet'!$B$9,Paramètres!$A$1:$I$89,5,0)</f>
        <v>-5.1431925385259088E-14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388.8309693898596</v>
      </c>
      <c r="T63" s="62">
        <f t="shared" si="34"/>
        <v>549.06702041234382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5.8433087504878127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5.8433087504878127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>
        <f>AI63*VLOOKUP('Données projet'!$B$10,Paramètres!$A$1:$I$89,3,0)*VLOOKUP('Données projet'!$B$10,Paramètres!$A$1:$I$89,5,0)</f>
        <v>6.7984728957526396E-14</v>
      </c>
      <c r="AK63" s="14">
        <f t="shared" si="35"/>
        <v>1.0682447123141398E-12</v>
      </c>
      <c r="AL63" s="22">
        <f t="shared" si="4"/>
        <v>1.978932943548152E-12</v>
      </c>
      <c r="AM63" s="62">
        <f t="shared" si="5"/>
        <v>247.41100251747841</v>
      </c>
      <c r="AN63" s="62">
        <f ca="1">AVERAGE(OFFSET($AM$3,0,0,'Données projet'!$E$10+1,1))-AVERAGE(OFFSET($H$3,0,0,'Données projet'!$E$10+1,1))</f>
        <v>197.85998851681552</v>
      </c>
      <c r="AO63" s="62">
        <f t="shared" si="36"/>
        <v>474.54844785896239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29.435252388477537</v>
      </c>
      <c r="AV63" s="23">
        <f>EXP(-LN(2)/25)*AV62+(1-EXP(-LN(2)/25))/(LN(2)/25)*Calculateur!AQ63*Calculateur!AS63*VLOOKUP('Données projet'!$B$10,Paramètres!$A$1:$I$89,3,0)*0.475*44/12</f>
        <v>19.129832704099719</v>
      </c>
      <c r="AW63" s="23">
        <f>EXP(-LN(2)/2)*AW62+(1-EXP(-LN(2)/2))/(LN(2)/2)*AQ63*AT63*VLOOKUP('Données projet'!$B$10,Paramètres!$A$1:$I$89,3,0)*0.475*44/12</f>
        <v>1.3295710692415928E-3</v>
      </c>
      <c r="AX63" s="23">
        <f t="shared" si="6"/>
        <v>48.566414663646498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1.1368683772161603E-13</v>
      </c>
      <c r="BE63" s="14">
        <f>BD63*VLOOKUP('Données projet'!$B$11,Paramètres!$A$1:$I$89,3,0)*VLOOKUP('Données projet'!$B$11,Paramètres!$A$1:$I$89,5,0)</f>
        <v>6.7984728957526396E-14</v>
      </c>
      <c r="BF63" s="14">
        <f t="shared" si="37"/>
        <v>1.0682447123141398E-12</v>
      </c>
      <c r="BG63" s="22">
        <f t="shared" si="7"/>
        <v>1.978932943548152E-12</v>
      </c>
      <c r="BH63" s="62">
        <f t="shared" si="8"/>
        <v>247.41100251747841</v>
      </c>
      <c r="BI63" s="62">
        <f ca="1">AVERAGE(OFFSET($BH$3,0,0,'Données projet'!$E$11+1,1))-AVERAGE(OFFSET($H$3,0,0,'Données projet'!$E$11+1,1))</f>
        <v>197.85998851681552</v>
      </c>
      <c r="BJ63" s="62">
        <f t="shared" si="38"/>
        <v>474.54844785896239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29.435252388477537</v>
      </c>
      <c r="BQ63" s="23">
        <f>EXP(-LN(2)/25)*BQ62+(1-EXP(-LN(2)/25))/(LN(2)/25)*Calculateur!BL63*Calculateur!BN63*VLOOKUP('Données projet'!$B$11,Paramètres!$A$1:$I$89,3,0)*0.475*44/12</f>
        <v>19.129832704099719</v>
      </c>
      <c r="BR63" s="23">
        <f>EXP(-LN(2)/2)*BR62+(1-EXP(-LN(2)/2))/(LN(2)/2)*BL63*BO63*VLOOKUP('Données projet'!$B$11,Paramètres!$A$1:$I$89,3,0)*0.475*44/12</f>
        <v>1.3295710692415928E-3</v>
      </c>
      <c r="BS63" s="24">
        <f t="shared" si="9"/>
        <v>48.566414663646498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>
        <f>BY63*VLOOKUP('Données projet'!$B$12,Paramètres!$A$1:$I$89,3,0)*VLOOKUP('Données projet'!$B$12,Paramètres!$A$1:$I$89,5,0)</f>
        <v>0</v>
      </c>
      <c r="CA63" s="14" t="e">
        <f t="shared" si="39"/>
        <v>#NUM!</v>
      </c>
      <c r="CB63" s="22" t="e">
        <f t="shared" si="10"/>
        <v>#NUM!</v>
      </c>
      <c r="CC63" s="62" t="e">
        <f t="shared" si="11"/>
        <v>#NUM!</v>
      </c>
      <c r="CD63" s="62">
        <f ca="1">AVERAGE(OFFSET($CC$3,0,0,'Données projet'!$E$12+1,1))-AVERAGE(OFFSET($H$3,0,0,'Données projet'!$E$12+1,1))</f>
        <v>72.97248599808384</v>
      </c>
      <c r="CE63" s="62">
        <f t="shared" si="40"/>
        <v>346.88163654003574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32.084188856835027</v>
      </c>
      <c r="CL63" s="23">
        <f>EXP(-LN(2)/25)*CL62+(1-EXP(-LN(2)/25))/(LN(2)/25)*Calculateur!CG63*Calculateur!CI63*VLOOKUP('Données projet'!$B$12,Paramètres!$A$1:$I$89,3,0)*0.475*44/12</f>
        <v>5.6830695871856562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37.767258444020683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>
        <f>CT63*VLOOKUP('Données projet'!$B$13,Paramètres!$A$1:$I$89,3,0)*VLOOKUP('Données projet'!$B$13,Paramètres!$A$1:$I$89,5,0)</f>
        <v>0</v>
      </c>
      <c r="CV63" s="14" t="e">
        <f t="shared" si="41"/>
        <v>#NUM!</v>
      </c>
      <c r="CW63" s="22" t="e">
        <f t="shared" si="13"/>
        <v>#NUM!</v>
      </c>
      <c r="CX63" s="62" t="e">
        <f t="shared" si="14"/>
        <v>#NUM!</v>
      </c>
      <c r="CY63" s="62">
        <f ca="1">AVERAGE(OFFSET($CX$3,0,0,'Données projet'!$E$13+1,1))-AVERAGE(OFFSET($H$3,0,0,'Données projet'!$E$13+1,1))</f>
        <v>67.303283896086128</v>
      </c>
      <c r="CZ63" s="62">
        <f t="shared" si="42"/>
        <v>318.97925671653547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29.13494586999505</v>
      </c>
      <c r="DG63" s="23">
        <f>EXP(-LN(2)/25)*DG62+(1-EXP(-LN(2)/25))/(LN(2)/25)*Calculateur!DB63*Calculateur!DD63*VLOOKUP('Données projet'!$B$13,Paramètres!$A$1:$I$89,3,0)*0.475*44/12</f>
        <v>5.160670432931818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34.295616302926867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>
        <f>DO63*VLOOKUP('Données projet'!$B$14,Paramètres!$A$1:$I$89,3,0)*VLOOKUP('Données projet'!$B$14,Paramètres!$A$1:$I$89,5,0)</f>
        <v>0</v>
      </c>
      <c r="DQ63" s="14" t="e">
        <f t="shared" si="43"/>
        <v>#NUM!</v>
      </c>
      <c r="DR63" s="22" t="e">
        <f t="shared" si="16"/>
        <v>#NUM!</v>
      </c>
      <c r="DS63" s="62" t="e">
        <f t="shared" si="17"/>
        <v>#NUM!</v>
      </c>
      <c r="DT63" s="62">
        <f ca="1">AVERAGE(OFFSET($DS$3,0,0,'Données projet'!$E$14+1,1))-AVERAGE(OFFSET($H$3,0,0,'Données projet'!$E$14+1,1))</f>
        <v>75.244137291704476</v>
      </c>
      <c r="DU63" s="62">
        <f t="shared" si="44"/>
        <v>366.065475656937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34.115347938680728</v>
      </c>
      <c r="EB63" s="23">
        <f>EXP(-LN(2)/25)*EB62+(1-EXP(-LN(2)/25))/(LN(2)/25)*Calculateur!DW63*Calculateur!DY63*VLOOKUP('Données projet'!$B$14,Paramètres!$A$1:$I$89,3,0)*0.475*44/12</f>
        <v>6.0428486190409147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40.158196557721645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214</v>
      </c>
      <c r="EH63" s="13">
        <f>VLOOKUP(A63,'Données projet'!$A$191:$I$211,9,0)</f>
        <v>7.4</v>
      </c>
      <c r="EI63" s="13">
        <f t="array" ref="EI63">INDEX(EH:EH,MIN(IF(ISNUMBER(EH63:EH259),ROW(EH63:EH259),"")))</f>
        <v>7.4</v>
      </c>
      <c r="EJ63" s="13">
        <f>IF('Données projet'!$A$192&gt;35,EJ62+EI63-ER62,IF(A63&lt;'Données projet'!$A$192,$EG$205^A63,IF(A63='Données projet'!$A$192,'Données projet'!$B$192,EJ62+EI63-ER62)))</f>
        <v>214.00000000000009</v>
      </c>
      <c r="EK63" s="18">
        <f>EJ63*VLOOKUP('Données projet'!$B$15,Paramètres!$A$1:$I$89,3,0)*VLOOKUP('Données projet'!$B$15,Paramètres!$A$1:$I$89,5,0)</f>
        <v>206.9808000000001</v>
      </c>
      <c r="EL63" s="14">
        <f t="shared" si="45"/>
        <v>51.275259496675787</v>
      </c>
      <c r="EM63" s="22">
        <f t="shared" si="19"/>
        <v>449.7959702900439</v>
      </c>
      <c r="EN63" s="62">
        <f t="shared" si="20"/>
        <v>697.20697280752029</v>
      </c>
      <c r="EO63" s="62">
        <f ca="1">AVERAGE(OFFSET($EN$3,0,0,'Données projet'!$E$15+1,1))-AVERAGE(OFFSET($H$3,0,0,'Données projet'!$E$15+1,1))</f>
        <v>452.74627739105745</v>
      </c>
      <c r="EP63" s="62">
        <f t="shared" si="46"/>
        <v>281.80695725575106</v>
      </c>
      <c r="EQ63" s="16">
        <f>IF(ISNA(VLOOKUP(A63,'Données projet'!$A$191:$I$211,3,0)),0,VLOOKUP(A63,'Données projet'!$A$191:$I$211,3,0))</f>
        <v>8</v>
      </c>
      <c r="ER63" s="16">
        <f>IF(ISNA(VLOOKUP(A63,'Données projet'!$A$191:$I$211,4,0)),0,VLOOKUP(A63,'Données projet'!$A$191:$I$211,4,0))</f>
        <v>21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214</v>
      </c>
      <c r="FC63" s="13">
        <f>VLOOKUP(A63,'Données projet'!$A$217:$I$237,9,0)</f>
        <v>7.4</v>
      </c>
      <c r="FD63" s="13">
        <f t="array" ref="FD63">INDEX(FC:FC,MIN(IF(ISNUMBER(FC63:FC259),ROW(FC63:FC259),"")))</f>
        <v>7.4</v>
      </c>
      <c r="FE63" s="13">
        <f>IF('Données projet'!$A$218&gt;35,FE62+FD63-FM62,IF(A63&lt;'Données projet'!$A$218,$FB$205^A63,IF(A63='Données projet'!$A$218,'Données projet'!$B$218,FE62+FD63-FM62)))</f>
        <v>214.00000000000009</v>
      </c>
      <c r="FF63" s="18">
        <f>FE63*VLOOKUP('Données projet'!$B$16,Paramètres!$A$1:$I$89,3,0)*VLOOKUP('Données projet'!$B$16,Paramètres!$A$1:$I$89,5,0)</f>
        <v>230.34960000000009</v>
      </c>
      <c r="FG63" s="14">
        <f t="shared" si="47"/>
        <v>56.35826654142631</v>
      </c>
      <c r="FH63" s="22">
        <f t="shared" si="22"/>
        <v>499.34953422631764</v>
      </c>
      <c r="FI63" s="62">
        <f t="shared" si="23"/>
        <v>746.76053674379409</v>
      </c>
      <c r="FJ63" s="62">
        <f ca="1">AVERAGE(OFFSET($FI$3,0,0,'Données projet'!$E$16+1,1))-AVERAGE(OFFSET($H$3,0,0,'Données projet'!$E$16+1,1))</f>
        <v>492.72391755143508</v>
      </c>
      <c r="FK63" s="62">
        <f t="shared" si="48"/>
        <v>304.88554179994355</v>
      </c>
      <c r="FL63" s="16">
        <f>IF(ISNA(VLOOKUP(A63,'Données projet'!$A$217:$I$237,3,0)),0,VLOOKUP(A63,'Données projet'!$A$217:$I$237,3,0))</f>
        <v>8</v>
      </c>
      <c r="FM63" s="16">
        <f>IF(ISNA(VLOOKUP(A63,'Données projet'!$A$217:$I$237,4,0)),0,VLOOKUP(A63,'Données projet'!$A$217:$I$237,4,0))</f>
        <v>21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57.475727959311754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143.77000000000001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-5.6843418860808015E-14</v>
      </c>
      <c r="O64" s="14">
        <f>N64*VLOOKUP('Données projet'!$B$9,Paramètres!$A$1:$I$89,3,0)*VLOOKUP('Données projet'!$B$9,Paramètres!$A$1:$I$89,5,0)</f>
        <v>-5.1431925385259088E-14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388.8309693898596</v>
      </c>
      <c r="T64" s="62">
        <f t="shared" si="34"/>
        <v>549.06702041234382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5.7287250299571619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5.7287250299571619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>
        <f>AI64*VLOOKUP('Données projet'!$B$10,Paramètres!$A$1:$I$89,3,0)*VLOOKUP('Données projet'!$B$10,Paramètres!$A$1:$I$89,5,0)</f>
        <v>6.7984728957526396E-14</v>
      </c>
      <c r="AK64" s="14">
        <f t="shared" si="35"/>
        <v>1.0682447123141398E-12</v>
      </c>
      <c r="AL64" s="22">
        <f t="shared" si="4"/>
        <v>1.978932943548152E-12</v>
      </c>
      <c r="AM64" s="62">
        <f t="shared" si="5"/>
        <v>248.20765229018247</v>
      </c>
      <c r="AN64" s="62">
        <f ca="1">AVERAGE(OFFSET($AM$3,0,0,'Données projet'!$E$10+1,1))-AVERAGE(OFFSET($H$3,0,0,'Données projet'!$E$10+1,1))</f>
        <v>197.85998851681552</v>
      </c>
      <c r="AO64" s="62">
        <f t="shared" si="36"/>
        <v>474.54844785896239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28.858045042870664</v>
      </c>
      <c r="AV64" s="23">
        <f>EXP(-LN(2)/25)*AV63+(1-EXP(-LN(2)/25))/(LN(2)/25)*Calculateur!AQ64*Calculateur!AS64*VLOOKUP('Données projet'!$B$10,Paramètres!$A$1:$I$89,3,0)*0.475*44/12</f>
        <v>18.606726422811931</v>
      </c>
      <c r="AW64" s="23">
        <f>EXP(-LN(2)/2)*AW63+(1-EXP(-LN(2)/2))/(LN(2)/2)*AQ64*AT64*VLOOKUP('Données projet'!$B$10,Paramètres!$A$1:$I$89,3,0)*0.475*44/12</f>
        <v>9.4014871913017904E-4</v>
      </c>
      <c r="AX64" s="23">
        <f t="shared" si="6"/>
        <v>47.465711614401727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1.1368683772161603E-13</v>
      </c>
      <c r="BE64" s="14">
        <f>BD64*VLOOKUP('Données projet'!$B$11,Paramètres!$A$1:$I$89,3,0)*VLOOKUP('Données projet'!$B$11,Paramètres!$A$1:$I$89,5,0)</f>
        <v>6.7984728957526396E-14</v>
      </c>
      <c r="BF64" s="14">
        <f t="shared" si="37"/>
        <v>1.0682447123141398E-12</v>
      </c>
      <c r="BG64" s="22">
        <f t="shared" si="7"/>
        <v>1.978932943548152E-12</v>
      </c>
      <c r="BH64" s="62">
        <f t="shared" si="8"/>
        <v>248.20765229018247</v>
      </c>
      <c r="BI64" s="62">
        <f ca="1">AVERAGE(OFFSET($BH$3,0,0,'Données projet'!$E$11+1,1))-AVERAGE(OFFSET($H$3,0,0,'Données projet'!$E$11+1,1))</f>
        <v>197.85998851681552</v>
      </c>
      <c r="BJ64" s="62">
        <f t="shared" si="38"/>
        <v>474.54844785896239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28.858045042870664</v>
      </c>
      <c r="BQ64" s="23">
        <f>EXP(-LN(2)/25)*BQ63+(1-EXP(-LN(2)/25))/(LN(2)/25)*Calculateur!BL64*Calculateur!BN64*VLOOKUP('Données projet'!$B$11,Paramètres!$A$1:$I$89,3,0)*0.475*44/12</f>
        <v>18.606726422811931</v>
      </c>
      <c r="BR64" s="23">
        <f>EXP(-LN(2)/2)*BR63+(1-EXP(-LN(2)/2))/(LN(2)/2)*BL64*BO64*VLOOKUP('Données projet'!$B$11,Paramètres!$A$1:$I$89,3,0)*0.475*44/12</f>
        <v>9.4014871913017904E-4</v>
      </c>
      <c r="BS64" s="24">
        <f t="shared" si="9"/>
        <v>47.465711614401727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>
        <f>BY64*VLOOKUP('Données projet'!$B$12,Paramètres!$A$1:$I$89,3,0)*VLOOKUP('Données projet'!$B$12,Paramètres!$A$1:$I$89,5,0)</f>
        <v>0</v>
      </c>
      <c r="CA64" s="14" t="e">
        <f t="shared" si="39"/>
        <v>#NUM!</v>
      </c>
      <c r="CB64" s="22" t="e">
        <f t="shared" si="10"/>
        <v>#NUM!</v>
      </c>
      <c r="CC64" s="62" t="e">
        <f t="shared" si="11"/>
        <v>#NUM!</v>
      </c>
      <c r="CD64" s="62">
        <f ca="1">AVERAGE(OFFSET($CC$3,0,0,'Données projet'!$E$12+1,1))-AVERAGE(OFFSET($H$3,0,0,'Données projet'!$E$12+1,1))</f>
        <v>72.97248599808384</v>
      </c>
      <c r="CE64" s="62">
        <f t="shared" si="40"/>
        <v>346.88163654003574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31.455037482775374</v>
      </c>
      <c r="CL64" s="23">
        <f>EXP(-LN(2)/25)*CL63+(1-EXP(-LN(2)/25))/(LN(2)/25)*Calculateur!CG64*Calculateur!CI64*VLOOKUP('Données projet'!$B$12,Paramètres!$A$1:$I$89,3,0)*0.475*44/12</f>
        <v>5.5276657504644238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36.982703233239796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>
        <f>CT64*VLOOKUP('Données projet'!$B$13,Paramètres!$A$1:$I$89,3,0)*VLOOKUP('Données projet'!$B$13,Paramètres!$A$1:$I$89,5,0)</f>
        <v>0</v>
      </c>
      <c r="CV64" s="14" t="e">
        <f t="shared" si="41"/>
        <v>#NUM!</v>
      </c>
      <c r="CW64" s="22" t="e">
        <f t="shared" si="13"/>
        <v>#NUM!</v>
      </c>
      <c r="CX64" s="62" t="e">
        <f t="shared" si="14"/>
        <v>#NUM!</v>
      </c>
      <c r="CY64" s="62">
        <f ca="1">AVERAGE(OFFSET($CX$3,0,0,'Données projet'!$E$13+1,1))-AVERAGE(OFFSET($H$3,0,0,'Données projet'!$E$13+1,1))</f>
        <v>67.303283896086128</v>
      </c>
      <c r="CZ64" s="62">
        <f t="shared" si="42"/>
        <v>318.97925671653547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28.56362735204673</v>
      </c>
      <c r="DG64" s="23">
        <f>EXP(-LN(2)/25)*DG63+(1-EXP(-LN(2)/25))/(LN(2)/25)*Calculateur!DB64*Calculateur!DD64*VLOOKUP('Données projet'!$B$13,Paramètres!$A$1:$I$89,3,0)*0.475*44/12</f>
        <v>5.0195516285554342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33.583178980602163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>
        <f>DO64*VLOOKUP('Données projet'!$B$14,Paramètres!$A$1:$I$89,3,0)*VLOOKUP('Données projet'!$B$14,Paramètres!$A$1:$I$89,5,0)</f>
        <v>0</v>
      </c>
      <c r="DQ64" s="14" t="e">
        <f t="shared" si="43"/>
        <v>#NUM!</v>
      </c>
      <c r="DR64" s="22" t="e">
        <f t="shared" si="16"/>
        <v>#NUM!</v>
      </c>
      <c r="DS64" s="62" t="e">
        <f t="shared" si="17"/>
        <v>#NUM!</v>
      </c>
      <c r="DT64" s="62">
        <f ca="1">AVERAGE(OFFSET($DS$3,0,0,'Données projet'!$E$14+1,1))-AVERAGE(OFFSET($H$3,0,0,'Données projet'!$E$14+1,1))</f>
        <v>75.244137291704476</v>
      </c>
      <c r="DU64" s="62">
        <f t="shared" si="44"/>
        <v>366.065475656937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33.446366773910789</v>
      </c>
      <c r="EB64" s="23">
        <f>EXP(-LN(2)/25)*EB63+(1-EXP(-LN(2)/25))/(LN(2)/25)*Calculateur!DW64*Calculateur!DY64*VLOOKUP('Données projet'!$B$14,Paramètres!$A$1:$I$89,3,0)*0.475*44/12</f>
        <v>5.8776066057736429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39.323973379684432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7.2</v>
      </c>
      <c r="EJ64" s="13">
        <f>IF('Données projet'!$A$192&gt;35,EJ63+EI64-ER63,IF(A64&lt;'Données projet'!$A$192,$EG$205^A64,IF(A64='Données projet'!$A$192,'Données projet'!$B$192,EJ63+EI64-ER63)))</f>
        <v>200.20000000000007</v>
      </c>
      <c r="EK64" s="18">
        <f>EJ64*VLOOKUP('Données projet'!$B$15,Paramètres!$A$1:$I$89,3,0)*VLOOKUP('Données projet'!$B$15,Paramètres!$A$1:$I$89,5,0)</f>
        <v>193.63344000000006</v>
      </c>
      <c r="EL64" s="14">
        <f t="shared" si="45"/>
        <v>48.342367086681271</v>
      </c>
      <c r="EM64" s="22">
        <f t="shared" si="19"/>
        <v>421.4411973426366</v>
      </c>
      <c r="EN64" s="62">
        <f t="shared" si="20"/>
        <v>669.64884963281702</v>
      </c>
      <c r="EO64" s="62">
        <f ca="1">AVERAGE(OFFSET($EN$3,0,0,'Données projet'!$E$15+1,1))-AVERAGE(OFFSET($H$3,0,0,'Données projet'!$E$15+1,1))</f>
        <v>452.74627739105745</v>
      </c>
      <c r="EP64" s="62">
        <f t="shared" si="46"/>
        <v>281.80695725575106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7.2</v>
      </c>
      <c r="FE64" s="13">
        <f>IF('Données projet'!$A$218&gt;35,FE63+FD64-FM63,IF(A64&lt;'Données projet'!$A$218,$FB$205^A64,IF(A64='Données projet'!$A$218,'Données projet'!$B$218,FE63+FD64-FM63)))</f>
        <v>200.20000000000007</v>
      </c>
      <c r="FF64" s="18">
        <f>FE64*VLOOKUP('Données projet'!$B$16,Paramètres!$A$1:$I$89,3,0)*VLOOKUP('Données projet'!$B$16,Paramètres!$A$1:$I$89,5,0)</f>
        <v>215.49528000000007</v>
      </c>
      <c r="FG64" s="14">
        <f t="shared" si="47"/>
        <v>53.134631326269272</v>
      </c>
      <c r="FH64" s="22">
        <f t="shared" si="22"/>
        <v>467.86376222658572</v>
      </c>
      <c r="FI64" s="62">
        <f t="shared" si="23"/>
        <v>716.07141451676625</v>
      </c>
      <c r="FJ64" s="62">
        <f ca="1">AVERAGE(OFFSET($FI$3,0,0,'Données projet'!$E$16+1,1))-AVERAGE(OFFSET($H$3,0,0,'Données projet'!$E$16+1,1))</f>
        <v>492.72391755143508</v>
      </c>
      <c r="FK64" s="62">
        <f t="shared" si="48"/>
        <v>304.88554179994355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57.69299607914013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143.77000000000001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-5.6843418860808015E-14</v>
      </c>
      <c r="O65" s="14">
        <f>N65*VLOOKUP('Données projet'!$B$9,Paramètres!$A$1:$I$89,3,0)*VLOOKUP('Données projet'!$B$9,Paramètres!$A$1:$I$89,5,0)</f>
        <v>-5.1431925385259088E-14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388.8309693898596</v>
      </c>
      <c r="T65" s="62">
        <f t="shared" si="34"/>
        <v>549.06702041234382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5.6163882262969489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5.6163882262969489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>
        <f>AI65*VLOOKUP('Données projet'!$B$10,Paramètres!$A$1:$I$89,3,0)*VLOOKUP('Données projet'!$B$10,Paramètres!$A$1:$I$89,5,0)</f>
        <v>6.7984728957526396E-14</v>
      </c>
      <c r="AK65" s="14">
        <f t="shared" si="35"/>
        <v>1.0682447123141398E-12</v>
      </c>
      <c r="AL65" s="22">
        <f t="shared" si="4"/>
        <v>1.978932943548152E-12</v>
      </c>
      <c r="AM65" s="62">
        <f t="shared" si="5"/>
        <v>248.99048197037217</v>
      </c>
      <c r="AN65" s="62">
        <f ca="1">AVERAGE(OFFSET($AM$3,0,0,'Données projet'!$E$10+1,1))-AVERAGE(OFFSET($H$3,0,0,'Données projet'!$E$10+1,1))</f>
        <v>197.85998851681552</v>
      </c>
      <c r="AO65" s="62">
        <f t="shared" si="36"/>
        <v>474.54844785896239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28.292156381249427</v>
      </c>
      <c r="AV65" s="23">
        <f>EXP(-LN(2)/25)*AV64+(1-EXP(-LN(2)/25))/(LN(2)/25)*Calculateur!AQ65*Calculateur!AS65*VLOOKUP('Données projet'!$B$10,Paramètres!$A$1:$I$89,3,0)*0.475*44/12</f>
        <v>18.097924510294924</v>
      </c>
      <c r="AW65" s="23">
        <f>EXP(-LN(2)/2)*AW64+(1-EXP(-LN(2)/2))/(LN(2)/2)*AQ65*AT65*VLOOKUP('Données projet'!$B$10,Paramètres!$A$1:$I$89,3,0)*0.475*44/12</f>
        <v>6.6478553462079651E-4</v>
      </c>
      <c r="AX65" s="23">
        <f t="shared" si="6"/>
        <v>46.390745677078968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1.1368683772161603E-13</v>
      </c>
      <c r="BE65" s="14">
        <f>BD65*VLOOKUP('Données projet'!$B$11,Paramètres!$A$1:$I$89,3,0)*VLOOKUP('Données projet'!$B$11,Paramètres!$A$1:$I$89,5,0)</f>
        <v>6.7984728957526396E-14</v>
      </c>
      <c r="BF65" s="14">
        <f t="shared" si="37"/>
        <v>1.0682447123141398E-12</v>
      </c>
      <c r="BG65" s="22">
        <f t="shared" si="7"/>
        <v>1.978932943548152E-12</v>
      </c>
      <c r="BH65" s="62">
        <f t="shared" si="8"/>
        <v>248.99048197037217</v>
      </c>
      <c r="BI65" s="62">
        <f ca="1">AVERAGE(OFFSET($BH$3,0,0,'Données projet'!$E$11+1,1))-AVERAGE(OFFSET($H$3,0,0,'Données projet'!$E$11+1,1))</f>
        <v>197.85998851681552</v>
      </c>
      <c r="BJ65" s="62">
        <f t="shared" si="38"/>
        <v>474.54844785896239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28.292156381249427</v>
      </c>
      <c r="BQ65" s="23">
        <f>EXP(-LN(2)/25)*BQ64+(1-EXP(-LN(2)/25))/(LN(2)/25)*Calculateur!BL65*Calculateur!BN65*VLOOKUP('Données projet'!$B$11,Paramètres!$A$1:$I$89,3,0)*0.475*44/12</f>
        <v>18.097924510294924</v>
      </c>
      <c r="BR65" s="23">
        <f>EXP(-LN(2)/2)*BR64+(1-EXP(-LN(2)/2))/(LN(2)/2)*BL65*BO65*VLOOKUP('Données projet'!$B$11,Paramètres!$A$1:$I$89,3,0)*0.475*44/12</f>
        <v>6.6478553462079651E-4</v>
      </c>
      <c r="BS65" s="24">
        <f t="shared" si="9"/>
        <v>46.390745677078968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>
        <f>BY65*VLOOKUP('Données projet'!$B$12,Paramètres!$A$1:$I$89,3,0)*VLOOKUP('Données projet'!$B$12,Paramètres!$A$1:$I$89,5,0)</f>
        <v>0</v>
      </c>
      <c r="CA65" s="14" t="e">
        <f t="shared" si="39"/>
        <v>#NUM!</v>
      </c>
      <c r="CB65" s="22" t="e">
        <f t="shared" si="10"/>
        <v>#NUM!</v>
      </c>
      <c r="CC65" s="62" t="e">
        <f t="shared" si="11"/>
        <v>#NUM!</v>
      </c>
      <c r="CD65" s="62">
        <f ca="1">AVERAGE(OFFSET($CC$3,0,0,'Données projet'!$E$12+1,1))-AVERAGE(OFFSET($H$3,0,0,'Données projet'!$E$12+1,1))</f>
        <v>72.97248599808384</v>
      </c>
      <c r="CE65" s="62">
        <f t="shared" si="40"/>
        <v>346.88163654003574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30.838223383416587</v>
      </c>
      <c r="CL65" s="23">
        <f>EXP(-LN(2)/25)*CL64+(1-EXP(-LN(2)/25))/(LN(2)/25)*Calculateur!CG65*Calculateur!CI65*VLOOKUP('Données projet'!$B$12,Paramètres!$A$1:$I$89,3,0)*0.475*44/12</f>
        <v>5.3765114398306659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36.214734823247255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>
        <f>CT65*VLOOKUP('Données projet'!$B$13,Paramètres!$A$1:$I$89,3,0)*VLOOKUP('Données projet'!$B$13,Paramètres!$A$1:$I$89,5,0)</f>
        <v>0</v>
      </c>
      <c r="CV65" s="14" t="e">
        <f t="shared" si="41"/>
        <v>#NUM!</v>
      </c>
      <c r="CW65" s="22" t="e">
        <f t="shared" si="13"/>
        <v>#NUM!</v>
      </c>
      <c r="CX65" s="62" t="e">
        <f t="shared" si="14"/>
        <v>#NUM!</v>
      </c>
      <c r="CY65" s="62">
        <f ca="1">AVERAGE(OFFSET($CX$3,0,0,'Données projet'!$E$13+1,1))-AVERAGE(OFFSET($H$3,0,0,'Données projet'!$E$13+1,1))</f>
        <v>67.303283896086128</v>
      </c>
      <c r="CZ65" s="62">
        <f t="shared" si="42"/>
        <v>318.97925671653547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28.003512041765489</v>
      </c>
      <c r="DG65" s="23">
        <f>EXP(-LN(2)/25)*DG64+(1-EXP(-LN(2)/25))/(LN(2)/25)*Calculateur!DB65*Calculateur!DD65*VLOOKUP('Données projet'!$B$13,Paramètres!$A$1:$I$89,3,0)*0.475*44/12</f>
        <v>4.882291725305838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32.88580376707133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>
        <f>DO65*VLOOKUP('Données projet'!$B$14,Paramètres!$A$1:$I$89,3,0)*VLOOKUP('Données projet'!$B$14,Paramètres!$A$1:$I$89,5,0)</f>
        <v>0</v>
      </c>
      <c r="DQ65" s="14" t="e">
        <f t="shared" si="43"/>
        <v>#NUM!</v>
      </c>
      <c r="DR65" s="22" t="e">
        <f t="shared" si="16"/>
        <v>#NUM!</v>
      </c>
      <c r="DS65" s="62" t="e">
        <f t="shared" si="17"/>
        <v>#NUM!</v>
      </c>
      <c r="DT65" s="62">
        <f ca="1">AVERAGE(OFFSET($DS$3,0,0,'Données projet'!$E$14+1,1))-AVERAGE(OFFSET($H$3,0,0,'Données projet'!$E$14+1,1))</f>
        <v>75.244137291704476</v>
      </c>
      <c r="DU65" s="62">
        <f t="shared" si="44"/>
        <v>366.065475656937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32.79050392174377</v>
      </c>
      <c r="EB65" s="23">
        <f>EXP(-LN(2)/25)*EB64+(1-EXP(-LN(2)/25))/(LN(2)/25)*Calculateur!DW65*Calculateur!DY65*VLOOKUP('Données projet'!$B$14,Paramètres!$A$1:$I$89,3,0)*0.475*44/12</f>
        <v>5.7168831440488646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38.507387065792635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7.2</v>
      </c>
      <c r="EJ65" s="13">
        <f>IF('Données projet'!$A$192&gt;35,EJ64+EI65-ER64,IF(A65&lt;'Données projet'!$A$192,$EG$205^A65,IF(A65='Données projet'!$A$192,'Données projet'!$B$192,EJ64+EI65-ER64)))</f>
        <v>207.40000000000006</v>
      </c>
      <c r="EK65" s="18">
        <f>EJ65*VLOOKUP('Données projet'!$B$15,Paramètres!$A$1:$I$89,3,0)*VLOOKUP('Données projet'!$B$15,Paramètres!$A$1:$I$89,5,0)</f>
        <v>200.5972800000001</v>
      </c>
      <c r="EL65" s="14">
        <f t="shared" si="45"/>
        <v>49.875409002023019</v>
      </c>
      <c r="EM65" s="22">
        <f t="shared" si="19"/>
        <v>436.23993334519031</v>
      </c>
      <c r="EN65" s="62">
        <f t="shared" si="20"/>
        <v>685.23041531556055</v>
      </c>
      <c r="EO65" s="62">
        <f ca="1">AVERAGE(OFFSET($EN$3,0,0,'Données projet'!$E$15+1,1))-AVERAGE(OFFSET($H$3,0,0,'Données projet'!$E$15+1,1))</f>
        <v>452.74627739105745</v>
      </c>
      <c r="EP65" s="62">
        <f t="shared" si="46"/>
        <v>281.80695725575106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7.2</v>
      </c>
      <c r="FE65" s="13">
        <f>IF('Données projet'!$A$218&gt;35,FE64+FD65-FM64,IF(A65&lt;'Données projet'!$A$218,$FB$205^A65,IF(A65='Données projet'!$A$218,'Données projet'!$B$218,FE64+FD65-FM64)))</f>
        <v>207.40000000000006</v>
      </c>
      <c r="FF65" s="18">
        <f>FE65*VLOOKUP('Données projet'!$B$16,Paramètres!$A$1:$I$89,3,0)*VLOOKUP('Données projet'!$B$16,Paramètres!$A$1:$I$89,5,0)</f>
        <v>223.24536000000003</v>
      </c>
      <c r="FG65" s="14">
        <f t="shared" si="47"/>
        <v>54.81964639459116</v>
      </c>
      <c r="FH65" s="22">
        <f t="shared" si="22"/>
        <v>484.2965528039129</v>
      </c>
      <c r="FI65" s="62">
        <f t="shared" si="23"/>
        <v>733.28703477428303</v>
      </c>
      <c r="FJ65" s="62">
        <f ca="1">AVERAGE(OFFSET($FI$3,0,0,'Données projet'!$E$16+1,1))-AVERAGE(OFFSET($H$3,0,0,'Données projet'!$E$16+1,1))</f>
        <v>492.72391755143508</v>
      </c>
      <c r="FK65" s="62">
        <f t="shared" si="48"/>
        <v>304.88554179994355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57.906495082828222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143.77000000000001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-5.6843418860808015E-14</v>
      </c>
      <c r="O66" s="14">
        <f>N66*VLOOKUP('Données projet'!$B$9,Paramètres!$A$1:$I$89,3,0)*VLOOKUP('Données projet'!$B$9,Paramètres!$A$1:$I$89,5,0)</f>
        <v>-5.1431925385259088E-14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388.8309693898596</v>
      </c>
      <c r="T66" s="62">
        <f t="shared" si="34"/>
        <v>549.06702041234382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5.5062542788378277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5.5062542788378277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>
        <f>AI66*VLOOKUP('Données projet'!$B$10,Paramètres!$A$1:$I$89,3,0)*VLOOKUP('Données projet'!$B$10,Paramètres!$A$1:$I$89,5,0)</f>
        <v>6.7984728957526396E-14</v>
      </c>
      <c r="AK66" s="14">
        <f t="shared" si="35"/>
        <v>1.0682447123141398E-12</v>
      </c>
      <c r="AL66" s="22">
        <f t="shared" si="4"/>
        <v>1.978932943548152E-12</v>
      </c>
      <c r="AM66" s="62">
        <f t="shared" si="5"/>
        <v>249.75973130575554</v>
      </c>
      <c r="AN66" s="62">
        <f ca="1">AVERAGE(OFFSET($AM$3,0,0,'Données projet'!$E$10+1,1))-AVERAGE(OFFSET($H$3,0,0,'Données projet'!$E$10+1,1))</f>
        <v>197.85998851681552</v>
      </c>
      <c r="AO66" s="62">
        <f t="shared" si="36"/>
        <v>474.54844785896239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27.737364451124581</v>
      </c>
      <c r="AV66" s="23">
        <f>EXP(-LN(2)/25)*AV65+(1-EXP(-LN(2)/25))/(LN(2)/25)*Calculateur!AQ66*Calculateur!AS66*VLOOKUP('Données projet'!$B$10,Paramètres!$A$1:$I$89,3,0)*0.475*44/12</f>
        <v>17.603035812832424</v>
      </c>
      <c r="AW66" s="23">
        <f>EXP(-LN(2)/2)*AW65+(1-EXP(-LN(2)/2))/(LN(2)/2)*AQ66*AT66*VLOOKUP('Données projet'!$B$10,Paramètres!$A$1:$I$89,3,0)*0.475*44/12</f>
        <v>4.7007435956508963E-4</v>
      </c>
      <c r="AX66" s="23">
        <f t="shared" si="6"/>
        <v>45.34087033831657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1.1368683772161603E-13</v>
      </c>
      <c r="BE66" s="14">
        <f>BD66*VLOOKUP('Données projet'!$B$11,Paramètres!$A$1:$I$89,3,0)*VLOOKUP('Données projet'!$B$11,Paramètres!$A$1:$I$89,5,0)</f>
        <v>6.7984728957526396E-14</v>
      </c>
      <c r="BF66" s="14">
        <f t="shared" si="37"/>
        <v>1.0682447123141398E-12</v>
      </c>
      <c r="BG66" s="22">
        <f t="shared" si="7"/>
        <v>1.978932943548152E-12</v>
      </c>
      <c r="BH66" s="62">
        <f t="shared" si="8"/>
        <v>249.75973130575554</v>
      </c>
      <c r="BI66" s="62">
        <f ca="1">AVERAGE(OFFSET($BH$3,0,0,'Données projet'!$E$11+1,1))-AVERAGE(OFFSET($H$3,0,0,'Données projet'!$E$11+1,1))</f>
        <v>197.85998851681552</v>
      </c>
      <c r="BJ66" s="62">
        <f t="shared" si="38"/>
        <v>474.54844785896239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27.737364451124581</v>
      </c>
      <c r="BQ66" s="23">
        <f>EXP(-LN(2)/25)*BQ65+(1-EXP(-LN(2)/25))/(LN(2)/25)*Calculateur!BL66*Calculateur!BN66*VLOOKUP('Données projet'!$B$11,Paramètres!$A$1:$I$89,3,0)*0.475*44/12</f>
        <v>17.603035812832424</v>
      </c>
      <c r="BR66" s="23">
        <f>EXP(-LN(2)/2)*BR65+(1-EXP(-LN(2)/2))/(LN(2)/2)*BL66*BO66*VLOOKUP('Données projet'!$B$11,Paramètres!$A$1:$I$89,3,0)*0.475*44/12</f>
        <v>4.7007435956508963E-4</v>
      </c>
      <c r="BS66" s="24">
        <f t="shared" si="9"/>
        <v>45.34087033831657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>
        <f>BY66*VLOOKUP('Données projet'!$B$12,Paramètres!$A$1:$I$89,3,0)*VLOOKUP('Données projet'!$B$12,Paramètres!$A$1:$I$89,5,0)</f>
        <v>0</v>
      </c>
      <c r="CA66" s="14" t="e">
        <f t="shared" si="39"/>
        <v>#NUM!</v>
      </c>
      <c r="CB66" s="22" t="e">
        <f t="shared" si="10"/>
        <v>#NUM!</v>
      </c>
      <c r="CC66" s="62" t="e">
        <f t="shared" si="11"/>
        <v>#NUM!</v>
      </c>
      <c r="CD66" s="62">
        <f ca="1">AVERAGE(OFFSET($CC$3,0,0,'Données projet'!$E$12+1,1))-AVERAGE(OFFSET($H$3,0,0,'Données projet'!$E$12+1,1))</f>
        <v>72.97248599808384</v>
      </c>
      <c r="CE66" s="62">
        <f t="shared" si="40"/>
        <v>346.88163654003574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30.23350463232677</v>
      </c>
      <c r="CL66" s="23">
        <f>EXP(-LN(2)/25)*CL65+(1-EXP(-LN(2)/25))/(LN(2)/25)*Calculateur!CG66*Calculateur!CI66*VLOOKUP('Données projet'!$B$12,Paramètres!$A$1:$I$89,3,0)*0.475*44/12</f>
        <v>5.2294904517700482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35.462995084096818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>
        <f>CT66*VLOOKUP('Données projet'!$B$13,Paramètres!$A$1:$I$89,3,0)*VLOOKUP('Données projet'!$B$13,Paramètres!$A$1:$I$89,5,0)</f>
        <v>0</v>
      </c>
      <c r="CV66" s="14" t="e">
        <f t="shared" si="41"/>
        <v>#NUM!</v>
      </c>
      <c r="CW66" s="22" t="e">
        <f t="shared" si="13"/>
        <v>#NUM!</v>
      </c>
      <c r="CX66" s="62" t="e">
        <f t="shared" si="14"/>
        <v>#NUM!</v>
      </c>
      <c r="CY66" s="62">
        <f ca="1">AVERAGE(OFFSET($CX$3,0,0,'Données projet'!$E$13+1,1))-AVERAGE(OFFSET($H$3,0,0,'Données projet'!$E$13+1,1))</f>
        <v>67.303283896086128</v>
      </c>
      <c r="CZ66" s="62">
        <f t="shared" si="42"/>
        <v>318.97925671653547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27.454380251082259</v>
      </c>
      <c r="DG66" s="23">
        <f>EXP(-LN(2)/25)*DG65+(1-EXP(-LN(2)/25))/(LN(2)/25)*Calculateur!DB66*Calculateur!DD66*VLOOKUP('Données projet'!$B$13,Paramètres!$A$1:$I$89,3,0)*0.475*44/12</f>
        <v>4.7487852013287863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32.203165452411042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>
        <f>DO66*VLOOKUP('Données projet'!$B$14,Paramètres!$A$1:$I$89,3,0)*VLOOKUP('Données projet'!$B$14,Paramètres!$A$1:$I$89,5,0)</f>
        <v>0</v>
      </c>
      <c r="DQ66" s="14" t="e">
        <f t="shared" si="43"/>
        <v>#NUM!</v>
      </c>
      <c r="DR66" s="22" t="e">
        <f t="shared" si="16"/>
        <v>#NUM!</v>
      </c>
      <c r="DS66" s="62" t="e">
        <f t="shared" si="17"/>
        <v>#NUM!</v>
      </c>
      <c r="DT66" s="62">
        <f ca="1">AVERAGE(OFFSET($DS$3,0,0,'Données projet'!$E$14+1,1))-AVERAGE(OFFSET($H$3,0,0,'Données projet'!$E$14+1,1))</f>
        <v>75.244137291704476</v>
      </c>
      <c r="DU66" s="62">
        <f t="shared" si="44"/>
        <v>366.065475656937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32.147502140070905</v>
      </c>
      <c r="EB66" s="23">
        <f>EXP(-LN(2)/25)*EB65+(1-EXP(-LN(2)/25))/(LN(2)/25)*Calculateur!DW66*Calculateur!DY66*VLOOKUP('Données projet'!$B$14,Paramètres!$A$1:$I$89,3,0)*0.475*44/12</f>
        <v>5.5605546738370295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37.708056813907938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7.2</v>
      </c>
      <c r="EJ66" s="13">
        <f>IF('Données projet'!$A$192&gt;35,EJ65+EI66-ER65,IF(A66&lt;'Données projet'!$A$192,$EG$205^A66,IF(A66='Données projet'!$A$192,'Données projet'!$B$192,EJ65+EI66-ER65)))</f>
        <v>214.60000000000005</v>
      </c>
      <c r="EK66" s="18">
        <f>EJ66*VLOOKUP('Données projet'!$B$15,Paramètres!$A$1:$I$89,3,0)*VLOOKUP('Données projet'!$B$15,Paramètres!$A$1:$I$89,5,0)</f>
        <v>207.56112000000005</v>
      </c>
      <c r="EL66" s="14">
        <f t="shared" si="45"/>
        <v>51.40226725537714</v>
      </c>
      <c r="EM66" s="22">
        <f t="shared" si="19"/>
        <v>451.02789946978191</v>
      </c>
      <c r="EN66" s="62">
        <f t="shared" si="20"/>
        <v>700.78763077553549</v>
      </c>
      <c r="EO66" s="62">
        <f ca="1">AVERAGE(OFFSET($EN$3,0,0,'Données projet'!$E$15+1,1))-AVERAGE(OFFSET($H$3,0,0,'Données projet'!$E$15+1,1))</f>
        <v>452.74627739105745</v>
      </c>
      <c r="EP66" s="62">
        <f t="shared" si="46"/>
        <v>281.80695725575106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7.2</v>
      </c>
      <c r="FE66" s="13">
        <f>IF('Données projet'!$A$218&gt;35,FE65+FD66-FM65,IF(A66&lt;'Données projet'!$A$218,$FB$205^A66,IF(A66='Données projet'!$A$218,'Données projet'!$B$218,FE65+FD66-FM65)))</f>
        <v>214.60000000000005</v>
      </c>
      <c r="FF66" s="18">
        <f>FE66*VLOOKUP('Données projet'!$B$16,Paramètres!$A$1:$I$89,3,0)*VLOOKUP('Données projet'!$B$16,Paramètres!$A$1:$I$89,5,0)</f>
        <v>230.99544000000003</v>
      </c>
      <c r="FG66" s="14">
        <f t="shared" si="47"/>
        <v>56.497864803589835</v>
      </c>
      <c r="FH66" s="22">
        <f t="shared" si="22"/>
        <v>500.71750586625234</v>
      </c>
      <c r="FI66" s="62">
        <f t="shared" si="23"/>
        <v>750.47723717200586</v>
      </c>
      <c r="FJ66" s="62">
        <f ca="1">AVERAGE(OFFSET($FI$3,0,0,'Données projet'!$E$16+1,1))-AVERAGE(OFFSET($H$3,0,0,'Données projet'!$E$16+1,1))</f>
        <v>492.72391755143508</v>
      </c>
      <c r="FK66" s="62">
        <f t="shared" si="48"/>
        <v>304.88554179994355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58.116290356114597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143.77000000000001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-5.6843418860808015E-14</v>
      </c>
      <c r="O67" s="14">
        <f>N67*VLOOKUP('Données projet'!$B$9,Paramètres!$A$1:$I$89,3,0)*VLOOKUP('Données projet'!$B$9,Paramètres!$A$1:$I$89,5,0)</f>
        <v>-5.1431925385259088E-14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388.8309693898596</v>
      </c>
      <c r="T67" s="62">
        <f t="shared" si="34"/>
        <v>549.06702041234382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5.3982799909133057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5.3982799909133057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>
        <f>AI67*VLOOKUP('Données projet'!$B$10,Paramètres!$A$1:$I$89,3,0)*VLOOKUP('Données projet'!$B$10,Paramètres!$A$1:$I$89,5,0)</f>
        <v>6.7984728957526396E-14</v>
      </c>
      <c r="AK67" s="14">
        <f t="shared" si="35"/>
        <v>1.0682447123141398E-12</v>
      </c>
      <c r="AL67" s="22">
        <f t="shared" si="4"/>
        <v>1.978932943548152E-12</v>
      </c>
      <c r="AM67" s="62">
        <f t="shared" si="5"/>
        <v>250.51563588495381</v>
      </c>
      <c r="AN67" s="62">
        <f ca="1">AVERAGE(OFFSET($AM$3,0,0,'Données projet'!$E$10+1,1))-AVERAGE(OFFSET($H$3,0,0,'Données projet'!$E$10+1,1))</f>
        <v>197.85998851681552</v>
      </c>
      <c r="AO67" s="62">
        <f t="shared" si="36"/>
        <v>474.54844785896239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27.193451652359816</v>
      </c>
      <c r="AV67" s="23">
        <f>EXP(-LN(2)/25)*AV66+(1-EXP(-LN(2)/25))/(LN(2)/25)*Calculateur!AQ67*Calculateur!AS67*VLOOKUP('Données projet'!$B$10,Paramètres!$A$1:$I$89,3,0)*0.475*44/12</f>
        <v>17.121679872827102</v>
      </c>
      <c r="AW67" s="23">
        <f>EXP(-LN(2)/2)*AW66+(1-EXP(-LN(2)/2))/(LN(2)/2)*AQ67*AT67*VLOOKUP('Données projet'!$B$10,Paramètres!$A$1:$I$89,3,0)*0.475*44/12</f>
        <v>3.3239276731039831E-4</v>
      </c>
      <c r="AX67" s="23">
        <f t="shared" si="6"/>
        <v>44.315463917954226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1.1368683772161603E-13</v>
      </c>
      <c r="BE67" s="14">
        <f>BD67*VLOOKUP('Données projet'!$B$11,Paramètres!$A$1:$I$89,3,0)*VLOOKUP('Données projet'!$B$11,Paramètres!$A$1:$I$89,5,0)</f>
        <v>6.7984728957526396E-14</v>
      </c>
      <c r="BF67" s="14">
        <f t="shared" si="37"/>
        <v>1.0682447123141398E-12</v>
      </c>
      <c r="BG67" s="22">
        <f t="shared" si="7"/>
        <v>1.978932943548152E-12</v>
      </c>
      <c r="BH67" s="62">
        <f t="shared" si="8"/>
        <v>250.51563588495381</v>
      </c>
      <c r="BI67" s="62">
        <f ca="1">AVERAGE(OFFSET($BH$3,0,0,'Données projet'!$E$11+1,1))-AVERAGE(OFFSET($H$3,0,0,'Données projet'!$E$11+1,1))</f>
        <v>197.85998851681552</v>
      </c>
      <c r="BJ67" s="62">
        <f t="shared" si="38"/>
        <v>474.54844785896239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27.193451652359816</v>
      </c>
      <c r="BQ67" s="23">
        <f>EXP(-LN(2)/25)*BQ66+(1-EXP(-LN(2)/25))/(LN(2)/25)*Calculateur!BL67*Calculateur!BN67*VLOOKUP('Données projet'!$B$11,Paramètres!$A$1:$I$89,3,0)*0.475*44/12</f>
        <v>17.121679872827102</v>
      </c>
      <c r="BR67" s="23">
        <f>EXP(-LN(2)/2)*BR66+(1-EXP(-LN(2)/2))/(LN(2)/2)*BL67*BO67*VLOOKUP('Données projet'!$B$11,Paramètres!$A$1:$I$89,3,0)*0.475*44/12</f>
        <v>3.3239276731039831E-4</v>
      </c>
      <c r="BS67" s="24">
        <f t="shared" si="9"/>
        <v>44.315463917954226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>
        <f>BY67*VLOOKUP('Données projet'!$B$12,Paramètres!$A$1:$I$89,3,0)*VLOOKUP('Données projet'!$B$12,Paramètres!$A$1:$I$89,5,0)</f>
        <v>0</v>
      </c>
      <c r="CA67" s="14" t="e">
        <f t="shared" si="39"/>
        <v>#NUM!</v>
      </c>
      <c r="CB67" s="22" t="e">
        <f t="shared" si="10"/>
        <v>#NUM!</v>
      </c>
      <c r="CC67" s="62" t="e">
        <f t="shared" si="11"/>
        <v>#NUM!</v>
      </c>
      <c r="CD67" s="62">
        <f ca="1">AVERAGE(OFFSET($CC$3,0,0,'Données projet'!$E$12+1,1))-AVERAGE(OFFSET($H$3,0,0,'Données projet'!$E$12+1,1))</f>
        <v>72.97248599808384</v>
      </c>
      <c r="CE67" s="62">
        <f t="shared" si="40"/>
        <v>346.88163654003574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29.640644047103809</v>
      </c>
      <c r="CL67" s="23">
        <f>EXP(-LN(2)/25)*CL66+(1-EXP(-LN(2)/25))/(LN(2)/25)*Calculateur!CG67*Calculateur!CI67*VLOOKUP('Données projet'!$B$12,Paramètres!$A$1:$I$89,3,0)*0.475*44/12</f>
        <v>5.0864897603594459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34.727133807463254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>
        <f>CT67*VLOOKUP('Données projet'!$B$13,Paramètres!$A$1:$I$89,3,0)*VLOOKUP('Données projet'!$B$13,Paramètres!$A$1:$I$89,5,0)</f>
        <v>0</v>
      </c>
      <c r="CV67" s="14" t="e">
        <f t="shared" si="41"/>
        <v>#NUM!</v>
      </c>
      <c r="CW67" s="22" t="e">
        <f t="shared" si="13"/>
        <v>#NUM!</v>
      </c>
      <c r="CX67" s="62" t="e">
        <f t="shared" si="14"/>
        <v>#NUM!</v>
      </c>
      <c r="CY67" s="62">
        <f ca="1">AVERAGE(OFFSET($CX$3,0,0,'Données projet'!$E$13+1,1))-AVERAGE(OFFSET($H$3,0,0,'Données projet'!$E$13+1,1))</f>
        <v>67.303283896086128</v>
      </c>
      <c r="CZ67" s="62">
        <f t="shared" si="42"/>
        <v>318.97925671653547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26.916016599877008</v>
      </c>
      <c r="DG67" s="23">
        <f>EXP(-LN(2)/25)*DG66+(1-EXP(-LN(2)/25))/(LN(2)/25)*Calculateur!DB67*Calculateur!DD67*VLOOKUP('Données projet'!$B$13,Paramètres!$A$1:$I$89,3,0)*0.475*44/12</f>
        <v>4.6189294202706908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31.5349460201477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>
        <f>DO67*VLOOKUP('Données projet'!$B$14,Paramètres!$A$1:$I$89,3,0)*VLOOKUP('Données projet'!$B$14,Paramètres!$A$1:$I$89,5,0)</f>
        <v>0</v>
      </c>
      <c r="DQ67" s="14" t="e">
        <f t="shared" si="43"/>
        <v>#NUM!</v>
      </c>
      <c r="DR67" s="22" t="e">
        <f t="shared" si="16"/>
        <v>#NUM!</v>
      </c>
      <c r="DS67" s="62" t="e">
        <f t="shared" si="17"/>
        <v>#NUM!</v>
      </c>
      <c r="DT67" s="62">
        <f ca="1">AVERAGE(OFFSET($DS$3,0,0,'Données projet'!$E$14+1,1))-AVERAGE(OFFSET($H$3,0,0,'Données projet'!$E$14+1,1))</f>
        <v>75.244137291704476</v>
      </c>
      <c r="DU67" s="62">
        <f t="shared" si="44"/>
        <v>366.065475656937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31.517109231144286</v>
      </c>
      <c r="EB67" s="23">
        <f>EXP(-LN(2)/25)*EB66+(1-EXP(-LN(2)/25))/(LN(2)/25)*Calculateur!DW67*Calculateur!DY67*VLOOKUP('Données projet'!$B$14,Paramètres!$A$1:$I$89,3,0)*0.475*44/12</f>
        <v>5.4085010138640941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36.925610245008379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7.2</v>
      </c>
      <c r="EJ67" s="13">
        <f>IF('Données projet'!$A$192&gt;35,EJ66+EI67-ER66,IF(A67&lt;'Données projet'!$A$192,$EG$205^A67,IF(A67='Données projet'!$A$192,'Données projet'!$B$192,EJ66+EI67-ER66)))</f>
        <v>221.80000000000004</v>
      </c>
      <c r="EK67" s="18">
        <f>EJ67*VLOOKUP('Données projet'!$B$15,Paramètres!$A$1:$I$89,3,0)*VLOOKUP('Données projet'!$B$15,Paramètres!$A$1:$I$89,5,0)</f>
        <v>214.52496000000005</v>
      </c>
      <c r="EL67" s="14">
        <f t="shared" si="45"/>
        <v>52.923173099085766</v>
      </c>
      <c r="EM67" s="22">
        <f t="shared" si="19"/>
        <v>465.80549848090777</v>
      </c>
      <c r="EN67" s="62">
        <f t="shared" si="20"/>
        <v>716.32113436585962</v>
      </c>
      <c r="EO67" s="62">
        <f ca="1">AVERAGE(OFFSET($EN$3,0,0,'Données projet'!$E$15+1,1))-AVERAGE(OFFSET($H$3,0,0,'Données projet'!$E$15+1,1))</f>
        <v>452.74627739105745</v>
      </c>
      <c r="EP67" s="62">
        <f t="shared" si="46"/>
        <v>281.80695725575106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7.2</v>
      </c>
      <c r="FE67" s="13">
        <f>IF('Données projet'!$A$218&gt;35,FE66+FD67-FM66,IF(A67&lt;'Données projet'!$A$218,$FB$205^A67,IF(A67='Données projet'!$A$218,'Données projet'!$B$218,FE66+FD67-FM66)))</f>
        <v>221.80000000000004</v>
      </c>
      <c r="FF67" s="18">
        <f>FE67*VLOOKUP('Données projet'!$B$16,Paramètres!$A$1:$I$89,3,0)*VLOOKUP('Données projet'!$B$16,Paramètres!$A$1:$I$89,5,0)</f>
        <v>238.74552</v>
      </c>
      <c r="FG67" s="14">
        <f t="shared" si="47"/>
        <v>58.169540730060781</v>
      </c>
      <c r="FH67" s="22">
        <f t="shared" si="22"/>
        <v>517.12706410485578</v>
      </c>
      <c r="FI67" s="62">
        <f t="shared" si="23"/>
        <v>767.64269998980762</v>
      </c>
      <c r="FJ67" s="62">
        <f ca="1">AVERAGE(OFFSET($FI$3,0,0,'Données projet'!$E$16+1,1))-AVERAGE(OFFSET($H$3,0,0,'Données projet'!$E$16+1,1))</f>
        <v>492.72391755143508</v>
      </c>
      <c r="FK67" s="62">
        <f t="shared" si="48"/>
        <v>304.88554179994355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58.322446150441408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143.77000000000001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-5.6843418860808015E-14</v>
      </c>
      <c r="O68" s="14">
        <f>N68*VLOOKUP('Données projet'!$B$9,Paramètres!$A$1:$I$89,3,0)*VLOOKUP('Données projet'!$B$9,Paramètres!$A$1:$I$89,5,0)</f>
        <v>-5.1431925385259088E-14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388.8309693898596</v>
      </c>
      <c r="T68" s="62">
        <f t="shared" si="34"/>
        <v>549.06702041234382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5.2924230129171708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5.2924230129171708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>
        <f>AI68*VLOOKUP('Données projet'!$B$10,Paramètres!$A$1:$I$89,3,0)*VLOOKUP('Données projet'!$B$10,Paramètres!$A$1:$I$89,5,0)</f>
        <v>6.7984728957526396E-14</v>
      </c>
      <c r="AK68" s="14">
        <f t="shared" si="35"/>
        <v>1.0682447123141398E-12</v>
      </c>
      <c r="AL68" s="22">
        <f t="shared" ref="AL68:AL131" si="58">(AJ68+AK68)*0.475*44/12</f>
        <v>1.978932943548152E-12</v>
      </c>
      <c r="AM68" s="62">
        <f t="shared" ref="AM68:AM131" si="59">AL68+(AD68+AE68)*44/12</f>
        <v>251.25842720965255</v>
      </c>
      <c r="AN68" s="62">
        <f ca="1">AVERAGE(OFFSET($AM$3,0,0,'Données projet'!$E$10+1,1))-AVERAGE(OFFSET($H$3,0,0,'Données projet'!$E$10+1,1))</f>
        <v>197.85998851681552</v>
      </c>
      <c r="AO68" s="62">
        <f t="shared" si="36"/>
        <v>474.54844785896239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26.660204651824781</v>
      </c>
      <c r="AV68" s="23">
        <f>EXP(-LN(2)/25)*AV67+(1-EXP(-LN(2)/25))/(LN(2)/25)*Calculateur!AQ68*Calculateur!AS68*VLOOKUP('Données projet'!$B$10,Paramètres!$A$1:$I$89,3,0)*0.475*44/12</f>
        <v>16.653486636314632</v>
      </c>
      <c r="AW68" s="23">
        <f>EXP(-LN(2)/2)*AW67+(1-EXP(-LN(2)/2))/(LN(2)/2)*AQ68*AT68*VLOOKUP('Données projet'!$B$10,Paramètres!$A$1:$I$89,3,0)*0.475*44/12</f>
        <v>2.3503717978254484E-4</v>
      </c>
      <c r="AX68" s="23">
        <f t="shared" ref="AX68:AX131" si="60">SUM(AU68:AW68)</f>
        <v>43.313926325319194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1.1368683772161603E-13</v>
      </c>
      <c r="BE68" s="14">
        <f>BD68*VLOOKUP('Données projet'!$B$11,Paramètres!$A$1:$I$89,3,0)*VLOOKUP('Données projet'!$B$11,Paramètres!$A$1:$I$89,5,0)</f>
        <v>6.7984728957526396E-14</v>
      </c>
      <c r="BF68" s="14">
        <f t="shared" si="37"/>
        <v>1.0682447123141398E-12</v>
      </c>
      <c r="BG68" s="22">
        <f t="shared" ref="BG68:BG131" si="61">(BE68+BF68)*0.475*44/12</f>
        <v>1.978932943548152E-12</v>
      </c>
      <c r="BH68" s="62">
        <f t="shared" ref="BH68:BH131" si="62">BG68+(AY68+AZ68)*44/12</f>
        <v>251.25842720965255</v>
      </c>
      <c r="BI68" s="62">
        <f ca="1">AVERAGE(OFFSET($BH$3,0,0,'Données projet'!$E$11+1,1))-AVERAGE(OFFSET($H$3,0,0,'Données projet'!$E$11+1,1))</f>
        <v>197.85998851681552</v>
      </c>
      <c r="BJ68" s="62">
        <f t="shared" si="38"/>
        <v>474.54844785896239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26.660204651824781</v>
      </c>
      <c r="BQ68" s="23">
        <f>EXP(-LN(2)/25)*BQ67+(1-EXP(-LN(2)/25))/(LN(2)/25)*Calculateur!BL68*Calculateur!BN68*VLOOKUP('Données projet'!$B$11,Paramètres!$A$1:$I$89,3,0)*0.475*44/12</f>
        <v>16.653486636314632</v>
      </c>
      <c r="BR68" s="23">
        <f>EXP(-LN(2)/2)*BR67+(1-EXP(-LN(2)/2))/(LN(2)/2)*BL68*BO68*VLOOKUP('Données projet'!$B$11,Paramètres!$A$1:$I$89,3,0)*0.475*44/12</f>
        <v>2.3503717978254484E-4</v>
      </c>
      <c r="BS68" s="24">
        <f t="shared" ref="BS68:BS131" si="63">SUM(BP68:BR68)</f>
        <v>43.313926325319194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>
        <f>BY68*VLOOKUP('Données projet'!$B$12,Paramètres!$A$1:$I$89,3,0)*VLOOKUP('Données projet'!$B$12,Paramètres!$A$1:$I$89,5,0)</f>
        <v>0</v>
      </c>
      <c r="CA68" s="14" t="e">
        <f t="shared" si="39"/>
        <v>#NUM!</v>
      </c>
      <c r="CB68" s="22" t="e">
        <f t="shared" ref="CB68:CB131" si="64">(BZ68+CA68)*0.475*44/12</f>
        <v>#NUM!</v>
      </c>
      <c r="CC68" s="62" t="e">
        <f t="shared" ref="CC68:CC131" si="65">CB68+(BT68+BU68)*44/12</f>
        <v>#NUM!</v>
      </c>
      <c r="CD68" s="62">
        <f ca="1">AVERAGE(OFFSET($CC$3,0,0,'Données projet'!$E$12+1,1))-AVERAGE(OFFSET($H$3,0,0,'Données projet'!$E$12+1,1))</f>
        <v>72.97248599808384</v>
      </c>
      <c r="CE68" s="62">
        <f t="shared" si="40"/>
        <v>346.88163654003574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29.059409096347817</v>
      </c>
      <c r="CL68" s="23">
        <f>EXP(-LN(2)/25)*CL67+(1-EXP(-LN(2)/25))/(LN(2)/25)*Calculateur!CG68*Calculateur!CI68*VLOOKUP('Données projet'!$B$12,Paramètres!$A$1:$I$89,3,0)*0.475*44/12</f>
        <v>4.9473994303755457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34.006808526723361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>
        <f>CT68*VLOOKUP('Données projet'!$B$13,Paramètres!$A$1:$I$89,3,0)*VLOOKUP('Données projet'!$B$13,Paramètres!$A$1:$I$89,5,0)</f>
        <v>0</v>
      </c>
      <c r="CV68" s="14" t="e">
        <f t="shared" si="41"/>
        <v>#NUM!</v>
      </c>
      <c r="CW68" s="22" t="e">
        <f t="shared" ref="CW68:CW131" si="67">(CU68+CV68)*0.475*44/12</f>
        <v>#NUM!</v>
      </c>
      <c r="CX68" s="62" t="e">
        <f t="shared" ref="CX68:CX131" si="68">CW68+(CO68+CP68)*44/12</f>
        <v>#NUM!</v>
      </c>
      <c r="CY68" s="62">
        <f ca="1">AVERAGE(OFFSET($CX$3,0,0,'Données projet'!$E$13+1,1))-AVERAGE(OFFSET($H$3,0,0,'Données projet'!$E$13+1,1))</f>
        <v>67.303283896086128</v>
      </c>
      <c r="CZ68" s="62">
        <f t="shared" si="42"/>
        <v>318.97925671653547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26.388209931502487</v>
      </c>
      <c r="DG68" s="23">
        <f>EXP(-LN(2)/25)*DG67+(1-EXP(-LN(2)/25))/(LN(2)/25)*Calculateur!DB68*Calculateur!DD68*VLOOKUP('Données projet'!$B$13,Paramètres!$A$1:$I$89,3,0)*0.475*44/12</f>
        <v>4.4926245523744468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30.880834483876935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>
        <f>DO68*VLOOKUP('Données projet'!$B$14,Paramètres!$A$1:$I$89,3,0)*VLOOKUP('Données projet'!$B$14,Paramètres!$A$1:$I$89,5,0)</f>
        <v>0</v>
      </c>
      <c r="DQ68" s="14" t="e">
        <f t="shared" si="43"/>
        <v>#NUM!</v>
      </c>
      <c r="DR68" s="22" t="e">
        <f t="shared" ref="DR68:DR131" si="70">(DP68+DQ68)*0.475*44/12</f>
        <v>#NUM!</v>
      </c>
      <c r="DS68" s="62" t="e">
        <f t="shared" ref="DS68:DS131" si="71">DR68+(DJ68+DK68)*44/12</f>
        <v>#NUM!</v>
      </c>
      <c r="DT68" s="62">
        <f ca="1">AVERAGE(OFFSET($DS$3,0,0,'Données projet'!$E$14+1,1))-AVERAGE(OFFSET($H$3,0,0,'Données projet'!$E$14+1,1))</f>
        <v>75.244137291704476</v>
      </c>
      <c r="DU68" s="62">
        <f t="shared" si="44"/>
        <v>366.065475656937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30.899077942660011</v>
      </c>
      <c r="EB68" s="23">
        <f>EXP(-LN(2)/25)*EB67+(1-EXP(-LN(2)/25))/(LN(2)/25)*Calculateur!DW68*Calculateur!DY68*VLOOKUP('Données projet'!$B$14,Paramètres!$A$1:$I$89,3,0)*0.475*44/12</f>
        <v>5.2606052692192735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36.159683211879283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229</v>
      </c>
      <c r="EH68" s="13">
        <f>VLOOKUP(A68,'Données projet'!$A$191:$I$211,9,0)</f>
        <v>7.2</v>
      </c>
      <c r="EI68" s="13">
        <f t="array" ref="EI68">INDEX(EH:EH,MIN(IF(ISNUMBER(EH68:EH264),ROW(EH68:EH264),"")))</f>
        <v>7.2</v>
      </c>
      <c r="EJ68" s="13">
        <f>IF('Données projet'!$A$192&gt;35,EJ67+EI68-ER67,IF(A68&lt;'Données projet'!$A$192,$EG$205^A68,IF(A68='Données projet'!$A$192,'Données projet'!$B$192,EJ67+EI68-ER67)))</f>
        <v>229.00000000000003</v>
      </c>
      <c r="EK68" s="18">
        <f>EJ68*VLOOKUP('Données projet'!$B$15,Paramètres!$A$1:$I$89,3,0)*VLOOKUP('Données projet'!$B$15,Paramètres!$A$1:$I$89,5,0)</f>
        <v>221.48880000000003</v>
      </c>
      <c r="EL68" s="14">
        <f t="shared" si="45"/>
        <v>54.43834191952984</v>
      </c>
      <c r="EM68" s="22">
        <f t="shared" ref="EM68:EM131" si="73">(EK68+EL68)*0.475*44/12</f>
        <v>480.57310550984772</v>
      </c>
      <c r="EN68" s="62">
        <f t="shared" ref="EN68:EN131" si="74">EM68+(EE68+EF68)*44/12</f>
        <v>731.83153271949823</v>
      </c>
      <c r="EO68" s="62">
        <f ca="1">AVERAGE(OFFSET($EN$3,0,0,'Données projet'!$E$15+1,1))-AVERAGE(OFFSET($H$3,0,0,'Données projet'!$E$15+1,1))</f>
        <v>452.74627739105745</v>
      </c>
      <c r="EP68" s="62">
        <f t="shared" si="46"/>
        <v>281.80695725575106</v>
      </c>
      <c r="EQ68" s="16">
        <f>IF(ISNA(VLOOKUP(A68,'Données projet'!$A$191:$I$211,3,0)),0,VLOOKUP(A68,'Données projet'!$A$191:$I$211,3,0))</f>
        <v>9</v>
      </c>
      <c r="ER68" s="16">
        <f>IF(ISNA(VLOOKUP(A68,'Données projet'!$A$191:$I$211,4,0)),0,VLOOKUP(A68,'Données projet'!$A$191:$I$211,4,0))</f>
        <v>21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projet'!$A$217:$I$237,2,0)</f>
        <v>229</v>
      </c>
      <c r="FC68" s="13">
        <f>VLOOKUP(A68,'Données projet'!$A$217:$I$237,9,0)</f>
        <v>7.2</v>
      </c>
      <c r="FD68" s="13">
        <f t="array" ref="FD68">INDEX(FC:FC,MIN(IF(ISNUMBER(FC68:FC264),ROW(FC68:FC264),"")))</f>
        <v>7.2</v>
      </c>
      <c r="FE68" s="13">
        <f>IF('Données projet'!$A$218&gt;35,FE67+FD68-FM67,IF(A68&lt;'Données projet'!$A$218,$FB$205^A68,IF(A68='Données projet'!$A$218,'Données projet'!$B$218,FE67+FD68-FM67)))</f>
        <v>229.00000000000003</v>
      </c>
      <c r="FF68" s="18">
        <f>FE68*VLOOKUP('Données projet'!$B$16,Paramètres!$A$1:$I$89,3,0)*VLOOKUP('Données projet'!$B$16,Paramètres!$A$1:$I$89,5,0)</f>
        <v>246.49560000000002</v>
      </c>
      <c r="FG68" s="14">
        <f t="shared" si="47"/>
        <v>59.834910912017278</v>
      </c>
      <c r="FH68" s="22">
        <f t="shared" ref="FH68:FH131" si="76">(FF68+FG68)*0.475*44/12</f>
        <v>533.52563983843004</v>
      </c>
      <c r="FI68" s="62">
        <f t="shared" ref="FI68:FI131" si="77">FH68+(EZ68+FA68)*44/12</f>
        <v>784.7840670480806</v>
      </c>
      <c r="FJ68" s="62">
        <f ca="1">AVERAGE(OFFSET($FI$3,0,0,'Données projet'!$E$16+1,1))-AVERAGE(OFFSET($H$3,0,0,'Données projet'!$E$16+1,1))</f>
        <v>492.72391755143508</v>
      </c>
      <c r="FK68" s="62">
        <f t="shared" si="48"/>
        <v>304.88554179994355</v>
      </c>
      <c r="FL68" s="16">
        <f>IF(ISNA(VLOOKUP(A68,'Données projet'!$A$217:$I$237,3,0)),0,VLOOKUP(A68,'Données projet'!$A$217:$I$237,3,0))</f>
        <v>9</v>
      </c>
      <c r="FM68" s="16">
        <f>IF(ISNA(VLOOKUP(A68,'Données projet'!$A$217:$I$237,4,0)),0,VLOOKUP(A68,'Données projet'!$A$217:$I$237,4,0))</f>
        <v>21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58.52502560263197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143.77000000000001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-5.6843418860808015E-14</v>
      </c>
      <c r="O69" s="14">
        <f>N69*VLOOKUP('Données projet'!$B$9,Paramètres!$A$1:$I$89,3,0)*VLOOKUP('Données projet'!$B$9,Paramètres!$A$1:$I$89,5,0)</f>
        <v>-5.1431925385259088E-14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388.8309693898596</v>
      </c>
      <c r="T69" s="62">
        <f t="shared" ref="T69:T132" si="88">$T$3</f>
        <v>549.06702041234382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5.1886418256931588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5.1886418256931588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>
        <f>AI69*VLOOKUP('Données projet'!$B$10,Paramètres!$A$1:$I$89,3,0)*VLOOKUP('Données projet'!$B$10,Paramètres!$A$1:$I$89,5,0)</f>
        <v>6.7984728957526396E-14</v>
      </c>
      <c r="AK69" s="14">
        <f t="shared" ref="AK69:AK132" si="89">EXP(-1.0587+0.8836*LN(AJ69)+0.284)</f>
        <v>1.0682447123141398E-12</v>
      </c>
      <c r="AL69" s="22">
        <f t="shared" si="58"/>
        <v>1.978932943548152E-12</v>
      </c>
      <c r="AM69" s="62">
        <f t="shared" si="59"/>
        <v>251.98833276550039</v>
      </c>
      <c r="AN69" s="62">
        <f ca="1">AVERAGE(OFFSET($AM$3,0,0,'Données projet'!$E$10+1,1))-AVERAGE(OFFSET($H$3,0,0,'Données projet'!$E$10+1,1))</f>
        <v>197.85998851681552</v>
      </c>
      <c r="AO69" s="62">
        <f t="shared" ref="AO69:AO132" si="90">$AO$3</f>
        <v>474.54844785896239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26.137414299721684</v>
      </c>
      <c r="AV69" s="23">
        <f>EXP(-LN(2)/25)*AV68+(1-EXP(-LN(2)/25))/(LN(2)/25)*Calculateur!AQ69*Calculateur!AS69*VLOOKUP('Données projet'!$B$10,Paramètres!$A$1:$I$89,3,0)*0.475*44/12</f>
        <v>16.198096168475807</v>
      </c>
      <c r="AW69" s="23">
        <f>EXP(-LN(2)/2)*AW68+(1-EXP(-LN(2)/2))/(LN(2)/2)*AQ69*AT69*VLOOKUP('Données projet'!$B$10,Paramètres!$A$1:$I$89,3,0)*0.475*44/12</f>
        <v>1.6619638365519918E-4</v>
      </c>
      <c r="AX69" s="23">
        <f t="shared" si="60"/>
        <v>42.335676664581143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1.1368683772161603E-13</v>
      </c>
      <c r="BE69" s="14">
        <f>BD69*VLOOKUP('Données projet'!$B$11,Paramètres!$A$1:$I$89,3,0)*VLOOKUP('Données projet'!$B$11,Paramètres!$A$1:$I$89,5,0)</f>
        <v>6.7984728957526396E-14</v>
      </c>
      <c r="BF69" s="14">
        <f t="shared" ref="BF69:BF132" si="91">EXP(-1.0587+0.8836*LN(BE69)+0.284)</f>
        <v>1.0682447123141398E-12</v>
      </c>
      <c r="BG69" s="22">
        <f t="shared" si="61"/>
        <v>1.978932943548152E-12</v>
      </c>
      <c r="BH69" s="62">
        <f t="shared" si="62"/>
        <v>251.98833276550039</v>
      </c>
      <c r="BI69" s="62">
        <f ca="1">AVERAGE(OFFSET($BH$3,0,0,'Données projet'!$E$11+1,1))-AVERAGE(OFFSET($H$3,0,0,'Données projet'!$E$11+1,1))</f>
        <v>197.85998851681552</v>
      </c>
      <c r="BJ69" s="62">
        <f t="shared" ref="BJ69:BJ132" si="92">$BJ$3</f>
        <v>474.54844785896239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26.137414299721684</v>
      </c>
      <c r="BQ69" s="23">
        <f>EXP(-LN(2)/25)*BQ68+(1-EXP(-LN(2)/25))/(LN(2)/25)*Calculateur!BL69*Calculateur!BN69*VLOOKUP('Données projet'!$B$11,Paramètres!$A$1:$I$89,3,0)*0.475*44/12</f>
        <v>16.198096168475807</v>
      </c>
      <c r="BR69" s="23">
        <f>EXP(-LN(2)/2)*BR68+(1-EXP(-LN(2)/2))/(LN(2)/2)*BL69*BO69*VLOOKUP('Données projet'!$B$11,Paramètres!$A$1:$I$89,3,0)*0.475*44/12</f>
        <v>1.6619638365519918E-4</v>
      </c>
      <c r="BS69" s="24">
        <f t="shared" si="63"/>
        <v>42.335676664581143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>
        <f>BY69*VLOOKUP('Données projet'!$B$12,Paramètres!$A$1:$I$89,3,0)*VLOOKUP('Données projet'!$B$12,Paramètres!$A$1:$I$89,5,0)</f>
        <v>0</v>
      </c>
      <c r="CA69" s="14" t="e">
        <f t="shared" ref="CA69:CA132" si="93">EXP(-1.0587+0.8836*LN(BZ69)+0.284)</f>
        <v>#NUM!</v>
      </c>
      <c r="CB69" s="22" t="e">
        <f t="shared" si="64"/>
        <v>#NUM!</v>
      </c>
      <c r="CC69" s="62" t="e">
        <f t="shared" si="65"/>
        <v>#NUM!</v>
      </c>
      <c r="CD69" s="62">
        <f ca="1">AVERAGE(OFFSET($CC$3,0,0,'Données projet'!$E$12+1,1))-AVERAGE(OFFSET($H$3,0,0,'Données projet'!$E$12+1,1))</f>
        <v>72.97248599808384</v>
      </c>
      <c r="CE69" s="62">
        <f t="shared" ref="CE69:CE132" si="94">$CE$3</f>
        <v>346.88163654003574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28.489571808457839</v>
      </c>
      <c r="CL69" s="23">
        <f>EXP(-LN(2)/25)*CL68+(1-EXP(-LN(2)/25))/(LN(2)/25)*Calculateur!CG69*Calculateur!CI69*VLOOKUP('Données projet'!$B$12,Paramètres!$A$1:$I$89,3,0)*0.475*44/12</f>
        <v>4.8121125327794978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33.301684341237333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>
        <f>CT69*VLOOKUP('Données projet'!$B$13,Paramètres!$A$1:$I$89,3,0)*VLOOKUP('Données projet'!$B$13,Paramètres!$A$1:$I$89,5,0)</f>
        <v>0</v>
      </c>
      <c r="CV69" s="14" t="e">
        <f t="shared" ref="CV69:CV132" si="95">EXP(-1.0587+0.8836*LN(CU69)+0.284)</f>
        <v>#NUM!</v>
      </c>
      <c r="CW69" s="22" t="e">
        <f t="shared" si="67"/>
        <v>#NUM!</v>
      </c>
      <c r="CX69" s="62" t="e">
        <f t="shared" si="68"/>
        <v>#NUM!</v>
      </c>
      <c r="CY69" s="62">
        <f ca="1">AVERAGE(OFFSET($CX$3,0,0,'Données projet'!$E$13+1,1))-AVERAGE(OFFSET($H$3,0,0,'Données projet'!$E$13+1,1))</f>
        <v>67.303283896086128</v>
      </c>
      <c r="CZ69" s="62">
        <f t="shared" ref="CZ69:CZ132" si="96">$CZ$3</f>
        <v>318.97925671653547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25.87075322996451</v>
      </c>
      <c r="DG69" s="23">
        <f>EXP(-LN(2)/25)*DG68+(1-EXP(-LN(2)/25))/(LN(2)/25)*Calculateur!DB69*Calculateur!DD69*VLOOKUP('Données projet'!$B$13,Paramètres!$A$1:$I$89,3,0)*0.475*44/12</f>
        <v>4.3697734977329104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30.240526727697421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>
        <f>DO69*VLOOKUP('Données projet'!$B$14,Paramètres!$A$1:$I$89,3,0)*VLOOKUP('Données projet'!$B$14,Paramètres!$A$1:$I$89,5,0)</f>
        <v>0</v>
      </c>
      <c r="DQ69" s="14" t="e">
        <f t="shared" ref="DQ69:DQ132" si="97">EXP(-1.0587+0.8836*LN(DP69)+0.284)</f>
        <v>#NUM!</v>
      </c>
      <c r="DR69" s="22" t="e">
        <f t="shared" si="70"/>
        <v>#NUM!</v>
      </c>
      <c r="DS69" s="62" t="e">
        <f t="shared" si="71"/>
        <v>#NUM!</v>
      </c>
      <c r="DT69" s="62">
        <f ca="1">AVERAGE(OFFSET($DS$3,0,0,'Données projet'!$E$14+1,1))-AVERAGE(OFFSET($H$3,0,0,'Données projet'!$E$14+1,1))</f>
        <v>75.244137291704476</v>
      </c>
      <c r="DU69" s="62">
        <f t="shared" ref="DU69:DU132" si="98">$DU$3</f>
        <v>366.065475656937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30.293165870781049</v>
      </c>
      <c r="EB69" s="23">
        <f>EXP(-LN(2)/25)*EB68+(1-EXP(-LN(2)/25))/(LN(2)/25)*Calculateur!DW69*Calculateur!DY69*VLOOKUP('Données projet'!$B$14,Paramètres!$A$1:$I$89,3,0)*0.475*44/12</f>
        <v>5.1167537414892648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35.409919612270315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6.8</v>
      </c>
      <c r="EJ69" s="13">
        <f>IF('Données projet'!$A$192&gt;35,EJ68+EI69-ER68,IF(A69&lt;'Données projet'!$A$192,$EG$205^A69,IF(A69='Données projet'!$A$192,'Données projet'!$B$192,EJ68+EI69-ER68)))</f>
        <v>214.80000000000004</v>
      </c>
      <c r="EK69" s="18">
        <f>EJ69*VLOOKUP('Données projet'!$B$15,Paramètres!$A$1:$I$89,3,0)*VLOOKUP('Données projet'!$B$15,Paramètres!$A$1:$I$89,5,0)</f>
        <v>207.75456000000003</v>
      </c>
      <c r="EL69" s="14">
        <f t="shared" ref="EL69:EL132" si="99">EXP(-1.0587+0.8836*LN(EK69)+0.284)</f>
        <v>51.44459398478218</v>
      </c>
      <c r="EM69" s="22">
        <f t="shared" si="73"/>
        <v>451.43852652349568</v>
      </c>
      <c r="EN69" s="62">
        <f t="shared" si="74"/>
        <v>703.42685928899414</v>
      </c>
      <c r="EO69" s="62">
        <f ca="1">AVERAGE(OFFSET($EN$3,0,0,'Données projet'!$E$15+1,1))-AVERAGE(OFFSET($H$3,0,0,'Données projet'!$E$15+1,1))</f>
        <v>452.74627739105745</v>
      </c>
      <c r="EP69" s="62">
        <f t="shared" ref="EP69:EP132" si="100">$EP$3</f>
        <v>281.80695725575106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6.8</v>
      </c>
      <c r="FE69" s="13">
        <f>IF('Données projet'!$A$218&gt;35,FE68+FD69-FM68,IF(A69&lt;'Données projet'!$A$218,$FB$205^A69,IF(A69='Données projet'!$A$218,'Données projet'!$B$218,FE68+FD69-FM68)))</f>
        <v>214.80000000000004</v>
      </c>
      <c r="FF69" s="18">
        <f>FE69*VLOOKUP('Données projet'!$B$16,Paramètres!$A$1:$I$89,3,0)*VLOOKUP('Données projet'!$B$16,Paramètres!$A$1:$I$89,5,0)</f>
        <v>231.21072000000004</v>
      </c>
      <c r="FG69" s="14">
        <f t="shared" ref="FG69:FG132" si="101">EXP(-1.0587+0.8836*LN(FF69)+0.284)</f>
        <v>56.544387456445271</v>
      </c>
      <c r="FH69" s="22">
        <f t="shared" si="76"/>
        <v>501.17347881997563</v>
      </c>
      <c r="FI69" s="62">
        <f t="shared" si="77"/>
        <v>753.16181158547397</v>
      </c>
      <c r="FJ69" s="62">
        <f ca="1">AVERAGE(OFFSET($FI$3,0,0,'Données projet'!$E$16+1,1))-AVERAGE(OFFSET($H$3,0,0,'Données projet'!$E$16+1,1))</f>
        <v>492.72391755143508</v>
      </c>
      <c r="FK69" s="62">
        <f t="shared" ref="FK69:FK132" si="102">$FK$3</f>
        <v>304.88554179994355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58.724090754226836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143.77000000000001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-5.6843418860808015E-14</v>
      </c>
      <c r="O70" s="14">
        <f>N70*VLOOKUP('Données projet'!$B$9,Paramètres!$A$1:$I$89,3,0)*VLOOKUP('Données projet'!$B$9,Paramètres!$A$1:$I$89,5,0)</f>
        <v>-5.1431925385259088E-14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388.8309693898596</v>
      </c>
      <c r="T70" s="62">
        <f t="shared" si="88"/>
        <v>549.06702041234382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5.0868957242503354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5.0868957242503354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>
        <f>AI70*VLOOKUP('Données projet'!$B$10,Paramètres!$A$1:$I$89,3,0)*VLOOKUP('Données projet'!$B$10,Paramètres!$A$1:$I$89,5,0)</f>
        <v>6.7984728957526396E-14</v>
      </c>
      <c r="AK70" s="14">
        <f t="shared" si="89"/>
        <v>1.0682447123141398E-12</v>
      </c>
      <c r="AL70" s="22">
        <f t="shared" si="58"/>
        <v>1.978932943548152E-12</v>
      </c>
      <c r="AM70" s="62">
        <f t="shared" si="59"/>
        <v>252.7055760917786</v>
      </c>
      <c r="AN70" s="62">
        <f ca="1">AVERAGE(OFFSET($AM$3,0,0,'Données projet'!$E$10+1,1))-AVERAGE(OFFSET($H$3,0,0,'Données projet'!$E$10+1,1))</f>
        <v>197.85998851681552</v>
      </c>
      <c r="AO70" s="62">
        <f t="shared" si="90"/>
        <v>474.54844785896239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25.624875547552698</v>
      </c>
      <c r="AV70" s="23">
        <f>EXP(-LN(2)/25)*AV69+(1-EXP(-LN(2)/25))/(LN(2)/25)*Calculateur!AQ70*Calculateur!AS70*VLOOKUP('Données projet'!$B$10,Paramètres!$A$1:$I$89,3,0)*0.475*44/12</f>
        <v>15.75515837692798</v>
      </c>
      <c r="AW70" s="23">
        <f>EXP(-LN(2)/2)*AW69+(1-EXP(-LN(2)/2))/(LN(2)/2)*AQ70*AT70*VLOOKUP('Données projet'!$B$10,Paramètres!$A$1:$I$89,3,0)*0.475*44/12</f>
        <v>1.1751858989127243E-4</v>
      </c>
      <c r="AX70" s="23">
        <f t="shared" si="60"/>
        <v>41.380151443070567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1.1368683772161603E-13</v>
      </c>
      <c r="BE70" s="14">
        <f>BD70*VLOOKUP('Données projet'!$B$11,Paramètres!$A$1:$I$89,3,0)*VLOOKUP('Données projet'!$B$11,Paramètres!$A$1:$I$89,5,0)</f>
        <v>6.7984728957526396E-14</v>
      </c>
      <c r="BF70" s="14">
        <f t="shared" si="91"/>
        <v>1.0682447123141398E-12</v>
      </c>
      <c r="BG70" s="22">
        <f t="shared" si="61"/>
        <v>1.978932943548152E-12</v>
      </c>
      <c r="BH70" s="62">
        <f t="shared" si="62"/>
        <v>252.7055760917786</v>
      </c>
      <c r="BI70" s="62">
        <f ca="1">AVERAGE(OFFSET($BH$3,0,0,'Données projet'!$E$11+1,1))-AVERAGE(OFFSET($H$3,0,0,'Données projet'!$E$11+1,1))</f>
        <v>197.85998851681552</v>
      </c>
      <c r="BJ70" s="62">
        <f t="shared" si="92"/>
        <v>474.54844785896239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25.624875547552698</v>
      </c>
      <c r="BQ70" s="23">
        <f>EXP(-LN(2)/25)*BQ69+(1-EXP(-LN(2)/25))/(LN(2)/25)*Calculateur!BL70*Calculateur!BN70*VLOOKUP('Données projet'!$B$11,Paramètres!$A$1:$I$89,3,0)*0.475*44/12</f>
        <v>15.75515837692798</v>
      </c>
      <c r="BR70" s="23">
        <f>EXP(-LN(2)/2)*BR69+(1-EXP(-LN(2)/2))/(LN(2)/2)*BL70*BO70*VLOOKUP('Données projet'!$B$11,Paramètres!$A$1:$I$89,3,0)*0.475*44/12</f>
        <v>1.1751858989127243E-4</v>
      </c>
      <c r="BS70" s="24">
        <f t="shared" si="63"/>
        <v>41.380151443070567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>
        <f>BY70*VLOOKUP('Données projet'!$B$12,Paramètres!$A$1:$I$89,3,0)*VLOOKUP('Données projet'!$B$12,Paramètres!$A$1:$I$89,5,0)</f>
        <v>0</v>
      </c>
      <c r="CA70" s="14" t="e">
        <f t="shared" si="93"/>
        <v>#NUM!</v>
      </c>
      <c r="CB70" s="22" t="e">
        <f t="shared" si="64"/>
        <v>#NUM!</v>
      </c>
      <c r="CC70" s="62" t="e">
        <f t="shared" si="65"/>
        <v>#NUM!</v>
      </c>
      <c r="CD70" s="62">
        <f ca="1">AVERAGE(OFFSET($CC$3,0,0,'Données projet'!$E$12+1,1))-AVERAGE(OFFSET($H$3,0,0,'Données projet'!$E$12+1,1))</f>
        <v>72.97248599808384</v>
      </c>
      <c r="CE70" s="62">
        <f t="shared" si="94"/>
        <v>346.88163654003574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27.930908682216955</v>
      </c>
      <c r="CL70" s="23">
        <f>EXP(-LN(2)/25)*CL69+(1-EXP(-LN(2)/25))/(LN(2)/25)*Calculateur!CG70*Calculateur!CI70*VLOOKUP('Données projet'!$B$12,Paramètres!$A$1:$I$89,3,0)*0.475*44/12</f>
        <v>4.6805250625126424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32.611433744729595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>
        <f>CT70*VLOOKUP('Données projet'!$B$13,Paramètres!$A$1:$I$89,3,0)*VLOOKUP('Données projet'!$B$13,Paramètres!$A$1:$I$89,5,0)</f>
        <v>0</v>
      </c>
      <c r="CV70" s="14" t="e">
        <f t="shared" si="95"/>
        <v>#NUM!</v>
      </c>
      <c r="CW70" s="22" t="e">
        <f t="shared" si="67"/>
        <v>#NUM!</v>
      </c>
      <c r="CX70" s="62" t="e">
        <f t="shared" si="68"/>
        <v>#NUM!</v>
      </c>
      <c r="CY70" s="62">
        <f ca="1">AVERAGE(OFFSET($CX$3,0,0,'Données projet'!$E$13+1,1))-AVERAGE(OFFSET($H$3,0,0,'Données projet'!$E$13+1,1))</f>
        <v>67.303283896086128</v>
      </c>
      <c r="CZ70" s="62">
        <f t="shared" si="96"/>
        <v>318.97925671653547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25.363443538726269</v>
      </c>
      <c r="DG70" s="23">
        <f>EXP(-LN(2)/25)*DG69+(1-EXP(-LN(2)/25))/(LN(2)/25)*Calculateur!DB70*Calculateur!DD70*VLOOKUP('Données projet'!$B$13,Paramètres!$A$1:$I$89,3,0)*0.475*44/12</f>
        <v>4.2502818116410026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29.613725350367272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>
        <f>DO70*VLOOKUP('Données projet'!$B$14,Paramètres!$A$1:$I$89,3,0)*VLOOKUP('Données projet'!$B$14,Paramètres!$A$1:$I$89,5,0)</f>
        <v>0</v>
      </c>
      <c r="DQ70" s="14" t="e">
        <f t="shared" si="97"/>
        <v>#NUM!</v>
      </c>
      <c r="DR70" s="22" t="e">
        <f t="shared" si="70"/>
        <v>#NUM!</v>
      </c>
      <c r="DS70" s="62" t="e">
        <f t="shared" si="71"/>
        <v>#NUM!</v>
      </c>
      <c r="DT70" s="62">
        <f ca="1">AVERAGE(OFFSET($DS$3,0,0,'Données projet'!$E$14+1,1))-AVERAGE(OFFSET($H$3,0,0,'Données projet'!$E$14+1,1))</f>
        <v>75.244137291704476</v>
      </c>
      <c r="DU70" s="62">
        <f t="shared" si="98"/>
        <v>366.065475656937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29.69913536506176</v>
      </c>
      <c r="EB70" s="23">
        <f>EXP(-LN(2)/25)*EB69+(1-EXP(-LN(2)/25))/(LN(2)/25)*Calculateur!DW70*Calculateur!DY70*VLOOKUP('Données projet'!$B$14,Paramètres!$A$1:$I$89,3,0)*0.475*44/12</f>
        <v>4.9768358413498559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34.675971206411617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6.8</v>
      </c>
      <c r="EJ70" s="13">
        <f>IF('Données projet'!$A$192&gt;35,EJ69+EI70-ER69,IF(A70&lt;'Données projet'!$A$192,$EG$205^A70,IF(A70='Données projet'!$A$192,'Données projet'!$B$192,EJ69+EI70-ER69)))</f>
        <v>221.60000000000005</v>
      </c>
      <c r="EK70" s="18">
        <f>EJ70*VLOOKUP('Données projet'!$B$15,Paramètres!$A$1:$I$89,3,0)*VLOOKUP('Données projet'!$B$15,Paramètres!$A$1:$I$89,5,0)</f>
        <v>214.33152000000004</v>
      </c>
      <c r="EL70" s="14">
        <f t="shared" si="99"/>
        <v>52.881004144461244</v>
      </c>
      <c r="EM70" s="22">
        <f t="shared" si="73"/>
        <v>465.39514621826999</v>
      </c>
      <c r="EN70" s="62">
        <f t="shared" si="74"/>
        <v>718.10072231004665</v>
      </c>
      <c r="EO70" s="62">
        <f ca="1">AVERAGE(OFFSET($EN$3,0,0,'Données projet'!$E$15+1,1))-AVERAGE(OFFSET($H$3,0,0,'Données projet'!$E$15+1,1))</f>
        <v>452.74627739105745</v>
      </c>
      <c r="EP70" s="62">
        <f t="shared" si="100"/>
        <v>281.80695725575106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6.8</v>
      </c>
      <c r="FE70" s="13">
        <f>IF('Données projet'!$A$218&gt;35,FE69+FD70-FM69,IF(A70&lt;'Données projet'!$A$218,$FB$205^A70,IF(A70='Données projet'!$A$218,'Données projet'!$B$218,FE69+FD70-FM69)))</f>
        <v>221.60000000000005</v>
      </c>
      <c r="FF70" s="18">
        <f>FE70*VLOOKUP('Données projet'!$B$16,Paramètres!$A$1:$I$89,3,0)*VLOOKUP('Données projet'!$B$16,Paramètres!$A$1:$I$89,5,0)</f>
        <v>238.53024000000005</v>
      </c>
      <c r="FG70" s="14">
        <f t="shared" si="101"/>
        <v>58.123191492478597</v>
      </c>
      <c r="FH70" s="22">
        <f t="shared" si="76"/>
        <v>516.6713931827336</v>
      </c>
      <c r="FI70" s="62">
        <f t="shared" si="77"/>
        <v>769.3769692745102</v>
      </c>
      <c r="FJ70" s="62">
        <f ca="1">AVERAGE(OFFSET($FI$3,0,0,'Données projet'!$E$16+1,1))-AVERAGE(OFFSET($H$3,0,0,'Données projet'!$E$16+1,1))</f>
        <v>492.72391755143508</v>
      </c>
      <c r="FK70" s="62">
        <f t="shared" si="102"/>
        <v>304.88554179994355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58.919702570484532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143.77000000000001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-5.6843418860808015E-14</v>
      </c>
      <c r="O71" s="14">
        <f>N71*VLOOKUP('Données projet'!$B$9,Paramètres!$A$1:$I$89,3,0)*VLOOKUP('Données projet'!$B$9,Paramètres!$A$1:$I$89,5,0)</f>
        <v>-5.1431925385259088E-14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388.8309693898596</v>
      </c>
      <c r="T71" s="62">
        <f t="shared" si="88"/>
        <v>549.06702041234382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4.9871448017978119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4.9871448017978119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>
        <f>AI71*VLOOKUP('Données projet'!$B$10,Paramètres!$A$1:$I$89,3,0)*VLOOKUP('Données projet'!$B$10,Paramètres!$A$1:$I$89,5,0)</f>
        <v>6.7984728957526396E-14</v>
      </c>
      <c r="AK71" s="14">
        <f t="shared" si="89"/>
        <v>1.0682447123141398E-12</v>
      </c>
      <c r="AL71" s="22">
        <f t="shared" si="58"/>
        <v>1.978932943548152E-12</v>
      </c>
      <c r="AM71" s="62">
        <f t="shared" si="59"/>
        <v>253.41037684986176</v>
      </c>
      <c r="AN71" s="62">
        <f ca="1">AVERAGE(OFFSET($AM$3,0,0,'Données projet'!$E$10+1,1))-AVERAGE(OFFSET($H$3,0,0,'Données projet'!$E$10+1,1))</f>
        <v>197.85998851681552</v>
      </c>
      <c r="AO71" s="62">
        <f t="shared" si="90"/>
        <v>474.54844785896239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25.122387367695975</v>
      </c>
      <c r="AV71" s="23">
        <f>EXP(-LN(2)/25)*AV70+(1-EXP(-LN(2)/25))/(LN(2)/25)*Calculateur!AQ71*Calculateur!AS71*VLOOKUP('Données projet'!$B$10,Paramètres!$A$1:$I$89,3,0)*0.475*44/12</f>
        <v>15.324332742583115</v>
      </c>
      <c r="AW71" s="23">
        <f>EXP(-LN(2)/2)*AW70+(1-EXP(-LN(2)/2))/(LN(2)/2)*AQ71*AT71*VLOOKUP('Données projet'!$B$10,Paramètres!$A$1:$I$89,3,0)*0.475*44/12</f>
        <v>8.3098191827599605E-5</v>
      </c>
      <c r="AX71" s="23">
        <f t="shared" si="60"/>
        <v>40.446803208470918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1.1368683772161603E-13</v>
      </c>
      <c r="BE71" s="14">
        <f>BD71*VLOOKUP('Données projet'!$B$11,Paramètres!$A$1:$I$89,3,0)*VLOOKUP('Données projet'!$B$11,Paramètres!$A$1:$I$89,5,0)</f>
        <v>6.7984728957526396E-14</v>
      </c>
      <c r="BF71" s="14">
        <f t="shared" si="91"/>
        <v>1.0682447123141398E-12</v>
      </c>
      <c r="BG71" s="22">
        <f t="shared" si="61"/>
        <v>1.978932943548152E-12</v>
      </c>
      <c r="BH71" s="62">
        <f t="shared" si="62"/>
        <v>253.41037684986176</v>
      </c>
      <c r="BI71" s="62">
        <f ca="1">AVERAGE(OFFSET($BH$3,0,0,'Données projet'!$E$11+1,1))-AVERAGE(OFFSET($H$3,0,0,'Données projet'!$E$11+1,1))</f>
        <v>197.85998851681552</v>
      </c>
      <c r="BJ71" s="62">
        <f t="shared" si="92"/>
        <v>474.54844785896239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25.122387367695975</v>
      </c>
      <c r="BQ71" s="23">
        <f>EXP(-LN(2)/25)*BQ70+(1-EXP(-LN(2)/25))/(LN(2)/25)*Calculateur!BL71*Calculateur!BN71*VLOOKUP('Données projet'!$B$11,Paramètres!$A$1:$I$89,3,0)*0.475*44/12</f>
        <v>15.324332742583115</v>
      </c>
      <c r="BR71" s="23">
        <f>EXP(-LN(2)/2)*BR70+(1-EXP(-LN(2)/2))/(LN(2)/2)*BL71*BO71*VLOOKUP('Données projet'!$B$11,Paramètres!$A$1:$I$89,3,0)*0.475*44/12</f>
        <v>8.3098191827599605E-5</v>
      </c>
      <c r="BS71" s="24">
        <f t="shared" si="63"/>
        <v>40.446803208470918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>
        <f>BY71*VLOOKUP('Données projet'!$B$12,Paramètres!$A$1:$I$89,3,0)*VLOOKUP('Données projet'!$B$12,Paramètres!$A$1:$I$89,5,0)</f>
        <v>0</v>
      </c>
      <c r="CA71" s="14" t="e">
        <f t="shared" si="93"/>
        <v>#NUM!</v>
      </c>
      <c r="CB71" s="22" t="e">
        <f t="shared" si="64"/>
        <v>#NUM!</v>
      </c>
      <c r="CC71" s="62" t="e">
        <f t="shared" si="65"/>
        <v>#NUM!</v>
      </c>
      <c r="CD71" s="62">
        <f ca="1">AVERAGE(OFFSET($CC$3,0,0,'Données projet'!$E$12+1,1))-AVERAGE(OFFSET($H$3,0,0,'Données projet'!$E$12+1,1))</f>
        <v>72.97248599808384</v>
      </c>
      <c r="CE71" s="62">
        <f t="shared" si="94"/>
        <v>346.88163654003574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27.383200599130795</v>
      </c>
      <c r="CL71" s="23">
        <f>EXP(-LN(2)/25)*CL70+(1-EXP(-LN(2)/25))/(LN(2)/25)*Calculateur!CG71*Calculateur!CI71*VLOOKUP('Données projet'!$B$12,Paramètres!$A$1:$I$89,3,0)*0.475*44/12</f>
        <v>4.5525358585401188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31.935736457670913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>
        <f>CT71*VLOOKUP('Données projet'!$B$13,Paramètres!$A$1:$I$89,3,0)*VLOOKUP('Données projet'!$B$13,Paramètres!$A$1:$I$89,5,0)</f>
        <v>0</v>
      </c>
      <c r="CV71" s="14" t="e">
        <f t="shared" si="95"/>
        <v>#NUM!</v>
      </c>
      <c r="CW71" s="22" t="e">
        <f t="shared" si="67"/>
        <v>#NUM!</v>
      </c>
      <c r="CX71" s="62" t="e">
        <f t="shared" si="68"/>
        <v>#NUM!</v>
      </c>
      <c r="CY71" s="62">
        <f ca="1">AVERAGE(OFFSET($CX$3,0,0,'Données projet'!$E$13+1,1))-AVERAGE(OFFSET($H$3,0,0,'Données projet'!$E$13+1,1))</f>
        <v>67.303283896086128</v>
      </c>
      <c r="CZ71" s="62">
        <f t="shared" si="96"/>
        <v>318.97925671653547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24.866081881104854</v>
      </c>
      <c r="DG71" s="23">
        <f>EXP(-LN(2)/25)*DG70+(1-EXP(-LN(2)/25))/(LN(2)/25)*Calculateur!DB71*Calculateur!DD71*VLOOKUP('Données projet'!$B$13,Paramètres!$A$1:$I$89,3,0)*0.475*44/12</f>
        <v>4.1340576319890729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29.000139513093927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>
        <f>DO71*VLOOKUP('Données projet'!$B$14,Paramètres!$A$1:$I$89,3,0)*VLOOKUP('Données projet'!$B$14,Paramètres!$A$1:$I$89,5,0)</f>
        <v>0</v>
      </c>
      <c r="DQ71" s="14" t="e">
        <f t="shared" si="97"/>
        <v>#NUM!</v>
      </c>
      <c r="DR71" s="22" t="e">
        <f t="shared" si="70"/>
        <v>#NUM!</v>
      </c>
      <c r="DS71" s="62" t="e">
        <f t="shared" si="71"/>
        <v>#NUM!</v>
      </c>
      <c r="DT71" s="62">
        <f ca="1">AVERAGE(OFFSET($DS$3,0,0,'Données projet'!$E$14+1,1))-AVERAGE(OFFSET($H$3,0,0,'Données projet'!$E$14+1,1))</f>
        <v>75.244137291704476</v>
      </c>
      <c r="DU71" s="62">
        <f t="shared" si="98"/>
        <v>366.065475656937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29.116753435236795</v>
      </c>
      <c r="EB71" s="23">
        <f>EXP(-LN(2)/25)*EB70+(1-EXP(-LN(2)/25))/(LN(2)/25)*Calculateur!DW71*Calculateur!DY71*VLOOKUP('Données projet'!$B$14,Paramètres!$A$1:$I$89,3,0)*0.475*44/12</f>
        <v>4.8407440035477221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33.957497438784515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6.8</v>
      </c>
      <c r="EJ71" s="13">
        <f>IF('Données projet'!$A$192&gt;35,EJ70+EI71-ER70,IF(A71&lt;'Données projet'!$A$192,$EG$205^A71,IF(A71='Données projet'!$A$192,'Données projet'!$B$192,EJ70+EI71-ER70)))</f>
        <v>228.40000000000006</v>
      </c>
      <c r="EK71" s="18">
        <f>EJ71*VLOOKUP('Données projet'!$B$15,Paramètres!$A$1:$I$89,3,0)*VLOOKUP('Données projet'!$B$15,Paramètres!$A$1:$I$89,5,0)</f>
        <v>220.90848000000005</v>
      </c>
      <c r="EL71" s="14">
        <f t="shared" si="99"/>
        <v>54.312291977864867</v>
      </c>
      <c r="EM71" s="22">
        <f t="shared" si="73"/>
        <v>479.34284452811465</v>
      </c>
      <c r="EN71" s="62">
        <f t="shared" si="74"/>
        <v>732.75322137797446</v>
      </c>
      <c r="EO71" s="62">
        <f ca="1">AVERAGE(OFFSET($EN$3,0,0,'Données projet'!$E$15+1,1))-AVERAGE(OFFSET($H$3,0,0,'Données projet'!$E$15+1,1))</f>
        <v>452.74627739105745</v>
      </c>
      <c r="EP71" s="62">
        <f t="shared" si="100"/>
        <v>281.80695725575106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6.8</v>
      </c>
      <c r="FE71" s="13">
        <f>IF('Données projet'!$A$218&gt;35,FE70+FD71-FM70,IF(A71&lt;'Données projet'!$A$218,$FB$205^A71,IF(A71='Données projet'!$A$218,'Données projet'!$B$218,FE70+FD71-FM70)))</f>
        <v>228.40000000000006</v>
      </c>
      <c r="FF71" s="18">
        <f>FE71*VLOOKUP('Données projet'!$B$16,Paramètres!$A$1:$I$89,3,0)*VLOOKUP('Données projet'!$B$16,Paramètres!$A$1:$I$89,5,0)</f>
        <v>245.84976000000006</v>
      </c>
      <c r="FG71" s="14">
        <f t="shared" si="101"/>
        <v>59.696365416984804</v>
      </c>
      <c r="FH71" s="22">
        <f t="shared" si="76"/>
        <v>532.15950176791534</v>
      </c>
      <c r="FI71" s="62">
        <f t="shared" si="77"/>
        <v>785.56987861777509</v>
      </c>
      <c r="FJ71" s="62">
        <f ca="1">AVERAGE(OFFSET($FI$3,0,0,'Données projet'!$E$16+1,1))-AVERAGE(OFFSET($H$3,0,0,'Données projet'!$E$16+1,1))</f>
        <v>492.72391755143508</v>
      </c>
      <c r="FK71" s="62">
        <f t="shared" si="102"/>
        <v>304.88554179994355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59.111920959052661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143.77000000000001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-5.6843418860808015E-14</v>
      </c>
      <c r="O72" s="14">
        <f>N72*VLOOKUP('Données projet'!$B$9,Paramètres!$A$1:$I$89,3,0)*VLOOKUP('Données projet'!$B$9,Paramètres!$A$1:$I$89,5,0)</f>
        <v>-5.1431925385259088E-14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388.8309693898596</v>
      </c>
      <c r="T72" s="62">
        <f t="shared" si="88"/>
        <v>549.06702041234382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4.8893499340925271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4.8893499340925271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>
        <f>AI72*VLOOKUP('Données projet'!$B$10,Paramètres!$A$1:$I$89,3,0)*VLOOKUP('Données projet'!$B$10,Paramètres!$A$1:$I$89,5,0)</f>
        <v>6.7984728957526396E-14</v>
      </c>
      <c r="AK72" s="14">
        <f t="shared" si="89"/>
        <v>1.0682447123141398E-12</v>
      </c>
      <c r="AL72" s="22">
        <f t="shared" si="58"/>
        <v>1.978932943548152E-12</v>
      </c>
      <c r="AM72" s="62">
        <f t="shared" si="59"/>
        <v>254.1029508904906</v>
      </c>
      <c r="AN72" s="62">
        <f ca="1">AVERAGE(OFFSET($AM$3,0,0,'Données projet'!$E$10+1,1))-AVERAGE(OFFSET($H$3,0,0,'Données projet'!$E$10+1,1))</f>
        <v>197.85998851681552</v>
      </c>
      <c r="AO72" s="62">
        <f t="shared" si="90"/>
        <v>474.54844785896239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24.629752674558716</v>
      </c>
      <c r="AV72" s="23">
        <f>EXP(-LN(2)/25)*AV71+(1-EXP(-LN(2)/25))/(LN(2)/25)*Calculateur!AQ72*Calculateur!AS72*VLOOKUP('Données projet'!$B$10,Paramètres!$A$1:$I$89,3,0)*0.475*44/12</f>
        <v>14.905288057865546</v>
      </c>
      <c r="AW72" s="23">
        <f>EXP(-LN(2)/2)*AW71+(1-EXP(-LN(2)/2))/(LN(2)/2)*AQ72*AT72*VLOOKUP('Données projet'!$B$10,Paramètres!$A$1:$I$89,3,0)*0.475*44/12</f>
        <v>5.8759294945636231E-5</v>
      </c>
      <c r="AX72" s="23">
        <f t="shared" si="60"/>
        <v>39.535099491719208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1.1368683772161603E-13</v>
      </c>
      <c r="BE72" s="14">
        <f>BD72*VLOOKUP('Données projet'!$B$11,Paramètres!$A$1:$I$89,3,0)*VLOOKUP('Données projet'!$B$11,Paramètres!$A$1:$I$89,5,0)</f>
        <v>6.7984728957526396E-14</v>
      </c>
      <c r="BF72" s="14">
        <f t="shared" si="91"/>
        <v>1.0682447123141398E-12</v>
      </c>
      <c r="BG72" s="22">
        <f t="shared" si="61"/>
        <v>1.978932943548152E-12</v>
      </c>
      <c r="BH72" s="62">
        <f t="shared" si="62"/>
        <v>254.1029508904906</v>
      </c>
      <c r="BI72" s="62">
        <f ca="1">AVERAGE(OFFSET($BH$3,0,0,'Données projet'!$E$11+1,1))-AVERAGE(OFFSET($H$3,0,0,'Données projet'!$E$11+1,1))</f>
        <v>197.85998851681552</v>
      </c>
      <c r="BJ72" s="62">
        <f t="shared" si="92"/>
        <v>474.54844785896239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24.629752674558716</v>
      </c>
      <c r="BQ72" s="23">
        <f>EXP(-LN(2)/25)*BQ71+(1-EXP(-LN(2)/25))/(LN(2)/25)*Calculateur!BL72*Calculateur!BN72*VLOOKUP('Données projet'!$B$11,Paramètres!$A$1:$I$89,3,0)*0.475*44/12</f>
        <v>14.905288057865546</v>
      </c>
      <c r="BR72" s="23">
        <f>EXP(-LN(2)/2)*BR71+(1-EXP(-LN(2)/2))/(LN(2)/2)*BL72*BO72*VLOOKUP('Données projet'!$B$11,Paramètres!$A$1:$I$89,3,0)*0.475*44/12</f>
        <v>5.8759294945636231E-5</v>
      </c>
      <c r="BS72" s="24">
        <f t="shared" si="63"/>
        <v>39.535099491719208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>
        <f>BY72*VLOOKUP('Données projet'!$B$12,Paramètres!$A$1:$I$89,3,0)*VLOOKUP('Données projet'!$B$12,Paramètres!$A$1:$I$89,5,0)</f>
        <v>0</v>
      </c>
      <c r="CA72" s="14" t="e">
        <f t="shared" si="93"/>
        <v>#NUM!</v>
      </c>
      <c r="CB72" s="22" t="e">
        <f t="shared" si="64"/>
        <v>#NUM!</v>
      </c>
      <c r="CC72" s="62" t="e">
        <f t="shared" si="65"/>
        <v>#NUM!</v>
      </c>
      <c r="CD72" s="62">
        <f ca="1">AVERAGE(OFFSET($CC$3,0,0,'Données projet'!$E$12+1,1))-AVERAGE(OFFSET($H$3,0,0,'Données projet'!$E$12+1,1))</f>
        <v>72.97248599808384</v>
      </c>
      <c r="CE72" s="62">
        <f t="shared" si="94"/>
        <v>346.88163654003574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26.84623273748501</v>
      </c>
      <c r="CL72" s="23">
        <f>EXP(-LN(2)/25)*CL71+(1-EXP(-LN(2)/25))/(LN(2)/25)*Calculateur!CG72*Calculateur!CI72*VLOOKUP('Données projet'!$B$12,Paramètres!$A$1:$I$89,3,0)*0.475*44/12</f>
        <v>4.428046526080883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31.274279263565894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>
        <f>CT72*VLOOKUP('Données projet'!$B$13,Paramètres!$A$1:$I$89,3,0)*VLOOKUP('Données projet'!$B$13,Paramètres!$A$1:$I$89,5,0)</f>
        <v>0</v>
      </c>
      <c r="CV72" s="14" t="e">
        <f t="shared" si="95"/>
        <v>#NUM!</v>
      </c>
      <c r="CW72" s="22" t="e">
        <f t="shared" si="67"/>
        <v>#NUM!</v>
      </c>
      <c r="CX72" s="62" t="e">
        <f t="shared" si="68"/>
        <v>#NUM!</v>
      </c>
      <c r="CY72" s="62">
        <f ca="1">AVERAGE(OFFSET($CX$3,0,0,'Données projet'!$E$13+1,1))-AVERAGE(OFFSET($H$3,0,0,'Données projet'!$E$13+1,1))</f>
        <v>67.303283896086128</v>
      </c>
      <c r="CZ72" s="62">
        <f t="shared" si="96"/>
        <v>318.97925671653547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24.378473182228738</v>
      </c>
      <c r="DG72" s="23">
        <f>EXP(-LN(2)/25)*DG71+(1-EXP(-LN(2)/25))/(LN(2)/25)*Calculateur!DB72*Calculateur!DD72*VLOOKUP('Données projet'!$B$13,Paramètres!$A$1:$I$89,3,0)*0.475*44/12</f>
        <v>4.0210116086416896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28.399484790870428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>
        <f>DO72*VLOOKUP('Données projet'!$B$14,Paramètres!$A$1:$I$89,3,0)*VLOOKUP('Données projet'!$B$14,Paramètres!$A$1:$I$89,5,0)</f>
        <v>0</v>
      </c>
      <c r="DQ72" s="14" t="e">
        <f t="shared" si="97"/>
        <v>#NUM!</v>
      </c>
      <c r="DR72" s="22" t="e">
        <f t="shared" si="70"/>
        <v>#NUM!</v>
      </c>
      <c r="DS72" s="62" t="e">
        <f t="shared" si="71"/>
        <v>#NUM!</v>
      </c>
      <c r="DT72" s="62">
        <f ca="1">AVERAGE(OFFSET($DS$3,0,0,'Données projet'!$E$14+1,1))-AVERAGE(OFFSET($H$3,0,0,'Données projet'!$E$14+1,1))</f>
        <v>75.244137291704476</v>
      </c>
      <c r="DU72" s="62">
        <f t="shared" si="98"/>
        <v>366.065475656937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28.545791659837796</v>
      </c>
      <c r="EB72" s="23">
        <f>EXP(-LN(2)/25)*EB71+(1-EXP(-LN(2)/25))/(LN(2)/25)*Calculateur!DW72*Calculateur!DY72*VLOOKUP('Données projet'!$B$14,Paramètres!$A$1:$I$89,3,0)*0.475*44/12</f>
        <v>4.7083736042070461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33.254165264044843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6.8</v>
      </c>
      <c r="EJ72" s="13">
        <f>IF('Données projet'!$A$192&gt;35,EJ71+EI72-ER71,IF(A72&lt;'Données projet'!$A$192,$EG$205^A72,IF(A72='Données projet'!$A$192,'Données projet'!$B$192,EJ71+EI72-ER71)))</f>
        <v>235.20000000000007</v>
      </c>
      <c r="EK72" s="18">
        <f>EJ72*VLOOKUP('Données projet'!$B$15,Paramètres!$A$1:$I$89,3,0)*VLOOKUP('Données projet'!$B$15,Paramètres!$A$1:$I$89,5,0)</f>
        <v>227.48544000000007</v>
      </c>
      <c r="EL72" s="14">
        <f t="shared" si="99"/>
        <v>55.738627496252377</v>
      </c>
      <c r="EM72" s="22">
        <f t="shared" si="73"/>
        <v>493.281917555973</v>
      </c>
      <c r="EN72" s="62">
        <f t="shared" si="74"/>
        <v>747.38486844646161</v>
      </c>
      <c r="EO72" s="62">
        <f ca="1">AVERAGE(OFFSET($EN$3,0,0,'Données projet'!$E$15+1,1))-AVERAGE(OFFSET($H$3,0,0,'Données projet'!$E$15+1,1))</f>
        <v>452.74627739105745</v>
      </c>
      <c r="EP72" s="62">
        <f t="shared" si="100"/>
        <v>281.80695725575106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6.8</v>
      </c>
      <c r="FE72" s="13">
        <f>IF('Données projet'!$A$218&gt;35,FE71+FD72-FM71,IF(A72&lt;'Données projet'!$A$218,$FB$205^A72,IF(A72='Données projet'!$A$218,'Données projet'!$B$218,FE71+FD72-FM71)))</f>
        <v>235.20000000000007</v>
      </c>
      <c r="FF72" s="18">
        <f>FE72*VLOOKUP('Données projet'!$B$16,Paramètres!$A$1:$I$89,3,0)*VLOOKUP('Données projet'!$B$16,Paramètres!$A$1:$I$89,5,0)</f>
        <v>253.16928000000007</v>
      </c>
      <c r="FG72" s="14">
        <f t="shared" si="101"/>
        <v>61.264096094739848</v>
      </c>
      <c r="FH72" s="22">
        <f t="shared" si="76"/>
        <v>547.63813003167195</v>
      </c>
      <c r="FI72" s="62">
        <f t="shared" si="77"/>
        <v>801.74108092216056</v>
      </c>
      <c r="FJ72" s="62">
        <f ca="1">AVERAGE(OFFSET($FI$3,0,0,'Données projet'!$E$16+1,1))-AVERAGE(OFFSET($H$3,0,0,'Données projet'!$E$16+1,1))</f>
        <v>492.72391755143508</v>
      </c>
      <c r="FK72" s="62">
        <f t="shared" si="102"/>
        <v>304.88554179994355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59.300804788315077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143.77000000000001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-5.6843418860808015E-14</v>
      </c>
      <c r="O73" s="14">
        <f>N73*VLOOKUP('Données projet'!$B$9,Paramètres!$A$1:$I$89,3,0)*VLOOKUP('Données projet'!$B$9,Paramètres!$A$1:$I$89,5,0)</f>
        <v>-5.1431925385259088E-14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388.8309693898596</v>
      </c>
      <c r="T73" s="62">
        <f t="shared" si="88"/>
        <v>549.06702041234382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4.7934727640939636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4.7934727640939636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>
        <f>AI73*VLOOKUP('Données projet'!$B$10,Paramètres!$A$1:$I$89,3,0)*VLOOKUP('Données projet'!$B$10,Paramètres!$A$1:$I$89,5,0)</f>
        <v>6.7984728957526396E-14</v>
      </c>
      <c r="AK73" s="14">
        <f t="shared" si="89"/>
        <v>1.0682447123141398E-12</v>
      </c>
      <c r="AL73" s="22">
        <f t="shared" si="58"/>
        <v>1.978932943548152E-12</v>
      </c>
      <c r="AM73" s="62">
        <f t="shared" si="59"/>
        <v>254.78351031987816</v>
      </c>
      <c r="AN73" s="62">
        <f ca="1">AVERAGE(OFFSET($AM$3,0,0,'Données projet'!$E$10+1,1))-AVERAGE(OFFSET($H$3,0,0,'Données projet'!$E$10+1,1))</f>
        <v>197.85998851681552</v>
      </c>
      <c r="AO73" s="62">
        <f t="shared" si="90"/>
        <v>474.54844785896239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24.146778247276387</v>
      </c>
      <c r="AV73" s="23">
        <f>EXP(-LN(2)/25)*AV72+(1-EXP(-LN(2)/25))/(LN(2)/25)*Calculateur!AQ73*Calculateur!AS73*VLOOKUP('Données projet'!$B$10,Paramètres!$A$1:$I$89,3,0)*0.475*44/12</f>
        <v>14.49770217208818</v>
      </c>
      <c r="AW73" s="23">
        <f>EXP(-LN(2)/2)*AW72+(1-EXP(-LN(2)/2))/(LN(2)/2)*AQ73*AT73*VLOOKUP('Données projet'!$B$10,Paramètres!$A$1:$I$89,3,0)*0.475*44/12</f>
        <v>4.1549095913799809E-5</v>
      </c>
      <c r="AX73" s="23">
        <f t="shared" si="60"/>
        <v>38.644521968460481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1.1368683772161603E-13</v>
      </c>
      <c r="BE73" s="14">
        <f>BD73*VLOOKUP('Données projet'!$B$11,Paramètres!$A$1:$I$89,3,0)*VLOOKUP('Données projet'!$B$11,Paramètres!$A$1:$I$89,5,0)</f>
        <v>6.7984728957526396E-14</v>
      </c>
      <c r="BF73" s="14">
        <f t="shared" si="91"/>
        <v>1.0682447123141398E-12</v>
      </c>
      <c r="BG73" s="22">
        <f t="shared" si="61"/>
        <v>1.978932943548152E-12</v>
      </c>
      <c r="BH73" s="62">
        <f t="shared" si="62"/>
        <v>254.78351031987816</v>
      </c>
      <c r="BI73" s="62">
        <f ca="1">AVERAGE(OFFSET($BH$3,0,0,'Données projet'!$E$11+1,1))-AVERAGE(OFFSET($H$3,0,0,'Données projet'!$E$11+1,1))</f>
        <v>197.85998851681552</v>
      </c>
      <c r="BJ73" s="62">
        <f t="shared" si="92"/>
        <v>474.54844785896239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24.146778247276387</v>
      </c>
      <c r="BQ73" s="23">
        <f>EXP(-LN(2)/25)*BQ72+(1-EXP(-LN(2)/25))/(LN(2)/25)*Calculateur!BL73*Calculateur!BN73*VLOOKUP('Données projet'!$B$11,Paramètres!$A$1:$I$89,3,0)*0.475*44/12</f>
        <v>14.49770217208818</v>
      </c>
      <c r="BR73" s="23">
        <f>EXP(-LN(2)/2)*BR72+(1-EXP(-LN(2)/2))/(LN(2)/2)*BL73*BO73*VLOOKUP('Données projet'!$B$11,Paramètres!$A$1:$I$89,3,0)*0.475*44/12</f>
        <v>4.1549095913799809E-5</v>
      </c>
      <c r="BS73" s="24">
        <f t="shared" si="63"/>
        <v>38.644521968460481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>
        <f>BY73*VLOOKUP('Données projet'!$B$12,Paramètres!$A$1:$I$89,3,0)*VLOOKUP('Données projet'!$B$12,Paramètres!$A$1:$I$89,5,0)</f>
        <v>0</v>
      </c>
      <c r="CA73" s="14" t="e">
        <f t="shared" si="93"/>
        <v>#NUM!</v>
      </c>
      <c r="CB73" s="22" t="e">
        <f t="shared" si="64"/>
        <v>#NUM!</v>
      </c>
      <c r="CC73" s="62" t="e">
        <f t="shared" si="65"/>
        <v>#NUM!</v>
      </c>
      <c r="CD73" s="62">
        <f ca="1">AVERAGE(OFFSET($CC$3,0,0,'Données projet'!$E$12+1,1))-AVERAGE(OFFSET($H$3,0,0,'Données projet'!$E$12+1,1))</f>
        <v>72.97248599808384</v>
      </c>
      <c r="CE73" s="62">
        <f t="shared" si="94"/>
        <v>346.88163654003574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26.319794488088043</v>
      </c>
      <c r="CL73" s="23">
        <f>EXP(-LN(2)/25)*CL72+(1-EXP(-LN(2)/25))/(LN(2)/25)*Calculateur!CG73*Calculateur!CI73*VLOOKUP('Données projet'!$B$12,Paramètres!$A$1:$I$89,3,0)*0.475*44/12</f>
        <v>4.3069613609643547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30.626755849052397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>
        <f>CT73*VLOOKUP('Données projet'!$B$13,Paramètres!$A$1:$I$89,3,0)*VLOOKUP('Données projet'!$B$13,Paramètres!$A$1:$I$89,5,0)</f>
        <v>0</v>
      </c>
      <c r="CV73" s="14" t="e">
        <f t="shared" si="95"/>
        <v>#NUM!</v>
      </c>
      <c r="CW73" s="22" t="e">
        <f t="shared" si="67"/>
        <v>#NUM!</v>
      </c>
      <c r="CX73" s="62" t="e">
        <f t="shared" si="68"/>
        <v>#NUM!</v>
      </c>
      <c r="CY73" s="62">
        <f ca="1">AVERAGE(OFFSET($CX$3,0,0,'Données projet'!$E$13+1,1))-AVERAGE(OFFSET($H$3,0,0,'Données projet'!$E$13+1,1))</f>
        <v>67.303283896086128</v>
      </c>
      <c r="CZ73" s="62">
        <f t="shared" si="96"/>
        <v>318.97925671653547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23.900426192525643</v>
      </c>
      <c r="DG73" s="23">
        <f>EXP(-LN(2)/25)*DG72+(1-EXP(-LN(2)/25))/(LN(2)/25)*Calculateur!DB73*Calculateur!DD73*VLOOKUP('Données projet'!$B$13,Paramètres!$A$1:$I$89,3,0)*0.475*44/12</f>
        <v>3.9110568347475723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27.811483027273216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>
        <f>DO73*VLOOKUP('Données projet'!$B$14,Paramètres!$A$1:$I$89,3,0)*VLOOKUP('Données projet'!$B$14,Paramètres!$A$1:$I$89,5,0)</f>
        <v>0</v>
      </c>
      <c r="DQ73" s="14" t="e">
        <f t="shared" si="97"/>
        <v>#NUM!</v>
      </c>
      <c r="DR73" s="22" t="e">
        <f t="shared" si="70"/>
        <v>#NUM!</v>
      </c>
      <c r="DS73" s="62" t="e">
        <f t="shared" si="71"/>
        <v>#NUM!</v>
      </c>
      <c r="DT73" s="62">
        <f ca="1">AVERAGE(OFFSET($DS$3,0,0,'Données projet'!$E$14+1,1))-AVERAGE(OFFSET($H$3,0,0,'Données projet'!$E$14+1,1))</f>
        <v>75.244137291704476</v>
      </c>
      <c r="DU73" s="62">
        <f t="shared" si="98"/>
        <v>366.065475656937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27.986026096602075</v>
      </c>
      <c r="EB73" s="23">
        <f>EXP(-LN(2)/25)*EB72+(1-EXP(-LN(2)/25))/(LN(2)/25)*Calculateur!DW73*Calculateur!DY73*VLOOKUP('Données projet'!$B$14,Paramètres!$A$1:$I$89,3,0)*0.475*44/12</f>
        <v>4.5796228803973973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32.565648976999469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242</v>
      </c>
      <c r="EH73" s="13">
        <f>VLOOKUP(A73,'Données projet'!$A$191:$I$211,9,0)</f>
        <v>6.8</v>
      </c>
      <c r="EI73" s="13">
        <f t="array" ref="EI73">INDEX(EH:EH,MIN(IF(ISNUMBER(EH73:EH269),ROW(EH73:EH269),"")))</f>
        <v>6.8</v>
      </c>
      <c r="EJ73" s="13">
        <f>IF('Données projet'!$A$192&gt;35,EJ72+EI73-ER72,IF(A73&lt;'Données projet'!$A$192,$EG$205^A73,IF(A73='Données projet'!$A$192,'Données projet'!$B$192,EJ72+EI73-ER72)))</f>
        <v>242.00000000000009</v>
      </c>
      <c r="EK73" s="18">
        <f>EJ73*VLOOKUP('Données projet'!$B$15,Paramètres!$A$1:$I$89,3,0)*VLOOKUP('Données projet'!$B$15,Paramètres!$A$1:$I$89,5,0)</f>
        <v>234.06240000000008</v>
      </c>
      <c r="EL73" s="14">
        <f t="shared" si="99"/>
        <v>57.160170321263926</v>
      </c>
      <c r="EM73" s="22">
        <f t="shared" si="73"/>
        <v>507.21264330953483</v>
      </c>
      <c r="EN73" s="62">
        <f t="shared" si="74"/>
        <v>761.99615362941097</v>
      </c>
      <c r="EO73" s="62">
        <f ca="1">AVERAGE(OFFSET($EN$3,0,0,'Données projet'!$E$15+1,1))-AVERAGE(OFFSET($H$3,0,0,'Données projet'!$E$15+1,1))</f>
        <v>452.74627739105745</v>
      </c>
      <c r="EP73" s="62">
        <f t="shared" si="100"/>
        <v>281.80695725575106</v>
      </c>
      <c r="EQ73" s="16">
        <f>IF(ISNA(VLOOKUP(A73,'Données projet'!$A$191:$I$211,3,0)),0,VLOOKUP(A73,'Données projet'!$A$191:$I$211,3,0))</f>
        <v>10</v>
      </c>
      <c r="ER73" s="16">
        <f>IF(ISNA(VLOOKUP(A73,'Données projet'!$A$191:$I$211,4,0)),0,VLOOKUP(A73,'Données projet'!$A$191:$I$211,4,0))</f>
        <v>21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projet'!$A$217:$I$237,2,0)</f>
        <v>242</v>
      </c>
      <c r="FC73" s="13">
        <f>VLOOKUP(A73,'Données projet'!$A$217:$I$237,9,0)</f>
        <v>6.8</v>
      </c>
      <c r="FD73" s="13">
        <f t="array" ref="FD73">INDEX(FC:FC,MIN(IF(ISNUMBER(FC73:FC269),ROW(FC73:FC269),"")))</f>
        <v>6.8</v>
      </c>
      <c r="FE73" s="13">
        <f>IF('Données projet'!$A$218&gt;35,FE72+FD73-FM72,IF(A73&lt;'Données projet'!$A$218,$FB$205^A73,IF(A73='Données projet'!$A$218,'Données projet'!$B$218,FE72+FD73-FM72)))</f>
        <v>242.00000000000009</v>
      </c>
      <c r="FF73" s="18">
        <f>FE73*VLOOKUP('Données projet'!$B$16,Paramètres!$A$1:$I$89,3,0)*VLOOKUP('Données projet'!$B$16,Paramètres!$A$1:$I$89,5,0)</f>
        <v>260.48880000000008</v>
      </c>
      <c r="FG73" s="14">
        <f t="shared" si="101"/>
        <v>62.826558970958821</v>
      </c>
      <c r="FH73" s="22">
        <f t="shared" si="76"/>
        <v>563.10758354108668</v>
      </c>
      <c r="FI73" s="62">
        <f t="shared" si="77"/>
        <v>817.89109386096288</v>
      </c>
      <c r="FJ73" s="62">
        <f ca="1">AVERAGE(OFFSET($FI$3,0,0,'Données projet'!$E$16+1,1))-AVERAGE(OFFSET($H$3,0,0,'Données projet'!$E$16+1,1))</f>
        <v>492.72391755143508</v>
      </c>
      <c r="FK73" s="62">
        <f t="shared" si="102"/>
        <v>304.88554179994355</v>
      </c>
      <c r="FL73" s="16">
        <f>IF(ISNA(VLOOKUP(A73,'Données projet'!$A$217:$I$237,3,0)),0,VLOOKUP(A73,'Données projet'!$A$217:$I$237,3,0))</f>
        <v>10</v>
      </c>
      <c r="FM73" s="16">
        <f>IF(ISNA(VLOOKUP(A73,'Données projet'!$A$217:$I$237,4,0)),0,VLOOKUP(A73,'Données projet'!$A$217:$I$237,4,0))</f>
        <v>21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59.486411905420759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143.77000000000001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-5.6843418860808015E-14</v>
      </c>
      <c r="O74" s="14">
        <f>N74*VLOOKUP('Données projet'!$B$9,Paramètres!$A$1:$I$89,3,0)*VLOOKUP('Données projet'!$B$9,Paramètres!$A$1:$I$89,5,0)</f>
        <v>-5.1431925385259088E-14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388.8309693898596</v>
      </c>
      <c r="T74" s="62">
        <f t="shared" si="88"/>
        <v>549.06702041234382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4.6994756869197731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4.6994756869197731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>
        <f>AI74*VLOOKUP('Données projet'!$B$10,Paramètres!$A$1:$I$89,3,0)*VLOOKUP('Données projet'!$B$10,Paramètres!$A$1:$I$89,5,0)</f>
        <v>6.7984728957526396E-14</v>
      </c>
      <c r="AK74" s="14">
        <f t="shared" si="89"/>
        <v>1.0682447123141398E-12</v>
      </c>
      <c r="AL74" s="22">
        <f t="shared" si="58"/>
        <v>1.978932943548152E-12</v>
      </c>
      <c r="AM74" s="62">
        <f t="shared" si="59"/>
        <v>255.4522635646687</v>
      </c>
      <c r="AN74" s="62">
        <f ca="1">AVERAGE(OFFSET($AM$3,0,0,'Données projet'!$E$10+1,1))-AVERAGE(OFFSET($H$3,0,0,'Données projet'!$E$10+1,1))</f>
        <v>197.85998851681552</v>
      </c>
      <c r="AO74" s="62">
        <f t="shared" si="90"/>
        <v>474.54844785896239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23.673274653927752</v>
      </c>
      <c r="AV74" s="23">
        <f>EXP(-LN(2)/25)*AV73+(1-EXP(-LN(2)/25))/(LN(2)/25)*Calculateur!AQ74*Calculateur!AS74*VLOOKUP('Données projet'!$B$10,Paramètres!$A$1:$I$89,3,0)*0.475*44/12</f>
        <v>14.101261743791406</v>
      </c>
      <c r="AW74" s="23">
        <f>EXP(-LN(2)/2)*AW73+(1-EXP(-LN(2)/2))/(LN(2)/2)*AQ74*AT74*VLOOKUP('Données projet'!$B$10,Paramètres!$A$1:$I$89,3,0)*0.475*44/12</f>
        <v>2.9379647472818119E-5</v>
      </c>
      <c r="AX74" s="23">
        <f t="shared" si="60"/>
        <v>37.774565777366632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1.1368683772161603E-13</v>
      </c>
      <c r="BE74" s="14">
        <f>BD74*VLOOKUP('Données projet'!$B$11,Paramètres!$A$1:$I$89,3,0)*VLOOKUP('Données projet'!$B$11,Paramètres!$A$1:$I$89,5,0)</f>
        <v>6.7984728957526396E-14</v>
      </c>
      <c r="BF74" s="14">
        <f t="shared" si="91"/>
        <v>1.0682447123141398E-12</v>
      </c>
      <c r="BG74" s="22">
        <f t="shared" si="61"/>
        <v>1.978932943548152E-12</v>
      </c>
      <c r="BH74" s="62">
        <f t="shared" si="62"/>
        <v>255.4522635646687</v>
      </c>
      <c r="BI74" s="62">
        <f ca="1">AVERAGE(OFFSET($BH$3,0,0,'Données projet'!$E$11+1,1))-AVERAGE(OFFSET($H$3,0,0,'Données projet'!$E$11+1,1))</f>
        <v>197.85998851681552</v>
      </c>
      <c r="BJ74" s="62">
        <f t="shared" si="92"/>
        <v>474.54844785896239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23.673274653927752</v>
      </c>
      <c r="BQ74" s="23">
        <f>EXP(-LN(2)/25)*BQ73+(1-EXP(-LN(2)/25))/(LN(2)/25)*Calculateur!BL74*Calculateur!BN74*VLOOKUP('Données projet'!$B$11,Paramètres!$A$1:$I$89,3,0)*0.475*44/12</f>
        <v>14.101261743791406</v>
      </c>
      <c r="BR74" s="23">
        <f>EXP(-LN(2)/2)*BR73+(1-EXP(-LN(2)/2))/(LN(2)/2)*BL74*BO74*VLOOKUP('Données projet'!$B$11,Paramètres!$A$1:$I$89,3,0)*0.475*44/12</f>
        <v>2.9379647472818119E-5</v>
      </c>
      <c r="BS74" s="24">
        <f t="shared" si="63"/>
        <v>37.774565777366632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>
        <f>BY74*VLOOKUP('Données projet'!$B$12,Paramètres!$A$1:$I$89,3,0)*VLOOKUP('Données projet'!$B$12,Paramètres!$A$1:$I$89,5,0)</f>
        <v>0</v>
      </c>
      <c r="CA74" s="14" t="e">
        <f t="shared" si="93"/>
        <v>#NUM!</v>
      </c>
      <c r="CB74" s="22" t="e">
        <f t="shared" si="64"/>
        <v>#NUM!</v>
      </c>
      <c r="CC74" s="62" t="e">
        <f t="shared" si="65"/>
        <v>#NUM!</v>
      </c>
      <c r="CD74" s="62">
        <f ca="1">AVERAGE(OFFSET($CC$3,0,0,'Données projet'!$E$12+1,1))-AVERAGE(OFFSET($H$3,0,0,'Données projet'!$E$12+1,1))</f>
        <v>72.97248599808384</v>
      </c>
      <c r="CE74" s="62">
        <f t="shared" si="94"/>
        <v>346.88163654003574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25.803679371666124</v>
      </c>
      <c r="CL74" s="23">
        <f>EXP(-LN(2)/25)*CL73+(1-EXP(-LN(2)/25))/(LN(2)/25)*Calculateur!CG74*Calculateur!CI74*VLOOKUP('Données projet'!$B$12,Paramètres!$A$1:$I$89,3,0)*0.475*44/12</f>
        <v>4.18918727605553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29.992866647721655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>
        <f>CT74*VLOOKUP('Données projet'!$B$13,Paramètres!$A$1:$I$89,3,0)*VLOOKUP('Données projet'!$B$13,Paramètres!$A$1:$I$89,5,0)</f>
        <v>0</v>
      </c>
      <c r="CV74" s="14" t="e">
        <f t="shared" si="95"/>
        <v>#NUM!</v>
      </c>
      <c r="CW74" s="22" t="e">
        <f t="shared" si="67"/>
        <v>#NUM!</v>
      </c>
      <c r="CX74" s="62" t="e">
        <f t="shared" si="68"/>
        <v>#NUM!</v>
      </c>
      <c r="CY74" s="62">
        <f ca="1">AVERAGE(OFFSET($CX$3,0,0,'Données projet'!$E$13+1,1))-AVERAGE(OFFSET($H$3,0,0,'Données projet'!$E$13+1,1))</f>
        <v>67.303283896086128</v>
      </c>
      <c r="CZ74" s="62">
        <f t="shared" si="96"/>
        <v>318.97925671653547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23.431753412710751</v>
      </c>
      <c r="DG74" s="23">
        <f>EXP(-LN(2)/25)*DG73+(1-EXP(-LN(2)/25))/(LN(2)/25)*Calculateur!DB74*Calculateur!DD74*VLOOKUP('Données projet'!$B$13,Paramètres!$A$1:$I$89,3,0)*0.475*44/12</f>
        <v>3.8041087799278599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27.23586219263861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>
        <f>DO74*VLOOKUP('Données projet'!$B$14,Paramètres!$A$1:$I$89,3,0)*VLOOKUP('Données projet'!$B$14,Paramètres!$A$1:$I$89,5,0)</f>
        <v>0</v>
      </c>
      <c r="DQ74" s="14" t="e">
        <f t="shared" si="97"/>
        <v>#NUM!</v>
      </c>
      <c r="DR74" s="22" t="e">
        <f t="shared" si="70"/>
        <v>#NUM!</v>
      </c>
      <c r="DS74" s="62" t="e">
        <f t="shared" si="71"/>
        <v>#NUM!</v>
      </c>
      <c r="DT74" s="62">
        <f ca="1">AVERAGE(OFFSET($DS$3,0,0,'Données projet'!$E$14+1,1))-AVERAGE(OFFSET($H$3,0,0,'Données projet'!$E$14+1,1))</f>
        <v>75.244137291704476</v>
      </c>
      <c r="DU74" s="62">
        <f t="shared" si="98"/>
        <v>366.065475656937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27.437237194638126</v>
      </c>
      <c r="EB74" s="23">
        <f>EXP(-LN(2)/25)*EB73+(1-EXP(-LN(2)/25))/(LN(2)/25)*Calculateur!DW74*Calculateur!DY74*VLOOKUP('Données projet'!$B$14,Paramètres!$A$1:$I$89,3,0)*0.475*44/12</f>
        <v>4.4543928519010301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31.891630046539156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6.4</v>
      </c>
      <c r="EJ74" s="13">
        <f>IF('Données projet'!$A$192&gt;35,EJ73+EI74-ER73,IF(A74&lt;'Données projet'!$A$192,$EG$205^A74,IF(A74='Données projet'!$A$192,'Données projet'!$B$192,EJ73+EI74-ER73)))</f>
        <v>227.40000000000009</v>
      </c>
      <c r="EK74" s="18">
        <f>EJ74*VLOOKUP('Données projet'!$B$15,Paramètres!$A$1:$I$89,3,0)*VLOOKUP('Données projet'!$B$15,Paramètres!$A$1:$I$89,5,0)</f>
        <v>219.94128000000009</v>
      </c>
      <c r="EL74" s="14">
        <f t="shared" si="99"/>
        <v>54.102123020446335</v>
      </c>
      <c r="EM74" s="22">
        <f t="shared" si="73"/>
        <v>477.29226026061082</v>
      </c>
      <c r="EN74" s="62">
        <f t="shared" si="74"/>
        <v>732.7445238252775</v>
      </c>
      <c r="EO74" s="62">
        <f ca="1">AVERAGE(OFFSET($EN$3,0,0,'Données projet'!$E$15+1,1))-AVERAGE(OFFSET($H$3,0,0,'Données projet'!$E$15+1,1))</f>
        <v>452.74627739105745</v>
      </c>
      <c r="EP74" s="62">
        <f t="shared" si="100"/>
        <v>281.80695725575106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6.4</v>
      </c>
      <c r="FE74" s="13">
        <f>IF('Données projet'!$A$218&gt;35,FE73+FD74-FM73,IF(A74&lt;'Données projet'!$A$218,$FB$205^A74,IF(A74='Données projet'!$A$218,'Données projet'!$B$218,FE73+FD74-FM73)))</f>
        <v>227.40000000000009</v>
      </c>
      <c r="FF74" s="18">
        <f>FE74*VLOOKUP('Données projet'!$B$16,Paramètres!$A$1:$I$89,3,0)*VLOOKUP('Données projet'!$B$16,Paramètres!$A$1:$I$89,5,0)</f>
        <v>244.77336000000011</v>
      </c>
      <c r="FG74" s="14">
        <f t="shared" si="101"/>
        <v>59.465362039582246</v>
      </c>
      <c r="FH74" s="22">
        <f t="shared" si="76"/>
        <v>529.88244088560589</v>
      </c>
      <c r="FI74" s="62">
        <f t="shared" si="77"/>
        <v>785.33470445027262</v>
      </c>
      <c r="FJ74" s="62">
        <f ca="1">AVERAGE(OFFSET($FI$3,0,0,'Données projet'!$E$16+1,1))-AVERAGE(OFFSET($H$3,0,0,'Données projet'!$E$16+1,1))</f>
        <v>492.72391755143508</v>
      </c>
      <c r="FK74" s="62">
        <f t="shared" si="102"/>
        <v>304.88554179994355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59.668799154000013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143.77000000000001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-5.6843418860808015E-14</v>
      </c>
      <c r="O75" s="14">
        <f>N75*VLOOKUP('Données projet'!$B$9,Paramètres!$A$1:$I$89,3,0)*VLOOKUP('Données projet'!$B$9,Paramètres!$A$1:$I$89,5,0)</f>
        <v>-5.1431925385259088E-14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388.8309693898596</v>
      </c>
      <c r="T75" s="62">
        <f t="shared" si="88"/>
        <v>549.06702041234382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4.6073218350964122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4.6073218350964122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>
        <f>AI75*VLOOKUP('Données projet'!$B$10,Paramètres!$A$1:$I$89,3,0)*VLOOKUP('Données projet'!$B$10,Paramètres!$A$1:$I$89,5,0)</f>
        <v>6.7984728957526396E-14</v>
      </c>
      <c r="AK75" s="14">
        <f t="shared" si="89"/>
        <v>1.0682447123141398E-12</v>
      </c>
      <c r="AL75" s="22">
        <f t="shared" si="58"/>
        <v>1.978932943548152E-12</v>
      </c>
      <c r="AM75" s="62">
        <f t="shared" si="59"/>
        <v>256.10941543577047</v>
      </c>
      <c r="AN75" s="62">
        <f ca="1">AVERAGE(OFFSET($AM$3,0,0,'Données projet'!$E$10+1,1))-AVERAGE(OFFSET($H$3,0,0,'Données projet'!$E$10+1,1))</f>
        <v>197.85998851681552</v>
      </c>
      <c r="AO75" s="62">
        <f t="shared" si="90"/>
        <v>474.54844785896239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23.209056177236008</v>
      </c>
      <c r="AV75" s="23">
        <f>EXP(-LN(2)/25)*AV74+(1-EXP(-LN(2)/25))/(LN(2)/25)*Calculateur!AQ75*Calculateur!AS75*VLOOKUP('Données projet'!$B$10,Paramètres!$A$1:$I$89,3,0)*0.475*44/12</f>
        <v>13.715661999854303</v>
      </c>
      <c r="AW75" s="23">
        <f>EXP(-LN(2)/2)*AW74+(1-EXP(-LN(2)/2))/(LN(2)/2)*AQ75*AT75*VLOOKUP('Données projet'!$B$10,Paramètres!$A$1:$I$89,3,0)*0.475*44/12</f>
        <v>2.0774547956899908E-5</v>
      </c>
      <c r="AX75" s="23">
        <f t="shared" si="60"/>
        <v>36.924738951638268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1.1368683772161603E-13</v>
      </c>
      <c r="BE75" s="14">
        <f>BD75*VLOOKUP('Données projet'!$B$11,Paramètres!$A$1:$I$89,3,0)*VLOOKUP('Données projet'!$B$11,Paramètres!$A$1:$I$89,5,0)</f>
        <v>6.7984728957526396E-14</v>
      </c>
      <c r="BF75" s="14">
        <f t="shared" si="91"/>
        <v>1.0682447123141398E-12</v>
      </c>
      <c r="BG75" s="22">
        <f t="shared" si="61"/>
        <v>1.978932943548152E-12</v>
      </c>
      <c r="BH75" s="62">
        <f t="shared" si="62"/>
        <v>256.10941543577047</v>
      </c>
      <c r="BI75" s="62">
        <f ca="1">AVERAGE(OFFSET($BH$3,0,0,'Données projet'!$E$11+1,1))-AVERAGE(OFFSET($H$3,0,0,'Données projet'!$E$11+1,1))</f>
        <v>197.85998851681552</v>
      </c>
      <c r="BJ75" s="62">
        <f t="shared" si="92"/>
        <v>474.54844785896239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23.209056177236008</v>
      </c>
      <c r="BQ75" s="23">
        <f>EXP(-LN(2)/25)*BQ74+(1-EXP(-LN(2)/25))/(LN(2)/25)*Calculateur!BL75*Calculateur!BN75*VLOOKUP('Données projet'!$B$11,Paramètres!$A$1:$I$89,3,0)*0.475*44/12</f>
        <v>13.715661999854303</v>
      </c>
      <c r="BR75" s="23">
        <f>EXP(-LN(2)/2)*BR74+(1-EXP(-LN(2)/2))/(LN(2)/2)*BL75*BO75*VLOOKUP('Données projet'!$B$11,Paramètres!$A$1:$I$89,3,0)*0.475*44/12</f>
        <v>2.0774547956899908E-5</v>
      </c>
      <c r="BS75" s="24">
        <f t="shared" si="63"/>
        <v>36.924738951638268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>
        <f>BY75*VLOOKUP('Données projet'!$B$12,Paramètres!$A$1:$I$89,3,0)*VLOOKUP('Données projet'!$B$12,Paramètres!$A$1:$I$89,5,0)</f>
        <v>0</v>
      </c>
      <c r="CA75" s="14" t="e">
        <f t="shared" si="93"/>
        <v>#NUM!</v>
      </c>
      <c r="CB75" s="22" t="e">
        <f t="shared" si="64"/>
        <v>#NUM!</v>
      </c>
      <c r="CC75" s="62" t="e">
        <f t="shared" si="65"/>
        <v>#NUM!</v>
      </c>
      <c r="CD75" s="62">
        <f ca="1">AVERAGE(OFFSET($CC$3,0,0,'Données projet'!$E$12+1,1))-AVERAGE(OFFSET($H$3,0,0,'Données projet'!$E$12+1,1))</f>
        <v>72.97248599808384</v>
      </c>
      <c r="CE75" s="62">
        <f t="shared" si="94"/>
        <v>346.88163654003574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25.297684957878101</v>
      </c>
      <c r="CL75" s="23">
        <f>EXP(-LN(2)/25)*CL74+(1-EXP(-LN(2)/25))/(LN(2)/25)*Calculateur!CG75*Calculateur!CI75*VLOOKUP('Données projet'!$B$12,Paramètres!$A$1:$I$89,3,0)*0.475*44/12</f>
        <v>4.0746337296920068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29.372318687570107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>
        <f>CT75*VLOOKUP('Données projet'!$B$13,Paramètres!$A$1:$I$89,3,0)*VLOOKUP('Données projet'!$B$13,Paramètres!$A$1:$I$89,5,0)</f>
        <v>0</v>
      </c>
      <c r="CV75" s="14" t="e">
        <f t="shared" si="95"/>
        <v>#NUM!</v>
      </c>
      <c r="CW75" s="22" t="e">
        <f t="shared" si="67"/>
        <v>#NUM!</v>
      </c>
      <c r="CX75" s="62" t="e">
        <f t="shared" si="68"/>
        <v>#NUM!</v>
      </c>
      <c r="CY75" s="62">
        <f ca="1">AVERAGE(OFFSET($CX$3,0,0,'Données projet'!$E$13+1,1))-AVERAGE(OFFSET($H$3,0,0,'Données projet'!$E$13+1,1))</f>
        <v>67.303283896086128</v>
      </c>
      <c r="CZ75" s="62">
        <f t="shared" si="96"/>
        <v>318.97925671653547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22.972271020245863</v>
      </c>
      <c r="DG75" s="23">
        <f>EXP(-LN(2)/25)*DG74+(1-EXP(-LN(2)/25))/(LN(2)/25)*Calculateur!DB75*Calculateur!DD75*VLOOKUP('Données projet'!$B$13,Paramètres!$A$1:$I$89,3,0)*0.475*44/12</f>
        <v>3.7000852252913461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26.672356245537209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>
        <f>DO75*VLOOKUP('Données projet'!$B$14,Paramètres!$A$1:$I$89,3,0)*VLOOKUP('Données projet'!$B$14,Paramètres!$A$1:$I$89,5,0)</f>
        <v>0</v>
      </c>
      <c r="DQ75" s="14" t="e">
        <f t="shared" si="97"/>
        <v>#NUM!</v>
      </c>
      <c r="DR75" s="22" t="e">
        <f t="shared" si="70"/>
        <v>#NUM!</v>
      </c>
      <c r="DS75" s="62" t="e">
        <f t="shared" si="71"/>
        <v>#NUM!</v>
      </c>
      <c r="DT75" s="62">
        <f ca="1">AVERAGE(OFFSET($DS$3,0,0,'Données projet'!$E$14+1,1))-AVERAGE(OFFSET($H$3,0,0,'Données projet'!$E$14+1,1))</f>
        <v>75.244137291704476</v>
      </c>
      <c r="DU75" s="62">
        <f t="shared" si="98"/>
        <v>366.065475656937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26.89920970831351</v>
      </c>
      <c r="EB75" s="23">
        <f>EXP(-LN(2)/25)*EB74+(1-EXP(-LN(2)/25))/(LN(2)/25)*Calculateur!DW75*Calculateur!DY75*VLOOKUP('Données projet'!$B$14,Paramètres!$A$1:$I$89,3,0)*0.475*44/12</f>
        <v>4.3325872451194574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31.231796953432969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6.4</v>
      </c>
      <c r="EJ75" s="13">
        <f>IF('Données projet'!$A$192&gt;35,EJ74+EI75-ER74,IF(A75&lt;'Données projet'!$A$192,$EG$205^A75,IF(A75='Données projet'!$A$192,'Données projet'!$B$192,EJ74+EI75-ER74)))</f>
        <v>233.8000000000001</v>
      </c>
      <c r="EK75" s="18">
        <f>EJ75*VLOOKUP('Données projet'!$B$15,Paramètres!$A$1:$I$89,3,0)*VLOOKUP('Données projet'!$B$15,Paramètres!$A$1:$I$89,5,0)</f>
        <v>226.13136000000009</v>
      </c>
      <c r="EL75" s="14">
        <f t="shared" si="99"/>
        <v>55.445367073626066</v>
      </c>
      <c r="EM75" s="22">
        <f t="shared" si="73"/>
        <v>490.41279965323224</v>
      </c>
      <c r="EN75" s="62">
        <f t="shared" si="74"/>
        <v>746.52221508900072</v>
      </c>
      <c r="EO75" s="62">
        <f ca="1">AVERAGE(OFFSET($EN$3,0,0,'Données projet'!$E$15+1,1))-AVERAGE(OFFSET($H$3,0,0,'Données projet'!$E$15+1,1))</f>
        <v>452.74627739105745</v>
      </c>
      <c r="EP75" s="62">
        <f t="shared" si="100"/>
        <v>281.80695725575106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6.4</v>
      </c>
      <c r="FE75" s="13">
        <f>IF('Données projet'!$A$218&gt;35,FE74+FD75-FM74,IF(A75&lt;'Données projet'!$A$218,$FB$205^A75,IF(A75='Données projet'!$A$218,'Données projet'!$B$218,FE74+FD75-FM74)))</f>
        <v>233.8000000000001</v>
      </c>
      <c r="FF75" s="18">
        <f>FE75*VLOOKUP('Données projet'!$B$16,Paramètres!$A$1:$I$89,3,0)*VLOOKUP('Données projet'!$B$16,Paramètres!$A$1:$I$89,5,0)</f>
        <v>251.66232000000011</v>
      </c>
      <c r="FG75" s="14">
        <f t="shared" si="101"/>
        <v>60.94176424841347</v>
      </c>
      <c r="FH75" s="22">
        <f t="shared" si="76"/>
        <v>544.45211339932041</v>
      </c>
      <c r="FI75" s="62">
        <f t="shared" si="77"/>
        <v>800.56152883508889</v>
      </c>
      <c r="FJ75" s="62">
        <f ca="1">AVERAGE(OFFSET($FI$3,0,0,'Données projet'!$E$16+1,1))-AVERAGE(OFFSET($H$3,0,0,'Données projet'!$E$16+1,1))</f>
        <v>492.72391755143508</v>
      </c>
      <c r="FK75" s="62">
        <f t="shared" si="102"/>
        <v>304.88554179994355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59.848022391573224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143.77000000000001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-5.6843418860808015E-14</v>
      </c>
      <c r="O76" s="14">
        <f>N76*VLOOKUP('Données projet'!$B$9,Paramètres!$A$1:$I$89,3,0)*VLOOKUP('Données projet'!$B$9,Paramètres!$A$1:$I$89,5,0)</f>
        <v>-5.1431925385259088E-14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388.8309693898596</v>
      </c>
      <c r="T76" s="62">
        <f t="shared" si="88"/>
        <v>549.06702041234382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4.5169750640990083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4.5169750640990083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>
        <f>AI76*VLOOKUP('Données projet'!$B$10,Paramètres!$A$1:$I$89,3,0)*VLOOKUP('Données projet'!$B$10,Paramètres!$A$1:$I$89,5,0)</f>
        <v>6.7984728957526396E-14</v>
      </c>
      <c r="AK76" s="14">
        <f t="shared" si="89"/>
        <v>1.0682447123141398E-12</v>
      </c>
      <c r="AL76" s="22">
        <f t="shared" si="58"/>
        <v>1.978932943548152E-12</v>
      </c>
      <c r="AM76" s="62">
        <f t="shared" si="59"/>
        <v>256.75516719108009</v>
      </c>
      <c r="AN76" s="62">
        <f ca="1">AVERAGE(OFFSET($AM$3,0,0,'Données projet'!$E$10+1,1))-AVERAGE(OFFSET($H$3,0,0,'Données projet'!$E$10+1,1))</f>
        <v>197.85998851681552</v>
      </c>
      <c r="AO76" s="62">
        <f t="shared" si="90"/>
        <v>474.54844785896239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22.753940741726876</v>
      </c>
      <c r="AV76" s="23">
        <f>EXP(-LN(2)/25)*AV75+(1-EXP(-LN(2)/25))/(LN(2)/25)*Calculateur!AQ76*Calculateur!AS76*VLOOKUP('Données projet'!$B$10,Paramètres!$A$1:$I$89,3,0)*0.475*44/12</f>
        <v>13.340606501192971</v>
      </c>
      <c r="AW76" s="23">
        <f>EXP(-LN(2)/2)*AW75+(1-EXP(-LN(2)/2))/(LN(2)/2)*AQ76*AT76*VLOOKUP('Données projet'!$B$10,Paramètres!$A$1:$I$89,3,0)*0.475*44/12</f>
        <v>1.4689823736409063E-5</v>
      </c>
      <c r="AX76" s="23">
        <f t="shared" si="60"/>
        <v>36.094561932743581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1.1368683772161603E-13</v>
      </c>
      <c r="BE76" s="14">
        <f>BD76*VLOOKUP('Données projet'!$B$11,Paramètres!$A$1:$I$89,3,0)*VLOOKUP('Données projet'!$B$11,Paramètres!$A$1:$I$89,5,0)</f>
        <v>6.7984728957526396E-14</v>
      </c>
      <c r="BF76" s="14">
        <f t="shared" si="91"/>
        <v>1.0682447123141398E-12</v>
      </c>
      <c r="BG76" s="22">
        <f t="shared" si="61"/>
        <v>1.978932943548152E-12</v>
      </c>
      <c r="BH76" s="62">
        <f t="shared" si="62"/>
        <v>256.75516719108009</v>
      </c>
      <c r="BI76" s="62">
        <f ca="1">AVERAGE(OFFSET($BH$3,0,0,'Données projet'!$E$11+1,1))-AVERAGE(OFFSET($H$3,0,0,'Données projet'!$E$11+1,1))</f>
        <v>197.85998851681552</v>
      </c>
      <c r="BJ76" s="62">
        <f t="shared" si="92"/>
        <v>474.54844785896239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22.753940741726876</v>
      </c>
      <c r="BQ76" s="23">
        <f>EXP(-LN(2)/25)*BQ75+(1-EXP(-LN(2)/25))/(LN(2)/25)*Calculateur!BL76*Calculateur!BN76*VLOOKUP('Données projet'!$B$11,Paramètres!$A$1:$I$89,3,0)*0.475*44/12</f>
        <v>13.340606501192971</v>
      </c>
      <c r="BR76" s="23">
        <f>EXP(-LN(2)/2)*BR75+(1-EXP(-LN(2)/2))/(LN(2)/2)*BL76*BO76*VLOOKUP('Données projet'!$B$11,Paramètres!$A$1:$I$89,3,0)*0.475*44/12</f>
        <v>1.4689823736409063E-5</v>
      </c>
      <c r="BS76" s="24">
        <f t="shared" si="63"/>
        <v>36.094561932743581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>
        <f>BY76*VLOOKUP('Données projet'!$B$12,Paramètres!$A$1:$I$89,3,0)*VLOOKUP('Données projet'!$B$12,Paramètres!$A$1:$I$89,5,0)</f>
        <v>0</v>
      </c>
      <c r="CA76" s="14" t="e">
        <f t="shared" si="93"/>
        <v>#NUM!</v>
      </c>
      <c r="CB76" s="22" t="e">
        <f t="shared" si="64"/>
        <v>#NUM!</v>
      </c>
      <c r="CC76" s="62" t="e">
        <f t="shared" si="65"/>
        <v>#NUM!</v>
      </c>
      <c r="CD76" s="62">
        <f ca="1">AVERAGE(OFFSET($CC$3,0,0,'Données projet'!$E$12+1,1))-AVERAGE(OFFSET($H$3,0,0,'Données projet'!$E$12+1,1))</f>
        <v>72.97248599808384</v>
      </c>
      <c r="CE76" s="62">
        <f t="shared" si="94"/>
        <v>346.88163654003574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24.801612785918344</v>
      </c>
      <c r="CL76" s="23">
        <f>EXP(-LN(2)/25)*CL75+(1-EXP(-LN(2)/25))/(LN(2)/25)*Calculateur!CG76*Calculateur!CI76*VLOOKUP('Données projet'!$B$12,Paramètres!$A$1:$I$89,3,0)*0.475*44/12</f>
        <v>3.9632126560779035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28.764825441996248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>
        <f>CT76*VLOOKUP('Données projet'!$B$13,Paramètres!$A$1:$I$89,3,0)*VLOOKUP('Données projet'!$B$13,Paramètres!$A$1:$I$89,5,0)</f>
        <v>0</v>
      </c>
      <c r="CV76" s="14" t="e">
        <f t="shared" si="95"/>
        <v>#NUM!</v>
      </c>
      <c r="CW76" s="22" t="e">
        <f t="shared" si="67"/>
        <v>#NUM!</v>
      </c>
      <c r="CX76" s="62" t="e">
        <f t="shared" si="68"/>
        <v>#NUM!</v>
      </c>
      <c r="CY76" s="62">
        <f ca="1">AVERAGE(OFFSET($CX$3,0,0,'Données projet'!$E$13+1,1))-AVERAGE(OFFSET($H$3,0,0,'Données projet'!$E$13+1,1))</f>
        <v>67.303283896086128</v>
      </c>
      <c r="CZ76" s="62">
        <f t="shared" si="96"/>
        <v>318.97925671653547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22.521798797240624</v>
      </c>
      <c r="DG76" s="23">
        <f>EXP(-LN(2)/25)*DG75+(1-EXP(-LN(2)/25))/(LN(2)/25)*Calculateur!DB76*Calculateur!DD76*VLOOKUP('Données projet'!$B$13,Paramètres!$A$1:$I$89,3,0)*0.475*44/12</f>
        <v>3.5989062002267289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26.120704997467353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>
        <f>DO76*VLOOKUP('Données projet'!$B$14,Paramètres!$A$1:$I$89,3,0)*VLOOKUP('Données projet'!$B$14,Paramètres!$A$1:$I$89,5,0)</f>
        <v>0</v>
      </c>
      <c r="DQ76" s="14" t="e">
        <f t="shared" si="97"/>
        <v>#NUM!</v>
      </c>
      <c r="DR76" s="22" t="e">
        <f t="shared" si="70"/>
        <v>#NUM!</v>
      </c>
      <c r="DS76" s="62" t="e">
        <f t="shared" si="71"/>
        <v>#NUM!</v>
      </c>
      <c r="DT76" s="62">
        <f ca="1">AVERAGE(OFFSET($DS$3,0,0,'Données projet'!$E$14+1,1))-AVERAGE(OFFSET($H$3,0,0,'Données projet'!$E$14+1,1))</f>
        <v>75.244137291704476</v>
      </c>
      <c r="DU76" s="62">
        <f t="shared" si="98"/>
        <v>366.065475656937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26.371732612831359</v>
      </c>
      <c r="EB76" s="23">
        <f>EXP(-LN(2)/25)*EB75+(1-EXP(-LN(2)/25))/(LN(2)/25)*Calculateur!DW76*Calculateur!DY76*VLOOKUP('Données projet'!$B$14,Paramètres!$A$1:$I$89,3,0)*0.475*44/12</f>
        <v>4.2141124190608048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30.585845031892163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6.4</v>
      </c>
      <c r="EJ76" s="13">
        <f>IF('Données projet'!$A$192&gt;35,EJ75+EI76-ER75,IF(A76&lt;'Données projet'!$A$192,$EG$205^A76,IF(A76='Données projet'!$A$192,'Données projet'!$B$192,EJ75+EI76-ER75)))</f>
        <v>240.2000000000001</v>
      </c>
      <c r="EK76" s="18">
        <f>EJ76*VLOOKUP('Données projet'!$B$15,Paramètres!$A$1:$I$89,3,0)*VLOOKUP('Données projet'!$B$15,Paramètres!$A$1:$I$89,5,0)</f>
        <v>232.32144000000011</v>
      </c>
      <c r="EL76" s="14">
        <f t="shared" si="99"/>
        <v>56.784337378160622</v>
      </c>
      <c r="EM76" s="22">
        <f t="shared" si="73"/>
        <v>503.52589560029656</v>
      </c>
      <c r="EN76" s="62">
        <f t="shared" si="74"/>
        <v>760.28106279137467</v>
      </c>
      <c r="EO76" s="62">
        <f ca="1">AVERAGE(OFFSET($EN$3,0,0,'Données projet'!$E$15+1,1))-AVERAGE(OFFSET($H$3,0,0,'Données projet'!$E$15+1,1))</f>
        <v>452.74627739105745</v>
      </c>
      <c r="EP76" s="62">
        <f t="shared" si="100"/>
        <v>281.80695725575106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6.4</v>
      </c>
      <c r="FE76" s="13">
        <f>IF('Données projet'!$A$218&gt;35,FE75+FD76-FM75,IF(A76&lt;'Données projet'!$A$218,$FB$205^A76,IF(A76='Données projet'!$A$218,'Données projet'!$B$218,FE75+FD76-FM75)))</f>
        <v>240.2000000000001</v>
      </c>
      <c r="FF76" s="18">
        <f>FE76*VLOOKUP('Données projet'!$B$16,Paramètres!$A$1:$I$89,3,0)*VLOOKUP('Données projet'!$B$16,Paramètres!$A$1:$I$89,5,0)</f>
        <v>258.55128000000008</v>
      </c>
      <c r="FG76" s="14">
        <f t="shared" si="101"/>
        <v>62.413469044347373</v>
      </c>
      <c r="FH76" s="22">
        <f t="shared" si="76"/>
        <v>559.01360458557178</v>
      </c>
      <c r="FI76" s="62">
        <f t="shared" si="77"/>
        <v>815.76877177664983</v>
      </c>
      <c r="FJ76" s="62">
        <f ca="1">AVERAGE(OFFSET($FI$3,0,0,'Données projet'!$E$16+1,1))-AVERAGE(OFFSET($H$3,0,0,'Données projet'!$E$16+1,1))</f>
        <v>492.72391755143508</v>
      </c>
      <c r="FK76" s="62">
        <f t="shared" si="102"/>
        <v>304.88554179994355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60.024136506657655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143.77000000000001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-5.6843418860808015E-14</v>
      </c>
      <c r="O77" s="14">
        <f>N77*VLOOKUP('Données projet'!$B$9,Paramètres!$A$1:$I$89,3,0)*VLOOKUP('Données projet'!$B$9,Paramètres!$A$1:$I$89,5,0)</f>
        <v>-5.1431925385259088E-14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388.8309693898596</v>
      </c>
      <c r="T77" s="62">
        <f t="shared" si="88"/>
        <v>549.06702041234382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4.4283999381747741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4.4283999381747741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>
        <f>AI77*VLOOKUP('Données projet'!$B$10,Paramètres!$A$1:$I$89,3,0)*VLOOKUP('Données projet'!$B$10,Paramètres!$A$1:$I$89,5,0)</f>
        <v>6.7984728957526396E-14</v>
      </c>
      <c r="AK77" s="14">
        <f t="shared" si="89"/>
        <v>1.0682447123141398E-12</v>
      </c>
      <c r="AL77" s="22">
        <f t="shared" si="58"/>
        <v>1.978932943548152E-12</v>
      </c>
      <c r="AM77" s="62">
        <f t="shared" si="59"/>
        <v>257.38971659711967</v>
      </c>
      <c r="AN77" s="62">
        <f ca="1">AVERAGE(OFFSET($AM$3,0,0,'Données projet'!$E$10+1,1))-AVERAGE(OFFSET($H$3,0,0,'Données projet'!$E$10+1,1))</f>
        <v>197.85998851681552</v>
      </c>
      <c r="AO77" s="62">
        <f t="shared" si="90"/>
        <v>474.54844785896239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22.307749842315072</v>
      </c>
      <c r="AV77" s="23">
        <f>EXP(-LN(2)/25)*AV76+(1-EXP(-LN(2)/25))/(LN(2)/25)*Calculateur!AQ77*Calculateur!AS77*VLOOKUP('Données projet'!$B$10,Paramètres!$A$1:$I$89,3,0)*0.475*44/12</f>
        <v>12.975806914865844</v>
      </c>
      <c r="AW77" s="23">
        <f>EXP(-LN(2)/2)*AW76+(1-EXP(-LN(2)/2))/(LN(2)/2)*AQ77*AT77*VLOOKUP('Données projet'!$B$10,Paramètres!$A$1:$I$89,3,0)*0.475*44/12</f>
        <v>1.0387273978449956E-5</v>
      </c>
      <c r="AX77" s="23">
        <f t="shared" si="60"/>
        <v>35.283567144454899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1.1368683772161603E-13</v>
      </c>
      <c r="BE77" s="14">
        <f>BD77*VLOOKUP('Données projet'!$B$11,Paramètres!$A$1:$I$89,3,0)*VLOOKUP('Données projet'!$B$11,Paramètres!$A$1:$I$89,5,0)</f>
        <v>6.7984728957526396E-14</v>
      </c>
      <c r="BF77" s="14">
        <f t="shared" si="91"/>
        <v>1.0682447123141398E-12</v>
      </c>
      <c r="BG77" s="22">
        <f t="shared" si="61"/>
        <v>1.978932943548152E-12</v>
      </c>
      <c r="BH77" s="62">
        <f t="shared" si="62"/>
        <v>257.38971659711967</v>
      </c>
      <c r="BI77" s="62">
        <f ca="1">AVERAGE(OFFSET($BH$3,0,0,'Données projet'!$E$11+1,1))-AVERAGE(OFFSET($H$3,0,0,'Données projet'!$E$11+1,1))</f>
        <v>197.85998851681552</v>
      </c>
      <c r="BJ77" s="62">
        <f t="shared" si="92"/>
        <v>474.54844785896239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22.307749842315072</v>
      </c>
      <c r="BQ77" s="23">
        <f>EXP(-LN(2)/25)*BQ76+(1-EXP(-LN(2)/25))/(LN(2)/25)*Calculateur!BL77*Calculateur!BN77*VLOOKUP('Données projet'!$B$11,Paramètres!$A$1:$I$89,3,0)*0.475*44/12</f>
        <v>12.975806914865844</v>
      </c>
      <c r="BR77" s="23">
        <f>EXP(-LN(2)/2)*BR76+(1-EXP(-LN(2)/2))/(LN(2)/2)*BL77*BO77*VLOOKUP('Données projet'!$B$11,Paramètres!$A$1:$I$89,3,0)*0.475*44/12</f>
        <v>1.0387273978449956E-5</v>
      </c>
      <c r="BS77" s="24">
        <f t="shared" si="63"/>
        <v>35.283567144454899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>
        <f>BY77*VLOOKUP('Données projet'!$B$12,Paramètres!$A$1:$I$89,3,0)*VLOOKUP('Données projet'!$B$12,Paramètres!$A$1:$I$89,5,0)</f>
        <v>0</v>
      </c>
      <c r="CA77" s="14" t="e">
        <f t="shared" si="93"/>
        <v>#NUM!</v>
      </c>
      <c r="CB77" s="22" t="e">
        <f t="shared" si="64"/>
        <v>#NUM!</v>
      </c>
      <c r="CC77" s="62" t="e">
        <f t="shared" si="65"/>
        <v>#NUM!</v>
      </c>
      <c r="CD77" s="62">
        <f ca="1">AVERAGE(OFFSET($CC$3,0,0,'Données projet'!$E$12+1,1))-AVERAGE(OFFSET($H$3,0,0,'Données projet'!$E$12+1,1))</f>
        <v>72.97248599808384</v>
      </c>
      <c r="CE77" s="62">
        <f t="shared" si="94"/>
        <v>346.88163654003574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24.31526828667657</v>
      </c>
      <c r="CL77" s="23">
        <f>EXP(-LN(2)/25)*CL76+(1-EXP(-LN(2)/25))/(LN(2)/25)*Calculateur!CG77*Calculateur!CI77*VLOOKUP('Données projet'!$B$12,Paramètres!$A$1:$I$89,3,0)*0.475*44/12</f>
        <v>3.8548383975811578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28.170106684257728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>
        <f>CT77*VLOOKUP('Données projet'!$B$13,Paramètres!$A$1:$I$89,3,0)*VLOOKUP('Données projet'!$B$13,Paramètres!$A$1:$I$89,5,0)</f>
        <v>0</v>
      </c>
      <c r="CV77" s="14" t="e">
        <f t="shared" si="95"/>
        <v>#NUM!</v>
      </c>
      <c r="CW77" s="22" t="e">
        <f t="shared" si="67"/>
        <v>#NUM!</v>
      </c>
      <c r="CX77" s="62" t="e">
        <f t="shared" si="68"/>
        <v>#NUM!</v>
      </c>
      <c r="CY77" s="62">
        <f ca="1">AVERAGE(OFFSET($CX$3,0,0,'Données projet'!$E$13+1,1))-AVERAGE(OFFSET($H$3,0,0,'Données projet'!$E$13+1,1))</f>
        <v>67.303283896086128</v>
      </c>
      <c r="CZ77" s="62">
        <f t="shared" si="96"/>
        <v>318.97925671653547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22.080160059767593</v>
      </c>
      <c r="DG77" s="23">
        <f>EXP(-LN(2)/25)*DG76+(1-EXP(-LN(2)/25))/(LN(2)/25)*Calculateur!DB77*Calculateur!DD77*VLOOKUP('Données projet'!$B$13,Paramètres!$A$1:$I$89,3,0)*0.475*44/12</f>
        <v>3.5004939209232773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25.580653980690869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>
        <f>DO77*VLOOKUP('Données projet'!$B$14,Paramètres!$A$1:$I$89,3,0)*VLOOKUP('Données projet'!$B$14,Paramètres!$A$1:$I$89,5,0)</f>
        <v>0</v>
      </c>
      <c r="DQ77" s="14" t="e">
        <f t="shared" si="97"/>
        <v>#NUM!</v>
      </c>
      <c r="DR77" s="22" t="e">
        <f t="shared" si="70"/>
        <v>#NUM!</v>
      </c>
      <c r="DS77" s="62" t="e">
        <f t="shared" si="71"/>
        <v>#NUM!</v>
      </c>
      <c r="DT77" s="62">
        <f ca="1">AVERAGE(OFFSET($DS$3,0,0,'Données projet'!$E$14+1,1))-AVERAGE(OFFSET($H$3,0,0,'Données projet'!$E$14+1,1))</f>
        <v>75.244137291704476</v>
      </c>
      <c r="DU77" s="62">
        <f t="shared" si="98"/>
        <v>366.065475656937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25.854599021462352</v>
      </c>
      <c r="EB77" s="23">
        <f>EXP(-LN(2)/25)*EB76+(1-EXP(-LN(2)/25))/(LN(2)/25)*Calculateur!DW77*Calculateur!DY77*VLOOKUP('Données projet'!$B$14,Paramètres!$A$1:$I$89,3,0)*0.475*44/12</f>
        <v>4.0988772933510464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29.9534763148134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6.4</v>
      </c>
      <c r="EJ77" s="13">
        <f>IF('Données projet'!$A$192&gt;35,EJ76+EI77-ER76,IF(A77&lt;'Données projet'!$A$192,$EG$205^A77,IF(A77='Données projet'!$A$192,'Données projet'!$B$192,EJ76+EI77-ER76)))</f>
        <v>246.60000000000011</v>
      </c>
      <c r="EK77" s="18">
        <f>EJ77*VLOOKUP('Données projet'!$B$15,Paramètres!$A$1:$I$89,3,0)*VLOOKUP('Données projet'!$B$15,Paramètres!$A$1:$I$89,5,0)</f>
        <v>238.5115200000001</v>
      </c>
      <c r="EL77" s="14">
        <f t="shared" si="99"/>
        <v>58.119160893939195</v>
      </c>
      <c r="EM77" s="22">
        <f t="shared" si="73"/>
        <v>516.63176922361095</v>
      </c>
      <c r="EN77" s="62">
        <f t="shared" si="74"/>
        <v>774.02148582072869</v>
      </c>
      <c r="EO77" s="62">
        <f ca="1">AVERAGE(OFFSET($EN$3,0,0,'Données projet'!$E$15+1,1))-AVERAGE(OFFSET($H$3,0,0,'Données projet'!$E$15+1,1))</f>
        <v>452.74627739105745</v>
      </c>
      <c r="EP77" s="62">
        <f t="shared" si="100"/>
        <v>281.80695725575106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6.4</v>
      </c>
      <c r="FE77" s="13">
        <f>IF('Données projet'!$A$218&gt;35,FE76+FD77-FM76,IF(A77&lt;'Données projet'!$A$218,$FB$205^A77,IF(A77='Données projet'!$A$218,'Données projet'!$B$218,FE76+FD77-FM76)))</f>
        <v>246.60000000000011</v>
      </c>
      <c r="FF77" s="18">
        <f>FE77*VLOOKUP('Données projet'!$B$16,Paramètres!$A$1:$I$89,3,0)*VLOOKUP('Données projet'!$B$16,Paramètres!$A$1:$I$89,5,0)</f>
        <v>265.44024000000007</v>
      </c>
      <c r="FG77" s="14">
        <f t="shared" si="101"/>
        <v>63.880615973031119</v>
      </c>
      <c r="FH77" s="22">
        <f t="shared" si="76"/>
        <v>573.56715748636259</v>
      </c>
      <c r="FI77" s="62">
        <f t="shared" si="77"/>
        <v>830.95687408348022</v>
      </c>
      <c r="FJ77" s="62">
        <f ca="1">AVERAGE(OFFSET($FI$3,0,0,'Données projet'!$E$16+1,1))-AVERAGE(OFFSET($H$3,0,0,'Données projet'!$E$16+1,1))</f>
        <v>492.72391755143508</v>
      </c>
      <c r="FK77" s="62">
        <f t="shared" si="102"/>
        <v>304.88554179994355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60.197195435577562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143.77000000000001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-5.6843418860808015E-14</v>
      </c>
      <c r="O78" s="14">
        <f>N78*VLOOKUP('Données projet'!$B$9,Paramètres!$A$1:$I$89,3,0)*VLOOKUP('Données projet'!$B$9,Paramètres!$A$1:$I$89,5,0)</f>
        <v>-5.1431925385259088E-14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388.8309693898596</v>
      </c>
      <c r="T78" s="62">
        <f t="shared" si="88"/>
        <v>549.06702041234382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4.3415617164444216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4.3415617164444216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>
        <f>AI78*VLOOKUP('Données projet'!$B$10,Paramètres!$A$1:$I$89,3,0)*VLOOKUP('Données projet'!$B$10,Paramètres!$A$1:$I$89,5,0)</f>
        <v>6.7984728957526396E-14</v>
      </c>
      <c r="AK78" s="14">
        <f t="shared" si="89"/>
        <v>1.0682447123141398E-12</v>
      </c>
      <c r="AL78" s="22">
        <f t="shared" si="58"/>
        <v>1.978932943548152E-12</v>
      </c>
      <c r="AM78" s="62">
        <f t="shared" si="59"/>
        <v>258.01325798960454</v>
      </c>
      <c r="AN78" s="62">
        <f ca="1">AVERAGE(OFFSET($AM$3,0,0,'Données projet'!$E$10+1,1))-AVERAGE(OFFSET($H$3,0,0,'Données projet'!$E$10+1,1))</f>
        <v>197.85998851681552</v>
      </c>
      <c r="AO78" s="62">
        <f t="shared" si="90"/>
        <v>474.54844785896239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21.870308474291157</v>
      </c>
      <c r="AV78" s="23">
        <f>EXP(-LN(2)/25)*AV77+(1-EXP(-LN(2)/25))/(LN(2)/25)*Calculateur!AQ78*Calculateur!AS78*VLOOKUP('Données projet'!$B$10,Paramètres!$A$1:$I$89,3,0)*0.475*44/12</f>
        <v>12.620982792410809</v>
      </c>
      <c r="AW78" s="23">
        <f>EXP(-LN(2)/2)*AW77+(1-EXP(-LN(2)/2))/(LN(2)/2)*AQ78*AT78*VLOOKUP('Données projet'!$B$10,Paramètres!$A$1:$I$89,3,0)*0.475*44/12</f>
        <v>7.3449118682045322E-6</v>
      </c>
      <c r="AX78" s="23">
        <f t="shared" si="60"/>
        <v>34.491298611613836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1.1368683772161603E-13</v>
      </c>
      <c r="BE78" s="14">
        <f>BD78*VLOOKUP('Données projet'!$B$11,Paramètres!$A$1:$I$89,3,0)*VLOOKUP('Données projet'!$B$11,Paramètres!$A$1:$I$89,5,0)</f>
        <v>6.7984728957526396E-14</v>
      </c>
      <c r="BF78" s="14">
        <f t="shared" si="91"/>
        <v>1.0682447123141398E-12</v>
      </c>
      <c r="BG78" s="22">
        <f t="shared" si="61"/>
        <v>1.978932943548152E-12</v>
      </c>
      <c r="BH78" s="62">
        <f t="shared" si="62"/>
        <v>258.01325798960454</v>
      </c>
      <c r="BI78" s="62">
        <f ca="1">AVERAGE(OFFSET($BH$3,0,0,'Données projet'!$E$11+1,1))-AVERAGE(OFFSET($H$3,0,0,'Données projet'!$E$11+1,1))</f>
        <v>197.85998851681552</v>
      </c>
      <c r="BJ78" s="62">
        <f t="shared" si="92"/>
        <v>474.54844785896239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21.870308474291157</v>
      </c>
      <c r="BQ78" s="23">
        <f>EXP(-LN(2)/25)*BQ77+(1-EXP(-LN(2)/25))/(LN(2)/25)*Calculateur!BL78*Calculateur!BN78*VLOOKUP('Données projet'!$B$11,Paramètres!$A$1:$I$89,3,0)*0.475*44/12</f>
        <v>12.620982792410809</v>
      </c>
      <c r="BR78" s="23">
        <f>EXP(-LN(2)/2)*BR77+(1-EXP(-LN(2)/2))/(LN(2)/2)*BL78*BO78*VLOOKUP('Données projet'!$B$11,Paramètres!$A$1:$I$89,3,0)*0.475*44/12</f>
        <v>7.3449118682045322E-6</v>
      </c>
      <c r="BS78" s="24">
        <f t="shared" si="63"/>
        <v>34.491298611613836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>
        <f>BY78*VLOOKUP('Données projet'!$B$12,Paramètres!$A$1:$I$89,3,0)*VLOOKUP('Données projet'!$B$12,Paramètres!$A$1:$I$89,5,0)</f>
        <v>0</v>
      </c>
      <c r="CA78" s="14" t="e">
        <f t="shared" si="93"/>
        <v>#NUM!</v>
      </c>
      <c r="CB78" s="22" t="e">
        <f t="shared" si="64"/>
        <v>#NUM!</v>
      </c>
      <c r="CC78" s="62" t="e">
        <f t="shared" si="65"/>
        <v>#NUM!</v>
      </c>
      <c r="CD78" s="62">
        <f ca="1">AVERAGE(OFFSET($CC$3,0,0,'Données projet'!$E$12+1,1))-AVERAGE(OFFSET($H$3,0,0,'Données projet'!$E$12+1,1))</f>
        <v>72.97248599808384</v>
      </c>
      <c r="CE78" s="62">
        <f t="shared" si="94"/>
        <v>346.88163654003574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23.838460706424073</v>
      </c>
      <c r="CL78" s="23">
        <f>EXP(-LN(2)/25)*CL77+(1-EXP(-LN(2)/25))/(LN(2)/25)*Calculateur!CG78*Calculateur!CI78*VLOOKUP('Données projet'!$B$12,Paramètres!$A$1:$I$89,3,0)*0.475*44/12</f>
        <v>3.7494276388821599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27.587888345306233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>
        <f>CT78*VLOOKUP('Données projet'!$B$13,Paramètres!$A$1:$I$89,3,0)*VLOOKUP('Données projet'!$B$13,Paramètres!$A$1:$I$89,5,0)</f>
        <v>0</v>
      </c>
      <c r="CV78" s="14" t="e">
        <f t="shared" si="95"/>
        <v>#NUM!</v>
      </c>
      <c r="CW78" s="22" t="e">
        <f t="shared" si="67"/>
        <v>#NUM!</v>
      </c>
      <c r="CX78" s="62" t="e">
        <f t="shared" si="68"/>
        <v>#NUM!</v>
      </c>
      <c r="CY78" s="62">
        <f ca="1">AVERAGE(OFFSET($CX$3,0,0,'Données projet'!$E$13+1,1))-AVERAGE(OFFSET($H$3,0,0,'Données projet'!$E$13+1,1))</f>
        <v>67.303283896086128</v>
      </c>
      <c r="CZ78" s="62">
        <f t="shared" si="96"/>
        <v>318.97925671653547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21.647181588563374</v>
      </c>
      <c r="DG78" s="23">
        <f>EXP(-LN(2)/25)*DG77+(1-EXP(-LN(2)/25))/(LN(2)/25)*Calculateur!DB78*Calculateur!DD78*VLOOKUP('Données projet'!$B$13,Paramètres!$A$1:$I$89,3,0)*0.475*44/12</f>
        <v>3.4047727305726556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25.05195431913603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>
        <f>DO78*VLOOKUP('Données projet'!$B$14,Paramètres!$A$1:$I$89,3,0)*VLOOKUP('Données projet'!$B$14,Paramètres!$A$1:$I$89,5,0)</f>
        <v>0</v>
      </c>
      <c r="DQ78" s="14" t="e">
        <f t="shared" si="97"/>
        <v>#NUM!</v>
      </c>
      <c r="DR78" s="22" t="e">
        <f t="shared" si="70"/>
        <v>#NUM!</v>
      </c>
      <c r="DS78" s="62" t="e">
        <f t="shared" si="71"/>
        <v>#NUM!</v>
      </c>
      <c r="DT78" s="62">
        <f ca="1">AVERAGE(OFFSET($DS$3,0,0,'Données projet'!$E$14+1,1))-AVERAGE(OFFSET($H$3,0,0,'Données projet'!$E$14+1,1))</f>
        <v>75.244137291704476</v>
      </c>
      <c r="DU78" s="62">
        <f t="shared" si="98"/>
        <v>366.065475656937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25.347606104399745</v>
      </c>
      <c r="EB78" s="23">
        <f>EXP(-LN(2)/25)*EB77+(1-EXP(-LN(2)/25))/(LN(2)/25)*Calculateur!DW78*Calculateur!DY78*VLOOKUP('Données projet'!$B$14,Paramètres!$A$1:$I$89,3,0)*0.475*44/12</f>
        <v>3.9867932782137734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29.334399382613519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253</v>
      </c>
      <c r="EH78" s="13">
        <f>VLOOKUP(A78,'Données projet'!$A$191:$I$211,9,0)</f>
        <v>6.4</v>
      </c>
      <c r="EI78" s="13">
        <f t="array" ref="EI78">INDEX(EH:EH,MIN(IF(ISNUMBER(EH78:EH274),ROW(EH78:EH274),"")))</f>
        <v>6.4</v>
      </c>
      <c r="EJ78" s="13">
        <f>IF('Données projet'!$A$192&gt;35,EJ77+EI78-ER77,IF(A78&lt;'Données projet'!$A$192,$EG$205^A78,IF(A78='Données projet'!$A$192,'Données projet'!$B$192,EJ77+EI78-ER77)))</f>
        <v>253.00000000000011</v>
      </c>
      <c r="EK78" s="18">
        <f>EJ78*VLOOKUP('Données projet'!$B$15,Paramètres!$A$1:$I$89,3,0)*VLOOKUP('Données projet'!$B$15,Paramètres!$A$1:$I$89,5,0)</f>
        <v>244.70160000000013</v>
      </c>
      <c r="EL78" s="14">
        <f t="shared" si="99"/>
        <v>59.449957615507699</v>
      </c>
      <c r="EM78" s="22">
        <f t="shared" si="73"/>
        <v>529.73062951367604</v>
      </c>
      <c r="EN78" s="62">
        <f t="shared" si="74"/>
        <v>787.74388750327853</v>
      </c>
      <c r="EO78" s="62">
        <f ca="1">AVERAGE(OFFSET($EN$3,0,0,'Données projet'!$E$15+1,1))-AVERAGE(OFFSET($H$3,0,0,'Données projet'!$E$15+1,1))</f>
        <v>452.74627739105745</v>
      </c>
      <c r="EP78" s="62">
        <f t="shared" si="100"/>
        <v>281.80695725575106</v>
      </c>
      <c r="EQ78" s="16">
        <f>IF(ISNA(VLOOKUP(A78,'Données projet'!$A$191:$I$211,3,0)),0,VLOOKUP(A78,'Données projet'!$A$191:$I$211,3,0))</f>
        <v>11</v>
      </c>
      <c r="ER78" s="16">
        <f>IF(ISNA(VLOOKUP(A78,'Données projet'!$A$191:$I$211,4,0)),0,VLOOKUP(A78,'Données projet'!$A$191:$I$211,4,0))</f>
        <v>21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253</v>
      </c>
      <c r="FC78" s="13">
        <f>VLOOKUP(A78,'Données projet'!$A$217:$I$237,9,0)</f>
        <v>6.4</v>
      </c>
      <c r="FD78" s="13">
        <f t="array" ref="FD78">INDEX(FC:FC,MIN(IF(ISNUMBER(FC78:FC274),ROW(FC78:FC274),"")))</f>
        <v>6.4</v>
      </c>
      <c r="FE78" s="13">
        <f>IF('Données projet'!$A$218&gt;35,FE77+FD78-FM77,IF(A78&lt;'Données projet'!$A$218,$FB$205^A78,IF(A78='Données projet'!$A$218,'Données projet'!$B$218,FE77+FD78-FM77)))</f>
        <v>253.00000000000011</v>
      </c>
      <c r="FF78" s="18">
        <f>FE78*VLOOKUP('Données projet'!$B$16,Paramètres!$A$1:$I$89,3,0)*VLOOKUP('Données projet'!$B$16,Paramètres!$A$1:$I$89,5,0)</f>
        <v>272.32920000000013</v>
      </c>
      <c r="FG78" s="14">
        <f t="shared" si="101"/>
        <v>65.34333692428207</v>
      </c>
      <c r="FH78" s="22">
        <f t="shared" si="76"/>
        <v>588.11300180979151</v>
      </c>
      <c r="FI78" s="62">
        <f t="shared" si="77"/>
        <v>846.12625979939412</v>
      </c>
      <c r="FJ78" s="62">
        <f ca="1">AVERAGE(OFFSET($FI$3,0,0,'Données projet'!$E$16+1,1))-AVERAGE(OFFSET($H$3,0,0,'Données projet'!$E$16+1,1))</f>
        <v>492.72391755143508</v>
      </c>
      <c r="FK78" s="62">
        <f t="shared" si="102"/>
        <v>304.88554179994355</v>
      </c>
      <c r="FL78" s="16">
        <f>IF(ISNA(VLOOKUP(A78,'Données projet'!$A$217:$I$237,3,0)),0,VLOOKUP(A78,'Données projet'!$A$217:$I$237,3,0))</f>
        <v>11</v>
      </c>
      <c r="FM78" s="16">
        <f>IF(ISNA(VLOOKUP(A78,'Données projet'!$A$217:$I$237,4,0)),0,VLOOKUP(A78,'Données projet'!$A$217:$I$237,4,0))</f>
        <v>21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60.367252178982504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143.77000000000001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-5.6843418860808015E-14</v>
      </c>
      <c r="O79" s="14">
        <f>N79*VLOOKUP('Données projet'!$B$9,Paramètres!$A$1:$I$89,3,0)*VLOOKUP('Données projet'!$B$9,Paramètres!$A$1:$I$89,5,0)</f>
        <v>-5.1431925385259088E-14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388.8309693898596</v>
      </c>
      <c r="T79" s="62">
        <f t="shared" si="88"/>
        <v>549.06702041234382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4.2564263392761159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4.2564263392761159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>
        <f>AI79*VLOOKUP('Données projet'!$B$10,Paramètres!$A$1:$I$89,3,0)*VLOOKUP('Données projet'!$B$10,Paramètres!$A$1:$I$89,5,0)</f>
        <v>6.7984728957526396E-14</v>
      </c>
      <c r="AK79" s="14">
        <f t="shared" si="89"/>
        <v>1.0682447123141398E-12</v>
      </c>
      <c r="AL79" s="22">
        <f t="shared" si="58"/>
        <v>1.978932943548152E-12</v>
      </c>
      <c r="AM79" s="62">
        <f t="shared" si="59"/>
        <v>258.62598233295944</v>
      </c>
      <c r="AN79" s="62">
        <f ca="1">AVERAGE(OFFSET($AM$3,0,0,'Données projet'!$E$10+1,1))-AVERAGE(OFFSET($H$3,0,0,'Données projet'!$E$10+1,1))</f>
        <v>197.85998851681552</v>
      </c>
      <c r="AO79" s="62">
        <f t="shared" si="90"/>
        <v>474.54844785896239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21.441445064681304</v>
      </c>
      <c r="AV79" s="23">
        <f>EXP(-LN(2)/25)*AV78+(1-EXP(-LN(2)/25))/(LN(2)/25)*Calculateur!AQ79*Calculateur!AS79*VLOOKUP('Données projet'!$B$10,Paramètres!$A$1:$I$89,3,0)*0.475*44/12</f>
        <v>12.275861354243697</v>
      </c>
      <c r="AW79" s="23">
        <f>EXP(-LN(2)/2)*AW78+(1-EXP(-LN(2)/2))/(LN(2)/2)*AQ79*AT79*VLOOKUP('Données projet'!$B$10,Paramètres!$A$1:$I$89,3,0)*0.475*44/12</f>
        <v>5.1936369892249787E-6</v>
      </c>
      <c r="AX79" s="23">
        <f t="shared" si="60"/>
        <v>33.717311612561986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1.1368683772161603E-13</v>
      </c>
      <c r="BE79" s="14">
        <f>BD79*VLOOKUP('Données projet'!$B$11,Paramètres!$A$1:$I$89,3,0)*VLOOKUP('Données projet'!$B$11,Paramètres!$A$1:$I$89,5,0)</f>
        <v>6.7984728957526396E-14</v>
      </c>
      <c r="BF79" s="14">
        <f t="shared" si="91"/>
        <v>1.0682447123141398E-12</v>
      </c>
      <c r="BG79" s="22">
        <f t="shared" si="61"/>
        <v>1.978932943548152E-12</v>
      </c>
      <c r="BH79" s="62">
        <f t="shared" si="62"/>
        <v>258.62598233295944</v>
      </c>
      <c r="BI79" s="62">
        <f ca="1">AVERAGE(OFFSET($BH$3,0,0,'Données projet'!$E$11+1,1))-AVERAGE(OFFSET($H$3,0,0,'Données projet'!$E$11+1,1))</f>
        <v>197.85998851681552</v>
      </c>
      <c r="BJ79" s="62">
        <f t="shared" si="92"/>
        <v>474.54844785896239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21.441445064681304</v>
      </c>
      <c r="BQ79" s="23">
        <f>EXP(-LN(2)/25)*BQ78+(1-EXP(-LN(2)/25))/(LN(2)/25)*Calculateur!BL79*Calculateur!BN79*VLOOKUP('Données projet'!$B$11,Paramètres!$A$1:$I$89,3,0)*0.475*44/12</f>
        <v>12.275861354243697</v>
      </c>
      <c r="BR79" s="23">
        <f>EXP(-LN(2)/2)*BR78+(1-EXP(-LN(2)/2))/(LN(2)/2)*BL79*BO79*VLOOKUP('Données projet'!$B$11,Paramètres!$A$1:$I$89,3,0)*0.475*44/12</f>
        <v>5.1936369892249787E-6</v>
      </c>
      <c r="BS79" s="24">
        <f t="shared" si="63"/>
        <v>33.717311612561986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>
        <f>BY79*VLOOKUP('Données projet'!$B$12,Paramètres!$A$1:$I$89,3,0)*VLOOKUP('Données projet'!$B$12,Paramètres!$A$1:$I$89,5,0)</f>
        <v>0</v>
      </c>
      <c r="CA79" s="14" t="e">
        <f t="shared" si="93"/>
        <v>#NUM!</v>
      </c>
      <c r="CB79" s="22" t="e">
        <f t="shared" si="64"/>
        <v>#NUM!</v>
      </c>
      <c r="CC79" s="62" t="e">
        <f t="shared" si="65"/>
        <v>#NUM!</v>
      </c>
      <c r="CD79" s="62">
        <f ca="1">AVERAGE(OFFSET($CC$3,0,0,'Données projet'!$E$12+1,1))-AVERAGE(OFFSET($H$3,0,0,'Données projet'!$E$12+1,1))</f>
        <v>72.97248599808384</v>
      </c>
      <c r="CE79" s="62">
        <f t="shared" si="94"/>
        <v>346.88163654003574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23.37100303199642</v>
      </c>
      <c r="CL79" s="23">
        <f>EXP(-LN(2)/25)*CL78+(1-EXP(-LN(2)/25))/(LN(2)/25)*Calculateur!CG79*Calculateur!CI79*VLOOKUP('Données projet'!$B$12,Paramètres!$A$1:$I$89,3,0)*0.475*44/12</f>
        <v>3.6468993429230974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27.017902374919515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>
        <f>CT79*VLOOKUP('Données projet'!$B$13,Paramètres!$A$1:$I$89,3,0)*VLOOKUP('Données projet'!$B$13,Paramètres!$A$1:$I$89,5,0)</f>
        <v>0</v>
      </c>
      <c r="CV79" s="14" t="e">
        <f t="shared" si="95"/>
        <v>#NUM!</v>
      </c>
      <c r="CW79" s="22" t="e">
        <f t="shared" si="67"/>
        <v>#NUM!</v>
      </c>
      <c r="CX79" s="62" t="e">
        <f t="shared" si="68"/>
        <v>#NUM!</v>
      </c>
      <c r="CY79" s="62">
        <f ca="1">AVERAGE(OFFSET($CX$3,0,0,'Données projet'!$E$13+1,1))-AVERAGE(OFFSET($H$3,0,0,'Données projet'!$E$13+1,1))</f>
        <v>67.303283896086128</v>
      </c>
      <c r="CZ79" s="62">
        <f t="shared" si="96"/>
        <v>318.97925671653547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21.222693561088679</v>
      </c>
      <c r="DG79" s="23">
        <f>EXP(-LN(2)/25)*DG78+(1-EXP(-LN(2)/25))/(LN(2)/25)*Calculateur!DB79*Calculateur!DD79*VLOOKUP('Données projet'!$B$13,Paramètres!$A$1:$I$89,3,0)*0.475*44/12</f>
        <v>3.31166904120593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24.53436260229461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>
        <f>DO79*VLOOKUP('Données projet'!$B$14,Paramètres!$A$1:$I$89,3,0)*VLOOKUP('Données projet'!$B$14,Paramètres!$A$1:$I$89,5,0)</f>
        <v>0</v>
      </c>
      <c r="DQ79" s="14" t="e">
        <f t="shared" si="97"/>
        <v>#NUM!</v>
      </c>
      <c r="DR79" s="22" t="e">
        <f t="shared" si="70"/>
        <v>#NUM!</v>
      </c>
      <c r="DS79" s="62" t="e">
        <f t="shared" si="71"/>
        <v>#NUM!</v>
      </c>
      <c r="DT79" s="62">
        <f ca="1">AVERAGE(OFFSET($DS$3,0,0,'Données projet'!$E$14+1,1))-AVERAGE(OFFSET($H$3,0,0,'Données projet'!$E$14+1,1))</f>
        <v>75.244137291704476</v>
      </c>
      <c r="DU79" s="62">
        <f t="shared" si="98"/>
        <v>366.065475656937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24.850555009205589</v>
      </c>
      <c r="EB79" s="23">
        <f>EXP(-LN(2)/25)*EB78+(1-EXP(-LN(2)/25))/(LN(2)/25)*Calculateur!DW79*Calculateur!DY79*VLOOKUP('Données projet'!$B$14,Paramètres!$A$1:$I$89,3,0)*0.475*44/12</f>
        <v>3.8777742063646712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28.728329215570259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6</v>
      </c>
      <c r="EJ79" s="13">
        <f>IF('Données projet'!$A$192&gt;35,EJ78+EI79-ER78,IF(A79&lt;'Données projet'!$A$192,$EG$205^A79,IF(A79='Données projet'!$A$192,'Données projet'!$B$192,EJ78+EI79-ER78)))</f>
        <v>238.00000000000011</v>
      </c>
      <c r="EK79" s="18">
        <f>EJ79*VLOOKUP('Données projet'!$B$15,Paramètres!$A$1:$I$89,3,0)*VLOOKUP('Données projet'!$B$15,Paramètres!$A$1:$I$89,5,0)</f>
        <v>230.19360000000009</v>
      </c>
      <c r="EL79" s="14">
        <f t="shared" si="99"/>
        <v>56.324540327421772</v>
      </c>
      <c r="EM79" s="22">
        <f t="shared" si="73"/>
        <v>499.01909440359304</v>
      </c>
      <c r="EN79" s="62">
        <f t="shared" si="74"/>
        <v>757.64507673655044</v>
      </c>
      <c r="EO79" s="62">
        <f ca="1">AVERAGE(OFFSET($EN$3,0,0,'Données projet'!$E$15+1,1))-AVERAGE(OFFSET($H$3,0,0,'Données projet'!$E$15+1,1))</f>
        <v>452.74627739105745</v>
      </c>
      <c r="EP79" s="62">
        <f t="shared" si="100"/>
        <v>281.80695725575106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6</v>
      </c>
      <c r="FE79" s="13">
        <f>IF('Données projet'!$A$218&gt;35,FE78+FD79-FM78,IF(A79&lt;'Données projet'!$A$218,$FB$205^A79,IF(A79='Données projet'!$A$218,'Données projet'!$B$218,FE78+FD79-FM78)))</f>
        <v>238.00000000000011</v>
      </c>
      <c r="FF79" s="18">
        <f>FE79*VLOOKUP('Données projet'!$B$16,Paramètres!$A$1:$I$89,3,0)*VLOOKUP('Données projet'!$B$16,Paramètres!$A$1:$I$89,5,0)</f>
        <v>256.18320000000011</v>
      </c>
      <c r="FG79" s="14">
        <f t="shared" si="101"/>
        <v>61.908091499799227</v>
      </c>
      <c r="FH79" s="22">
        <f t="shared" si="76"/>
        <v>554.00899936215046</v>
      </c>
      <c r="FI79" s="62">
        <f t="shared" si="77"/>
        <v>812.63498169510785</v>
      </c>
      <c r="FJ79" s="62">
        <f ca="1">AVERAGE(OFFSET($FI$3,0,0,'Données projet'!$E$16+1,1))-AVERAGE(OFFSET($H$3,0,0,'Données projet'!$E$16+1,1))</f>
        <v>492.72391755143508</v>
      </c>
      <c r="FK79" s="62">
        <f t="shared" si="102"/>
        <v>304.88554179994355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60.534358818079305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143.77000000000001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-5.6843418860808015E-14</v>
      </c>
      <c r="O80" s="14">
        <f>N80*VLOOKUP('Données projet'!$B$9,Paramètres!$A$1:$I$89,3,0)*VLOOKUP('Données projet'!$B$9,Paramètres!$A$1:$I$89,5,0)</f>
        <v>-5.1431925385259088E-14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388.8309693898596</v>
      </c>
      <c r="T80" s="62">
        <f t="shared" si="88"/>
        <v>549.06702041234382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4.1729604149266279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4.1729604149266279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>
        <f>AI80*VLOOKUP('Données projet'!$B$10,Paramètres!$A$1:$I$89,3,0)*VLOOKUP('Données projet'!$B$10,Paramètres!$A$1:$I$89,5,0)</f>
        <v>6.7984728957526396E-14</v>
      </c>
      <c r="AK80" s="14">
        <f t="shared" si="89"/>
        <v>1.0682447123141398E-12</v>
      </c>
      <c r="AL80" s="22">
        <f t="shared" si="58"/>
        <v>1.978932943548152E-12</v>
      </c>
      <c r="AM80" s="62">
        <f t="shared" si="59"/>
        <v>259.22807727880354</v>
      </c>
      <c r="AN80" s="62">
        <f ca="1">AVERAGE(OFFSET($AM$3,0,0,'Données projet'!$E$10+1,1))-AVERAGE(OFFSET($H$3,0,0,'Données projet'!$E$10+1,1))</f>
        <v>197.85998851681552</v>
      </c>
      <c r="AO80" s="62">
        <f t="shared" si="90"/>
        <v>474.54844785896239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21.020991404953048</v>
      </c>
      <c r="AV80" s="23">
        <f>EXP(-LN(2)/25)*AV79+(1-EXP(-LN(2)/25))/(LN(2)/25)*Calculateur!AQ80*Calculateur!AS80*VLOOKUP('Données projet'!$B$10,Paramètres!$A$1:$I$89,3,0)*0.475*44/12</f>
        <v>11.940177279952412</v>
      </c>
      <c r="AW80" s="23">
        <f>EXP(-LN(2)/2)*AW79+(1-EXP(-LN(2)/2))/(LN(2)/2)*AQ80*AT80*VLOOKUP('Données projet'!$B$10,Paramètres!$A$1:$I$89,3,0)*0.475*44/12</f>
        <v>3.6724559341022665E-6</v>
      </c>
      <c r="AX80" s="23">
        <f t="shared" si="60"/>
        <v>32.961172357361392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1.1368683772161603E-13</v>
      </c>
      <c r="BE80" s="14">
        <f>BD80*VLOOKUP('Données projet'!$B$11,Paramètres!$A$1:$I$89,3,0)*VLOOKUP('Données projet'!$B$11,Paramètres!$A$1:$I$89,5,0)</f>
        <v>6.7984728957526396E-14</v>
      </c>
      <c r="BF80" s="14">
        <f t="shared" si="91"/>
        <v>1.0682447123141398E-12</v>
      </c>
      <c r="BG80" s="22">
        <f t="shared" si="61"/>
        <v>1.978932943548152E-12</v>
      </c>
      <c r="BH80" s="62">
        <f t="shared" si="62"/>
        <v>259.22807727880354</v>
      </c>
      <c r="BI80" s="62">
        <f ca="1">AVERAGE(OFFSET($BH$3,0,0,'Données projet'!$E$11+1,1))-AVERAGE(OFFSET($H$3,0,0,'Données projet'!$E$11+1,1))</f>
        <v>197.85998851681552</v>
      </c>
      <c r="BJ80" s="62">
        <f t="shared" si="92"/>
        <v>474.54844785896239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21.020991404953048</v>
      </c>
      <c r="BQ80" s="23">
        <f>EXP(-LN(2)/25)*BQ79+(1-EXP(-LN(2)/25))/(LN(2)/25)*Calculateur!BL80*Calculateur!BN80*VLOOKUP('Données projet'!$B$11,Paramètres!$A$1:$I$89,3,0)*0.475*44/12</f>
        <v>11.940177279952412</v>
      </c>
      <c r="BR80" s="23">
        <f>EXP(-LN(2)/2)*BR79+(1-EXP(-LN(2)/2))/(LN(2)/2)*BL80*BO80*VLOOKUP('Données projet'!$B$11,Paramètres!$A$1:$I$89,3,0)*0.475*44/12</f>
        <v>3.6724559341022665E-6</v>
      </c>
      <c r="BS80" s="24">
        <f t="shared" si="63"/>
        <v>32.961172357361392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>
        <f>BY80*VLOOKUP('Données projet'!$B$12,Paramètres!$A$1:$I$89,3,0)*VLOOKUP('Données projet'!$B$12,Paramètres!$A$1:$I$89,5,0)</f>
        <v>0</v>
      </c>
      <c r="CA80" s="14" t="e">
        <f t="shared" si="93"/>
        <v>#NUM!</v>
      </c>
      <c r="CB80" s="22" t="e">
        <f t="shared" si="64"/>
        <v>#NUM!</v>
      </c>
      <c r="CC80" s="62" t="e">
        <f t="shared" si="65"/>
        <v>#NUM!</v>
      </c>
      <c r="CD80" s="62">
        <f ca="1">AVERAGE(OFFSET($CC$3,0,0,'Données projet'!$E$12+1,1))-AVERAGE(OFFSET($H$3,0,0,'Données projet'!$E$12+1,1))</f>
        <v>72.97248599808384</v>
      </c>
      <c r="CE80" s="62">
        <f t="shared" si="94"/>
        <v>346.88163654003574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22.912711917443264</v>
      </c>
      <c r="CL80" s="23">
        <f>EXP(-LN(2)/25)*CL79+(1-EXP(-LN(2)/25))/(LN(2)/25)*Calculateur!CG80*Calculateur!CI80*VLOOKUP('Données projet'!$B$12,Paramètres!$A$1:$I$89,3,0)*0.475*44/12</f>
        <v>3.5471746886087638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26.459886606052027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>
        <f>CT80*VLOOKUP('Données projet'!$B$13,Paramètres!$A$1:$I$89,3,0)*VLOOKUP('Données projet'!$B$13,Paramètres!$A$1:$I$89,5,0)</f>
        <v>0</v>
      </c>
      <c r="CV80" s="14" t="e">
        <f t="shared" si="95"/>
        <v>#NUM!</v>
      </c>
      <c r="CW80" s="22" t="e">
        <f t="shared" si="67"/>
        <v>#NUM!</v>
      </c>
      <c r="CX80" s="62" t="e">
        <f t="shared" si="68"/>
        <v>#NUM!</v>
      </c>
      <c r="CY80" s="62">
        <f ca="1">AVERAGE(OFFSET($CX$3,0,0,'Données projet'!$E$13+1,1))-AVERAGE(OFFSET($H$3,0,0,'Données projet'!$E$13+1,1))</f>
        <v>67.303283896086128</v>
      </c>
      <c r="CZ80" s="62">
        <f t="shared" si="96"/>
        <v>318.97925671653547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20.806529484920631</v>
      </c>
      <c r="DG80" s="23">
        <f>EXP(-LN(2)/25)*DG79+(1-EXP(-LN(2)/25))/(LN(2)/25)*Calculateur!DB80*Calculateur!DD80*VLOOKUP('Données projet'!$B$13,Paramètres!$A$1:$I$89,3,0)*0.475*44/12</f>
        <v>3.2211112771210479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24.027640762041678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>
        <f>DO80*VLOOKUP('Données projet'!$B$14,Paramètres!$A$1:$I$89,3,0)*VLOOKUP('Données projet'!$B$14,Paramètres!$A$1:$I$89,5,0)</f>
        <v>0</v>
      </c>
      <c r="DQ80" s="14" t="e">
        <f t="shared" si="97"/>
        <v>#NUM!</v>
      </c>
      <c r="DR80" s="22" t="e">
        <f t="shared" si="70"/>
        <v>#NUM!</v>
      </c>
      <c r="DS80" s="62" t="e">
        <f t="shared" si="71"/>
        <v>#NUM!</v>
      </c>
      <c r="DT80" s="62">
        <f ca="1">AVERAGE(OFFSET($DS$3,0,0,'Données projet'!$E$14+1,1))-AVERAGE(OFFSET($H$3,0,0,'Données projet'!$E$14+1,1))</f>
        <v>75.244137291704476</v>
      </c>
      <c r="DU80" s="62">
        <f t="shared" si="98"/>
        <v>366.065475656937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24.363250782816959</v>
      </c>
      <c r="EB80" s="23">
        <f>EXP(-LN(2)/25)*EB79+(1-EXP(-LN(2)/25))/(LN(2)/25)*Calculateur!DW80*Calculateur!DY80*VLOOKUP('Données projet'!$B$14,Paramètres!$A$1:$I$89,3,0)*0.475*44/12</f>
        <v>3.7717362667683467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28.134987049585305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6</v>
      </c>
      <c r="EJ80" s="13">
        <f>IF('Données projet'!$A$192&gt;35,EJ79+EI80-ER79,IF(A80&lt;'Données projet'!$A$192,$EG$205^A80,IF(A80='Données projet'!$A$192,'Données projet'!$B$192,EJ79+EI80-ER79)))</f>
        <v>244.00000000000011</v>
      </c>
      <c r="EK80" s="18">
        <f>EJ80*VLOOKUP('Données projet'!$B$15,Paramètres!$A$1:$I$89,3,0)*VLOOKUP('Données projet'!$B$15,Paramètres!$A$1:$I$89,5,0)</f>
        <v>235.99680000000009</v>
      </c>
      <c r="EL80" s="14">
        <f t="shared" si="99"/>
        <v>57.577381127598372</v>
      </c>
      <c r="EM80" s="22">
        <f t="shared" si="73"/>
        <v>511.30836546390066</v>
      </c>
      <c r="EN80" s="62">
        <f t="shared" si="74"/>
        <v>770.53644274270221</v>
      </c>
      <c r="EO80" s="62">
        <f ca="1">AVERAGE(OFFSET($EN$3,0,0,'Données projet'!$E$15+1,1))-AVERAGE(OFFSET($H$3,0,0,'Données projet'!$E$15+1,1))</f>
        <v>452.74627739105745</v>
      </c>
      <c r="EP80" s="62">
        <f t="shared" si="100"/>
        <v>281.80695725575106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6</v>
      </c>
      <c r="FE80" s="13">
        <f>IF('Données projet'!$A$218&gt;35,FE79+FD80-FM79,IF(A80&lt;'Données projet'!$A$218,$FB$205^A80,IF(A80='Données projet'!$A$218,'Données projet'!$B$218,FE79+FD80-FM79)))</f>
        <v>244.00000000000011</v>
      </c>
      <c r="FF80" s="18">
        <f>FE80*VLOOKUP('Données projet'!$B$16,Paramètres!$A$1:$I$89,3,0)*VLOOKUP('Données projet'!$B$16,Paramètres!$A$1:$I$89,5,0)</f>
        <v>262.6416000000001</v>
      </c>
      <c r="FG80" s="14">
        <f t="shared" si="101"/>
        <v>63.285128621471998</v>
      </c>
      <c r="FH80" s="22">
        <f t="shared" si="76"/>
        <v>567.6557190157306</v>
      </c>
      <c r="FI80" s="62">
        <f t="shared" si="77"/>
        <v>826.8837962945322</v>
      </c>
      <c r="FJ80" s="62">
        <f ca="1">AVERAGE(OFFSET($FI$3,0,0,'Données projet'!$E$16+1,1))-AVERAGE(OFFSET($H$3,0,0,'Données projet'!$E$16+1,1))</f>
        <v>492.72391755143508</v>
      </c>
      <c r="FK80" s="62">
        <f t="shared" si="102"/>
        <v>304.88554179994355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60.698566530582234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143.77000000000001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-5.6843418860808015E-14</v>
      </c>
      <c r="O81" s="14">
        <f>N81*VLOOKUP('Données projet'!$B$9,Paramètres!$A$1:$I$89,3,0)*VLOOKUP('Données projet'!$B$9,Paramètres!$A$1:$I$89,5,0)</f>
        <v>-5.1431925385259088E-14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388.8309693898596</v>
      </c>
      <c r="T81" s="62">
        <f t="shared" si="88"/>
        <v>549.06702041234382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4.0911312064444472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4.0911312064444472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>
        <f>AI81*VLOOKUP('Données projet'!$B$10,Paramètres!$A$1:$I$89,3,0)*VLOOKUP('Données projet'!$B$10,Paramètres!$A$1:$I$89,5,0)</f>
        <v>6.7984728957526396E-14</v>
      </c>
      <c r="AK81" s="14">
        <f t="shared" si="89"/>
        <v>1.0682447123141398E-12</v>
      </c>
      <c r="AL81" s="22">
        <f t="shared" si="58"/>
        <v>1.978932943548152E-12</v>
      </c>
      <c r="AM81" s="62">
        <f t="shared" si="59"/>
        <v>259.81972722341987</v>
      </c>
      <c r="AN81" s="62">
        <f ca="1">AVERAGE(OFFSET($AM$3,0,0,'Données projet'!$E$10+1,1))-AVERAGE(OFFSET($H$3,0,0,'Données projet'!$E$10+1,1))</f>
        <v>197.85998851681552</v>
      </c>
      <c r="AO81" s="62">
        <f t="shared" si="90"/>
        <v>474.54844785896239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20.608782585040654</v>
      </c>
      <c r="AV81" s="23">
        <f>EXP(-LN(2)/25)*AV80+(1-EXP(-LN(2)/25))/(LN(2)/25)*Calculateur!AQ81*Calculateur!AS81*VLOOKUP('Données projet'!$B$10,Paramètres!$A$1:$I$89,3,0)*0.475*44/12</f>
        <v>11.61367250432548</v>
      </c>
      <c r="AW81" s="23">
        <f>EXP(-LN(2)/2)*AW80+(1-EXP(-LN(2)/2))/(LN(2)/2)*AQ81*AT81*VLOOKUP('Données projet'!$B$10,Paramètres!$A$1:$I$89,3,0)*0.475*44/12</f>
        <v>2.5968184946124898E-6</v>
      </c>
      <c r="AX81" s="23">
        <f t="shared" si="60"/>
        <v>32.222457686184633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1.1368683772161603E-13</v>
      </c>
      <c r="BE81" s="14">
        <f>BD81*VLOOKUP('Données projet'!$B$11,Paramètres!$A$1:$I$89,3,0)*VLOOKUP('Données projet'!$B$11,Paramètres!$A$1:$I$89,5,0)</f>
        <v>6.7984728957526396E-14</v>
      </c>
      <c r="BF81" s="14">
        <f t="shared" si="91"/>
        <v>1.0682447123141398E-12</v>
      </c>
      <c r="BG81" s="22">
        <f t="shared" si="61"/>
        <v>1.978932943548152E-12</v>
      </c>
      <c r="BH81" s="62">
        <f t="shared" si="62"/>
        <v>259.81972722341987</v>
      </c>
      <c r="BI81" s="62">
        <f ca="1">AVERAGE(OFFSET($BH$3,0,0,'Données projet'!$E$11+1,1))-AVERAGE(OFFSET($H$3,0,0,'Données projet'!$E$11+1,1))</f>
        <v>197.85998851681552</v>
      </c>
      <c r="BJ81" s="62">
        <f t="shared" si="92"/>
        <v>474.54844785896239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20.608782585040654</v>
      </c>
      <c r="BQ81" s="23">
        <f>EXP(-LN(2)/25)*BQ80+(1-EXP(-LN(2)/25))/(LN(2)/25)*Calculateur!BL81*Calculateur!BN81*VLOOKUP('Données projet'!$B$11,Paramètres!$A$1:$I$89,3,0)*0.475*44/12</f>
        <v>11.61367250432548</v>
      </c>
      <c r="BR81" s="23">
        <f>EXP(-LN(2)/2)*BR80+(1-EXP(-LN(2)/2))/(LN(2)/2)*BL81*BO81*VLOOKUP('Données projet'!$B$11,Paramètres!$A$1:$I$89,3,0)*0.475*44/12</f>
        <v>2.5968184946124898E-6</v>
      </c>
      <c r="BS81" s="24">
        <f t="shared" si="63"/>
        <v>32.222457686184633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>
        <f>BY81*VLOOKUP('Données projet'!$B$12,Paramètres!$A$1:$I$89,3,0)*VLOOKUP('Données projet'!$B$12,Paramètres!$A$1:$I$89,5,0)</f>
        <v>0</v>
      </c>
      <c r="CA81" s="14" t="e">
        <f t="shared" si="93"/>
        <v>#NUM!</v>
      </c>
      <c r="CB81" s="22" t="e">
        <f t="shared" si="64"/>
        <v>#NUM!</v>
      </c>
      <c r="CC81" s="62" t="e">
        <f t="shared" si="65"/>
        <v>#NUM!</v>
      </c>
      <c r="CD81" s="62">
        <f ca="1">AVERAGE(OFFSET($CC$3,0,0,'Données projet'!$E$12+1,1))-AVERAGE(OFFSET($H$3,0,0,'Données projet'!$E$12+1,1))</f>
        <v>72.97248599808384</v>
      </c>
      <c r="CE81" s="62">
        <f t="shared" si="94"/>
        <v>346.88163654003574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22.463407612116519</v>
      </c>
      <c r="CL81" s="23">
        <f>EXP(-LN(2)/25)*CL80+(1-EXP(-LN(2)/25))/(LN(2)/25)*Calculateur!CG81*Calculateur!CI81*VLOOKUP('Données projet'!$B$12,Paramètres!$A$1:$I$89,3,0)*0.475*44/12</f>
        <v>3.4501770102109477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25.913584622327466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>
        <f>CT81*VLOOKUP('Données projet'!$B$13,Paramètres!$A$1:$I$89,3,0)*VLOOKUP('Données projet'!$B$13,Paramètres!$A$1:$I$89,5,0)</f>
        <v>0</v>
      </c>
      <c r="CV81" s="14" t="e">
        <f t="shared" si="95"/>
        <v>#NUM!</v>
      </c>
      <c r="CW81" s="22" t="e">
        <f t="shared" si="67"/>
        <v>#NUM!</v>
      </c>
      <c r="CX81" s="62" t="e">
        <f t="shared" si="68"/>
        <v>#NUM!</v>
      </c>
      <c r="CY81" s="62">
        <f ca="1">AVERAGE(OFFSET($CX$3,0,0,'Données projet'!$E$13+1,1))-AVERAGE(OFFSET($H$3,0,0,'Données projet'!$E$13+1,1))</f>
        <v>67.303283896086128</v>
      </c>
      <c r="CZ81" s="62">
        <f t="shared" si="96"/>
        <v>318.97925671653547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20.398526132451217</v>
      </c>
      <c r="DG81" s="23">
        <f>EXP(-LN(2)/25)*DG80+(1-EXP(-LN(2)/25))/(LN(2)/25)*Calculateur!DB81*Calculateur!DD81*VLOOKUP('Données projet'!$B$13,Paramètres!$A$1:$I$89,3,0)*0.475*44/12</f>
        <v>3.1330298198572928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23.531555952308508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>
        <f>DO81*VLOOKUP('Données projet'!$B$14,Paramètres!$A$1:$I$89,3,0)*VLOOKUP('Données projet'!$B$14,Paramètres!$A$1:$I$89,5,0)</f>
        <v>0</v>
      </c>
      <c r="DQ81" s="14" t="e">
        <f t="shared" si="97"/>
        <v>#NUM!</v>
      </c>
      <c r="DR81" s="22" t="e">
        <f t="shared" si="70"/>
        <v>#NUM!</v>
      </c>
      <c r="DS81" s="62" t="e">
        <f t="shared" si="71"/>
        <v>#NUM!</v>
      </c>
      <c r="DT81" s="62">
        <f ca="1">AVERAGE(OFFSET($DS$3,0,0,'Données projet'!$E$14+1,1))-AVERAGE(OFFSET($H$3,0,0,'Données projet'!$E$14+1,1))</f>
        <v>75.244137291704476</v>
      </c>
      <c r="DU81" s="62">
        <f t="shared" si="98"/>
        <v>366.065475656937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23.885502295081579</v>
      </c>
      <c r="EB81" s="23">
        <f>EXP(-LN(2)/25)*EB80+(1-EXP(-LN(2)/25))/(LN(2)/25)*Calculateur!DW81*Calculateur!DY81*VLOOKUP('Données projet'!$B$14,Paramètres!$A$1:$I$89,3,0)*0.475*44/12</f>
        <v>3.6685979402065763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27.554100235288157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6</v>
      </c>
      <c r="EJ81" s="13">
        <f>IF('Données projet'!$A$192&gt;35,EJ80+EI81-ER80,IF(A81&lt;'Données projet'!$A$192,$EG$205^A81,IF(A81='Données projet'!$A$192,'Données projet'!$B$192,EJ80+EI81-ER80)))</f>
        <v>250.00000000000011</v>
      </c>
      <c r="EK81" s="18">
        <f>EJ81*VLOOKUP('Données projet'!$B$15,Paramètres!$A$1:$I$89,3,0)*VLOOKUP('Données projet'!$B$15,Paramètres!$A$1:$I$89,5,0)</f>
        <v>241.8000000000001</v>
      </c>
      <c r="EL81" s="14">
        <f t="shared" si="99"/>
        <v>58.826640673484889</v>
      </c>
      <c r="EM81" s="22">
        <f t="shared" si="73"/>
        <v>523.59139917298626</v>
      </c>
      <c r="EN81" s="62">
        <f t="shared" si="74"/>
        <v>783.41112639640414</v>
      </c>
      <c r="EO81" s="62">
        <f ca="1">AVERAGE(OFFSET($EN$3,0,0,'Données projet'!$E$15+1,1))-AVERAGE(OFFSET($H$3,0,0,'Données projet'!$E$15+1,1))</f>
        <v>452.74627739105745</v>
      </c>
      <c r="EP81" s="62">
        <f t="shared" si="100"/>
        <v>281.80695725575106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6</v>
      </c>
      <c r="FE81" s="13">
        <f>IF('Données projet'!$A$218&gt;35,FE80+FD81-FM80,IF(A81&lt;'Données projet'!$A$218,$FB$205^A81,IF(A81='Données projet'!$A$218,'Données projet'!$B$218,FE80+FD81-FM80)))</f>
        <v>250.00000000000011</v>
      </c>
      <c r="FF81" s="18">
        <f>FE81*VLOOKUP('Données projet'!$B$16,Paramètres!$A$1:$I$89,3,0)*VLOOKUP('Données projet'!$B$16,Paramètres!$A$1:$I$89,5,0)</f>
        <v>269.10000000000008</v>
      </c>
      <c r="FG81" s="14">
        <f t="shared" si="101"/>
        <v>64.658229472790993</v>
      </c>
      <c r="FH81" s="22">
        <f t="shared" si="76"/>
        <v>581.29558299844439</v>
      </c>
      <c r="FI81" s="62">
        <f t="shared" si="77"/>
        <v>841.11531022186227</v>
      </c>
      <c r="FJ81" s="62">
        <f ca="1">AVERAGE(OFFSET($FI$3,0,0,'Données projet'!$E$16+1,1))-AVERAGE(OFFSET($H$3,0,0,'Données projet'!$E$16+1,1))</f>
        <v>492.72391755143508</v>
      </c>
      <c r="FK81" s="62">
        <f t="shared" si="102"/>
        <v>304.88554179994355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60.859925606386703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143.77000000000001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-5.6843418860808015E-14</v>
      </c>
      <c r="O82" s="14">
        <f>N82*VLOOKUP('Données projet'!$B$9,Paramètres!$A$1:$I$89,3,0)*VLOOKUP('Données projet'!$B$9,Paramètres!$A$1:$I$89,5,0)</f>
        <v>-5.1431925385259088E-14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388.8309693898596</v>
      </c>
      <c r="T82" s="62">
        <f t="shared" si="88"/>
        <v>549.06702041234382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4.0109066188297131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4.0109066188297131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>
        <f>AI82*VLOOKUP('Données projet'!$B$10,Paramètres!$A$1:$I$89,3,0)*VLOOKUP('Données projet'!$B$10,Paramètres!$A$1:$I$89,5,0)</f>
        <v>6.7984728957526396E-14</v>
      </c>
      <c r="AK82" s="14">
        <f t="shared" si="89"/>
        <v>1.0682447123141398E-12</v>
      </c>
      <c r="AL82" s="22">
        <f t="shared" si="58"/>
        <v>1.978932943548152E-12</v>
      </c>
      <c r="AM82" s="62">
        <f t="shared" si="59"/>
        <v>260.40111336422825</v>
      </c>
      <c r="AN82" s="62">
        <f ca="1">AVERAGE(OFFSET($AM$3,0,0,'Données projet'!$E$10+1,1))-AVERAGE(OFFSET($H$3,0,0,'Données projet'!$E$10+1,1))</f>
        <v>197.85998851681552</v>
      </c>
      <c r="AO82" s="62">
        <f t="shared" si="90"/>
        <v>474.54844785896239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20.204656928664189</v>
      </c>
      <c r="AV82" s="23">
        <f>EXP(-LN(2)/25)*AV81+(1-EXP(-LN(2)/25))/(LN(2)/25)*Calculateur!AQ82*Calculateur!AS82*VLOOKUP('Données projet'!$B$10,Paramètres!$A$1:$I$89,3,0)*0.475*44/12</f>
        <v>11.296096018958206</v>
      </c>
      <c r="AW82" s="23">
        <f>EXP(-LN(2)/2)*AW81+(1-EXP(-LN(2)/2))/(LN(2)/2)*AQ82*AT82*VLOOKUP('Données projet'!$B$10,Paramètres!$A$1:$I$89,3,0)*0.475*44/12</f>
        <v>1.8362279670511337E-6</v>
      </c>
      <c r="AX82" s="23">
        <f t="shared" si="60"/>
        <v>31.500754783850361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1.1368683772161603E-13</v>
      </c>
      <c r="BE82" s="14">
        <f>BD82*VLOOKUP('Données projet'!$B$11,Paramètres!$A$1:$I$89,3,0)*VLOOKUP('Données projet'!$B$11,Paramètres!$A$1:$I$89,5,0)</f>
        <v>6.7984728957526396E-14</v>
      </c>
      <c r="BF82" s="14">
        <f t="shared" si="91"/>
        <v>1.0682447123141398E-12</v>
      </c>
      <c r="BG82" s="22">
        <f t="shared" si="61"/>
        <v>1.978932943548152E-12</v>
      </c>
      <c r="BH82" s="62">
        <f t="shared" si="62"/>
        <v>260.40111336422825</v>
      </c>
      <c r="BI82" s="62">
        <f ca="1">AVERAGE(OFFSET($BH$3,0,0,'Données projet'!$E$11+1,1))-AVERAGE(OFFSET($H$3,0,0,'Données projet'!$E$11+1,1))</f>
        <v>197.85998851681552</v>
      </c>
      <c r="BJ82" s="62">
        <f t="shared" si="92"/>
        <v>474.54844785896239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20.204656928664189</v>
      </c>
      <c r="BQ82" s="23">
        <f>EXP(-LN(2)/25)*BQ81+(1-EXP(-LN(2)/25))/(LN(2)/25)*Calculateur!BL82*Calculateur!BN82*VLOOKUP('Données projet'!$B$11,Paramètres!$A$1:$I$89,3,0)*0.475*44/12</f>
        <v>11.296096018958206</v>
      </c>
      <c r="BR82" s="23">
        <f>EXP(-LN(2)/2)*BR81+(1-EXP(-LN(2)/2))/(LN(2)/2)*BL82*BO82*VLOOKUP('Données projet'!$B$11,Paramètres!$A$1:$I$89,3,0)*0.475*44/12</f>
        <v>1.8362279670511337E-6</v>
      </c>
      <c r="BS82" s="24">
        <f t="shared" si="63"/>
        <v>31.500754783850361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>
        <f>BY82*VLOOKUP('Données projet'!$B$12,Paramètres!$A$1:$I$89,3,0)*VLOOKUP('Données projet'!$B$12,Paramètres!$A$1:$I$89,5,0)</f>
        <v>0</v>
      </c>
      <c r="CA82" s="14" t="e">
        <f t="shared" si="93"/>
        <v>#NUM!</v>
      </c>
      <c r="CB82" s="22" t="e">
        <f t="shared" si="64"/>
        <v>#NUM!</v>
      </c>
      <c r="CC82" s="62" t="e">
        <f t="shared" si="65"/>
        <v>#NUM!</v>
      </c>
      <c r="CD82" s="62">
        <f ca="1">AVERAGE(OFFSET($CC$3,0,0,'Données projet'!$E$12+1,1))-AVERAGE(OFFSET($H$3,0,0,'Données projet'!$E$12+1,1))</f>
        <v>72.97248599808384</v>
      </c>
      <c r="CE82" s="62">
        <f t="shared" si="94"/>
        <v>346.88163654003574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22.022913890168663</v>
      </c>
      <c r="CL82" s="23">
        <f>EXP(-LN(2)/25)*CL81+(1-EXP(-LN(2)/25))/(LN(2)/25)*Calculateur!CG82*Calculateur!CI82*VLOOKUP('Données projet'!$B$12,Paramètres!$A$1:$I$89,3,0)*0.475*44/12</f>
        <v>3.355831738429806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25.37874562859847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>
        <f>CT82*VLOOKUP('Données projet'!$B$13,Paramètres!$A$1:$I$89,3,0)*VLOOKUP('Données projet'!$B$13,Paramètres!$A$1:$I$89,5,0)</f>
        <v>0</v>
      </c>
      <c r="CV82" s="14" t="e">
        <f t="shared" si="95"/>
        <v>#NUM!</v>
      </c>
      <c r="CW82" s="22" t="e">
        <f t="shared" si="67"/>
        <v>#NUM!</v>
      </c>
      <c r="CX82" s="62" t="e">
        <f t="shared" si="68"/>
        <v>#NUM!</v>
      </c>
      <c r="CY82" s="62">
        <f ca="1">AVERAGE(OFFSET($CX$3,0,0,'Données projet'!$E$13+1,1))-AVERAGE(OFFSET($H$3,0,0,'Données projet'!$E$13+1,1))</f>
        <v>67.303283896086128</v>
      </c>
      <c r="CZ82" s="62">
        <f t="shared" si="96"/>
        <v>318.97925671653547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19.998523476866257</v>
      </c>
      <c r="DG82" s="23">
        <f>EXP(-LN(2)/25)*DG81+(1-EXP(-LN(2)/25))/(LN(2)/25)*Calculateur!DB82*Calculateur!DD82*VLOOKUP('Données projet'!$B$13,Paramètres!$A$1:$I$89,3,0)*0.475*44/12</f>
        <v>3.0473569546744175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23.045880431540674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>
        <f>DO82*VLOOKUP('Données projet'!$B$14,Paramètres!$A$1:$I$89,3,0)*VLOOKUP('Données projet'!$B$14,Paramètres!$A$1:$I$89,5,0)</f>
        <v>0</v>
      </c>
      <c r="DQ82" s="14" t="e">
        <f t="shared" si="97"/>
        <v>#NUM!</v>
      </c>
      <c r="DR82" s="22" t="e">
        <f t="shared" si="70"/>
        <v>#NUM!</v>
      </c>
      <c r="DS82" s="62" t="e">
        <f t="shared" si="71"/>
        <v>#NUM!</v>
      </c>
      <c r="DT82" s="62">
        <f ca="1">AVERAGE(OFFSET($DS$3,0,0,'Données projet'!$E$14+1,1))-AVERAGE(OFFSET($H$3,0,0,'Données projet'!$E$14+1,1))</f>
        <v>75.244137291704476</v>
      </c>
      <c r="DU82" s="62">
        <f t="shared" si="98"/>
        <v>366.065475656937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23.417122163792889</v>
      </c>
      <c r="EB82" s="23">
        <f>EXP(-LN(2)/25)*EB81+(1-EXP(-LN(2)/25))/(LN(2)/25)*Calculateur!DW82*Calculateur!DY82*VLOOKUP('Données projet'!$B$14,Paramètres!$A$1:$I$89,3,0)*0.475*44/12</f>
        <v>3.5682799366084463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26.985402100401338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6</v>
      </c>
      <c r="EJ82" s="13">
        <f>IF('Données projet'!$A$192&gt;35,EJ81+EI82-ER81,IF(A82&lt;'Données projet'!$A$192,$EG$205^A82,IF(A82='Données projet'!$A$192,'Données projet'!$B$192,EJ81+EI82-ER81)))</f>
        <v>256.00000000000011</v>
      </c>
      <c r="EK82" s="18">
        <f>EJ82*VLOOKUP('Données projet'!$B$15,Paramètres!$A$1:$I$89,3,0)*VLOOKUP('Données projet'!$B$15,Paramètres!$A$1:$I$89,5,0)</f>
        <v>247.6032000000001</v>
      </c>
      <c r="EL82" s="14">
        <f t="shared" si="99"/>
        <v>60.072414804475414</v>
      </c>
      <c r="EM82" s="22">
        <f t="shared" si="73"/>
        <v>535.86836245112806</v>
      </c>
      <c r="EN82" s="62">
        <f t="shared" si="74"/>
        <v>796.26947581535433</v>
      </c>
      <c r="EO82" s="62">
        <f ca="1">AVERAGE(OFFSET($EN$3,0,0,'Données projet'!$E$15+1,1))-AVERAGE(OFFSET($H$3,0,0,'Données projet'!$E$15+1,1))</f>
        <v>452.74627739105745</v>
      </c>
      <c r="EP82" s="62">
        <f t="shared" si="100"/>
        <v>281.80695725575106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6</v>
      </c>
      <c r="FE82" s="13">
        <f>IF('Données projet'!$A$218&gt;35,FE81+FD82-FM81,IF(A82&lt;'Données projet'!$A$218,$FB$205^A82,IF(A82='Données projet'!$A$218,'Données projet'!$B$218,FE81+FD82-FM81)))</f>
        <v>256.00000000000011</v>
      </c>
      <c r="FF82" s="18">
        <f>FE82*VLOOKUP('Données projet'!$B$16,Paramètres!$A$1:$I$89,3,0)*VLOOKUP('Données projet'!$B$16,Paramètres!$A$1:$I$89,5,0)</f>
        <v>275.55840000000012</v>
      </c>
      <c r="FG82" s="14">
        <f t="shared" si="101"/>
        <v>66.027499393879069</v>
      </c>
      <c r="FH82" s="22">
        <f t="shared" si="76"/>
        <v>594.92877477767286</v>
      </c>
      <c r="FI82" s="62">
        <f t="shared" si="77"/>
        <v>855.32988814189912</v>
      </c>
      <c r="FJ82" s="62">
        <f ca="1">AVERAGE(OFFSET($FI$3,0,0,'Données projet'!$E$16+1,1))-AVERAGE(OFFSET($H$3,0,0,'Données projet'!$E$16+1,1))</f>
        <v>492.72391755143508</v>
      </c>
      <c r="FK82" s="62">
        <f t="shared" si="102"/>
        <v>304.88554179994355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61.018485462970801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143.77000000000001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-5.6843418860808015E-14</v>
      </c>
      <c r="O83" s="14">
        <f>N83*VLOOKUP('Données projet'!$B$9,Paramètres!$A$1:$I$89,3,0)*VLOOKUP('Données projet'!$B$9,Paramètres!$A$1:$I$89,5,0)</f>
        <v>-5.1431925385259088E-14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388.8309693898596</v>
      </c>
      <c r="T83" s="62">
        <f t="shared" si="88"/>
        <v>549.06702041234382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3.932255186445937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3.932255186445937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>
        <f>AI83*VLOOKUP('Données projet'!$B$10,Paramètres!$A$1:$I$89,3,0)*VLOOKUP('Données projet'!$B$10,Paramètres!$A$1:$I$89,5,0)</f>
        <v>6.7984728957526396E-14</v>
      </c>
      <c r="AK83" s="14">
        <f t="shared" si="89"/>
        <v>1.0682447123141398E-12</v>
      </c>
      <c r="AL83" s="22">
        <f t="shared" si="58"/>
        <v>1.978932943548152E-12</v>
      </c>
      <c r="AM83" s="62">
        <f t="shared" si="59"/>
        <v>260.97241375527835</v>
      </c>
      <c r="AN83" s="62">
        <f ca="1">AVERAGE(OFFSET($AM$3,0,0,'Données projet'!$E$10+1,1))-AVERAGE(OFFSET($H$3,0,0,'Données projet'!$E$10+1,1))</f>
        <v>197.85998851681552</v>
      </c>
      <c r="AO83" s="62">
        <f t="shared" si="90"/>
        <v>474.54844785896239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19.808455929916953</v>
      </c>
      <c r="AV83" s="23">
        <f>EXP(-LN(2)/25)*AV82+(1-EXP(-LN(2)/25))/(LN(2)/25)*Calculateur!AQ83*Calculateur!AS83*VLOOKUP('Données projet'!$B$10,Paramètres!$A$1:$I$89,3,0)*0.475*44/12</f>
        <v>10.987203679283922</v>
      </c>
      <c r="AW83" s="23">
        <f>EXP(-LN(2)/2)*AW82+(1-EXP(-LN(2)/2))/(LN(2)/2)*AQ83*AT83*VLOOKUP('Données projet'!$B$10,Paramètres!$A$1:$I$89,3,0)*0.475*44/12</f>
        <v>1.2984092473062451E-6</v>
      </c>
      <c r="AX83" s="23">
        <f t="shared" si="60"/>
        <v>30.795660907610124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1.1368683772161603E-13</v>
      </c>
      <c r="BE83" s="14">
        <f>BD83*VLOOKUP('Données projet'!$B$11,Paramètres!$A$1:$I$89,3,0)*VLOOKUP('Données projet'!$B$11,Paramètres!$A$1:$I$89,5,0)</f>
        <v>6.7984728957526396E-14</v>
      </c>
      <c r="BF83" s="14">
        <f t="shared" si="91"/>
        <v>1.0682447123141398E-12</v>
      </c>
      <c r="BG83" s="22">
        <f t="shared" si="61"/>
        <v>1.978932943548152E-12</v>
      </c>
      <c r="BH83" s="62">
        <f t="shared" si="62"/>
        <v>260.97241375527835</v>
      </c>
      <c r="BI83" s="62">
        <f ca="1">AVERAGE(OFFSET($BH$3,0,0,'Données projet'!$E$11+1,1))-AVERAGE(OFFSET($H$3,0,0,'Données projet'!$E$11+1,1))</f>
        <v>197.85998851681552</v>
      </c>
      <c r="BJ83" s="62">
        <f t="shared" si="92"/>
        <v>474.54844785896239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19.808455929916953</v>
      </c>
      <c r="BQ83" s="23">
        <f>EXP(-LN(2)/25)*BQ82+(1-EXP(-LN(2)/25))/(LN(2)/25)*Calculateur!BL83*Calculateur!BN83*VLOOKUP('Données projet'!$B$11,Paramètres!$A$1:$I$89,3,0)*0.475*44/12</f>
        <v>10.987203679283922</v>
      </c>
      <c r="BR83" s="23">
        <f>EXP(-LN(2)/2)*BR82+(1-EXP(-LN(2)/2))/(LN(2)/2)*BL83*BO83*VLOOKUP('Données projet'!$B$11,Paramètres!$A$1:$I$89,3,0)*0.475*44/12</f>
        <v>1.2984092473062451E-6</v>
      </c>
      <c r="BS83" s="24">
        <f t="shared" si="63"/>
        <v>30.795660907610124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>
        <f>BY83*VLOOKUP('Données projet'!$B$12,Paramètres!$A$1:$I$89,3,0)*VLOOKUP('Données projet'!$B$12,Paramètres!$A$1:$I$89,5,0)</f>
        <v>0</v>
      </c>
      <c r="CA83" s="14" t="e">
        <f t="shared" si="93"/>
        <v>#NUM!</v>
      </c>
      <c r="CB83" s="22" t="e">
        <f t="shared" si="64"/>
        <v>#NUM!</v>
      </c>
      <c r="CC83" s="62" t="e">
        <f t="shared" si="65"/>
        <v>#NUM!</v>
      </c>
      <c r="CD83" s="62">
        <f ca="1">AVERAGE(OFFSET($CC$3,0,0,'Données projet'!$E$12+1,1))-AVERAGE(OFFSET($H$3,0,0,'Données projet'!$E$12+1,1))</f>
        <v>72.97248599808384</v>
      </c>
      <c r="CE83" s="62">
        <f t="shared" si="94"/>
        <v>346.88163654003574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21.591057981433565</v>
      </c>
      <c r="CL83" s="23">
        <f>EXP(-LN(2)/25)*CL82+(1-EXP(-LN(2)/25))/(LN(2)/25)*Calculateur!CG83*Calculateur!CI83*VLOOKUP('Données projet'!$B$12,Paramètres!$A$1:$I$89,3,0)*0.475*44/12</f>
        <v>3.2640663430669217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24.855124324500487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>
        <f>CT83*VLOOKUP('Données projet'!$B$13,Paramètres!$A$1:$I$89,3,0)*VLOOKUP('Données projet'!$B$13,Paramètres!$A$1:$I$89,5,0)</f>
        <v>0</v>
      </c>
      <c r="CV83" s="14" t="e">
        <f t="shared" si="95"/>
        <v>#NUM!</v>
      </c>
      <c r="CW83" s="22" t="e">
        <f t="shared" si="67"/>
        <v>#NUM!</v>
      </c>
      <c r="CX83" s="62" t="e">
        <f t="shared" si="68"/>
        <v>#NUM!</v>
      </c>
      <c r="CY83" s="62">
        <f ca="1">AVERAGE(OFFSET($CX$3,0,0,'Données projet'!$E$13+1,1))-AVERAGE(OFFSET($H$3,0,0,'Données projet'!$E$13+1,1))</f>
        <v>67.303283896086128</v>
      </c>
      <c r="CZ83" s="62">
        <f t="shared" si="96"/>
        <v>318.97925671653547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19.60636462937979</v>
      </c>
      <c r="DG83" s="23">
        <f>EXP(-LN(2)/25)*DG82+(1-EXP(-LN(2)/25))/(LN(2)/25)*Calculateur!DB83*Calculateur!DD83*VLOOKUP('Données projet'!$B$13,Paramètres!$A$1:$I$89,3,0)*0.475*44/12</f>
        <v>2.964026818495308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22.5703914478751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>
        <f>DO83*VLOOKUP('Données projet'!$B$14,Paramètres!$A$1:$I$89,3,0)*VLOOKUP('Données projet'!$B$14,Paramètres!$A$1:$I$89,5,0)</f>
        <v>0</v>
      </c>
      <c r="DQ83" s="14" t="e">
        <f t="shared" si="97"/>
        <v>#NUM!</v>
      </c>
      <c r="DR83" s="22" t="e">
        <f t="shared" si="70"/>
        <v>#NUM!</v>
      </c>
      <c r="DS83" s="62" t="e">
        <f t="shared" si="71"/>
        <v>#NUM!</v>
      </c>
      <c r="DT83" s="62">
        <f ca="1">AVERAGE(OFFSET($DS$3,0,0,'Données projet'!$E$14+1,1))-AVERAGE(OFFSET($H$3,0,0,'Données projet'!$E$14+1,1))</f>
        <v>75.244137291704476</v>
      </c>
      <c r="DU83" s="62">
        <f t="shared" si="98"/>
        <v>366.065475656937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22.957926681195097</v>
      </c>
      <c r="EB83" s="23">
        <f>EXP(-LN(2)/25)*EB82+(1-EXP(-LN(2)/25))/(LN(2)/25)*Calculateur!DW83*Calculateur!DY83*VLOOKUP('Données projet'!$B$14,Paramètres!$A$1:$I$89,3,0)*0.475*44/12</f>
        <v>3.4707051340942021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26.4286318152893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262</v>
      </c>
      <c r="EH83" s="13">
        <f>VLOOKUP(A83,'Données projet'!$A$191:$I$211,9,0)</f>
        <v>6</v>
      </c>
      <c r="EI83" s="13">
        <f t="array" ref="EI83">INDEX(EH:EH,MIN(IF(ISNUMBER(EH83:EH279),ROW(EH83:EH279),"")))</f>
        <v>6</v>
      </c>
      <c r="EJ83" s="13">
        <f>IF('Données projet'!$A$192&gt;35,EJ82+EI83-ER82,IF(A83&lt;'Données projet'!$A$192,$EG$205^A83,IF(A83='Données projet'!$A$192,'Données projet'!$B$192,EJ82+EI83-ER82)))</f>
        <v>262.00000000000011</v>
      </c>
      <c r="EK83" s="18">
        <f>EJ83*VLOOKUP('Données projet'!$B$15,Paramètres!$A$1:$I$89,3,0)*VLOOKUP('Données projet'!$B$15,Paramètres!$A$1:$I$89,5,0)</f>
        <v>253.40640000000013</v>
      </c>
      <c r="EL83" s="14">
        <f t="shared" si="99"/>
        <v>61.314794611201144</v>
      </c>
      <c r="EM83" s="22">
        <f t="shared" si="73"/>
        <v>548.13941394784217</v>
      </c>
      <c r="EN83" s="62">
        <f t="shared" si="74"/>
        <v>809.11182770311848</v>
      </c>
      <c r="EO83" s="62">
        <f ca="1">AVERAGE(OFFSET($EN$3,0,0,'Données projet'!$E$15+1,1))-AVERAGE(OFFSET($H$3,0,0,'Données projet'!$E$15+1,1))</f>
        <v>452.74627739105745</v>
      </c>
      <c r="EP83" s="62">
        <f t="shared" si="100"/>
        <v>281.80695725575106</v>
      </c>
      <c r="EQ83" s="16">
        <f>IF(ISNA(VLOOKUP(A83,'Données projet'!$A$191:$I$211,3,0)),0,VLOOKUP(A83,'Données projet'!$A$191:$I$211,3,0))</f>
        <v>12</v>
      </c>
      <c r="ER83" s="16">
        <f>IF(ISNA(VLOOKUP(A83,'Données projet'!$A$191:$I$211,4,0)),0,VLOOKUP(A83,'Données projet'!$A$191:$I$211,4,0))</f>
        <v>21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projet'!$A$217:$I$237,2,0)</f>
        <v>262</v>
      </c>
      <c r="FC83" s="13">
        <f>VLOOKUP(A83,'Données projet'!$A$217:$I$237,9,0)</f>
        <v>6</v>
      </c>
      <c r="FD83" s="13">
        <f t="array" ref="FD83">INDEX(FC:FC,MIN(IF(ISNUMBER(FC83:FC279),ROW(FC83:FC279),"")))</f>
        <v>6</v>
      </c>
      <c r="FE83" s="13">
        <f>IF('Données projet'!$A$218&gt;35,FE82+FD83-FM82,IF(A83&lt;'Données projet'!$A$218,$FB$205^A83,IF(A83='Données projet'!$A$218,'Données projet'!$B$218,FE82+FD83-FM82)))</f>
        <v>262.00000000000011</v>
      </c>
      <c r="FF83" s="18">
        <f>FE83*VLOOKUP('Données projet'!$B$16,Paramètres!$A$1:$I$89,3,0)*VLOOKUP('Données projet'!$B$16,Paramètres!$A$1:$I$89,5,0)</f>
        <v>282.0168000000001</v>
      </c>
      <c r="FG83" s="14">
        <f t="shared" si="101"/>
        <v>67.393038505342176</v>
      </c>
      <c r="FH83" s="22">
        <f t="shared" si="76"/>
        <v>608.55546873013782</v>
      </c>
      <c r="FI83" s="62">
        <f t="shared" si="77"/>
        <v>869.52788248541424</v>
      </c>
      <c r="FJ83" s="62">
        <f ca="1">AVERAGE(OFFSET($FI$3,0,0,'Données projet'!$E$16+1,1))-AVERAGE(OFFSET($H$3,0,0,'Données projet'!$E$16+1,1))</f>
        <v>492.72391755143508</v>
      </c>
      <c r="FK83" s="62">
        <f t="shared" si="102"/>
        <v>304.88554179994355</v>
      </c>
      <c r="FL83" s="16">
        <f>IF(ISNA(VLOOKUP(A83,'Données projet'!$A$217:$I$237,3,0)),0,VLOOKUP(A83,'Données projet'!$A$217:$I$237,3,0))</f>
        <v>12</v>
      </c>
      <c r="FM83" s="16">
        <f>IF(ISNA(VLOOKUP(A83,'Données projet'!$A$217:$I$237,4,0)),0,VLOOKUP(A83,'Données projet'!$A$217:$I$237,4,0))</f>
        <v>21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61.174294660529903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143.77000000000001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-5.6843418860808015E-14</v>
      </c>
      <c r="O84" s="14">
        <f>N84*VLOOKUP('Données projet'!$B$9,Paramètres!$A$1:$I$89,3,0)*VLOOKUP('Données projet'!$B$9,Paramètres!$A$1:$I$89,5,0)</f>
        <v>-5.1431925385259088E-14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388.8309693898596</v>
      </c>
      <c r="T84" s="62">
        <f t="shared" si="88"/>
        <v>549.06702041234382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3.8551460606785697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3.8551460606785697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>
        <f>AI84*VLOOKUP('Données projet'!$B$10,Paramètres!$A$1:$I$89,3,0)*VLOOKUP('Données projet'!$B$10,Paramètres!$A$1:$I$89,5,0)</f>
        <v>6.7984728957526396E-14</v>
      </c>
      <c r="AK84" s="14">
        <f t="shared" si="89"/>
        <v>1.0682447123141398E-12</v>
      </c>
      <c r="AL84" s="22">
        <f t="shared" si="58"/>
        <v>1.978932943548152E-12</v>
      </c>
      <c r="AM84" s="62">
        <f t="shared" si="59"/>
        <v>261.53380336177997</v>
      </c>
      <c r="AN84" s="62">
        <f ca="1">AVERAGE(OFFSET($AM$3,0,0,'Données projet'!$E$10+1,1))-AVERAGE(OFFSET($H$3,0,0,'Données projet'!$E$10+1,1))</f>
        <v>197.85998851681552</v>
      </c>
      <c r="AO84" s="62">
        <f t="shared" si="90"/>
        <v>474.54844785896239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19.420024191096402</v>
      </c>
      <c r="AV84" s="23">
        <f>EXP(-LN(2)/25)*AV83+(1-EXP(-LN(2)/25))/(LN(2)/25)*Calculateur!AQ84*Calculateur!AS84*VLOOKUP('Données projet'!$B$10,Paramètres!$A$1:$I$89,3,0)*0.475*44/12</f>
        <v>10.686758016881974</v>
      </c>
      <c r="AW84" s="23">
        <f>EXP(-LN(2)/2)*AW83+(1-EXP(-LN(2)/2))/(LN(2)/2)*AQ84*AT84*VLOOKUP('Données projet'!$B$10,Paramètres!$A$1:$I$89,3,0)*0.475*44/12</f>
        <v>9.1811398352556695E-7</v>
      </c>
      <c r="AX84" s="23">
        <f t="shared" si="60"/>
        <v>30.10678312609236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1.1368683772161603E-13</v>
      </c>
      <c r="BE84" s="14">
        <f>BD84*VLOOKUP('Données projet'!$B$11,Paramètres!$A$1:$I$89,3,0)*VLOOKUP('Données projet'!$B$11,Paramètres!$A$1:$I$89,5,0)</f>
        <v>6.7984728957526396E-14</v>
      </c>
      <c r="BF84" s="14">
        <f t="shared" si="91"/>
        <v>1.0682447123141398E-12</v>
      </c>
      <c r="BG84" s="22">
        <f t="shared" si="61"/>
        <v>1.978932943548152E-12</v>
      </c>
      <c r="BH84" s="62">
        <f t="shared" si="62"/>
        <v>261.53380336177997</v>
      </c>
      <c r="BI84" s="62">
        <f ca="1">AVERAGE(OFFSET($BH$3,0,0,'Données projet'!$E$11+1,1))-AVERAGE(OFFSET($H$3,0,0,'Données projet'!$E$11+1,1))</f>
        <v>197.85998851681552</v>
      </c>
      <c r="BJ84" s="62">
        <f t="shared" si="92"/>
        <v>474.54844785896239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19.420024191096402</v>
      </c>
      <c r="BQ84" s="23">
        <f>EXP(-LN(2)/25)*BQ83+(1-EXP(-LN(2)/25))/(LN(2)/25)*Calculateur!BL84*Calculateur!BN84*VLOOKUP('Données projet'!$B$11,Paramètres!$A$1:$I$89,3,0)*0.475*44/12</f>
        <v>10.686758016881974</v>
      </c>
      <c r="BR84" s="23">
        <f>EXP(-LN(2)/2)*BR83+(1-EXP(-LN(2)/2))/(LN(2)/2)*BL84*BO84*VLOOKUP('Données projet'!$B$11,Paramètres!$A$1:$I$89,3,0)*0.475*44/12</f>
        <v>9.1811398352556695E-7</v>
      </c>
      <c r="BS84" s="24">
        <f t="shared" si="63"/>
        <v>30.10678312609236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>
        <f>BY84*VLOOKUP('Données projet'!$B$12,Paramètres!$A$1:$I$89,3,0)*VLOOKUP('Données projet'!$B$12,Paramètres!$A$1:$I$89,5,0)</f>
        <v>0</v>
      </c>
      <c r="CA84" s="14" t="e">
        <f t="shared" si="93"/>
        <v>#NUM!</v>
      </c>
      <c r="CB84" s="22" t="e">
        <f t="shared" si="64"/>
        <v>#NUM!</v>
      </c>
      <c r="CC84" s="62" t="e">
        <f t="shared" si="65"/>
        <v>#NUM!</v>
      </c>
      <c r="CD84" s="62">
        <f ca="1">AVERAGE(OFFSET($CC$3,0,0,'Données projet'!$E$12+1,1))-AVERAGE(OFFSET($H$3,0,0,'Données projet'!$E$12+1,1))</f>
        <v>72.97248599808384</v>
      </c>
      <c r="CE84" s="62">
        <f t="shared" si="94"/>
        <v>346.88163654003574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21.167670503662666</v>
      </c>
      <c r="CL84" s="23">
        <f>EXP(-LN(2)/25)*CL83+(1-EXP(-LN(2)/25))/(LN(2)/25)*Calculateur!CG84*Calculateur!CI84*VLOOKUP('Données projet'!$B$12,Paramètres!$A$1:$I$89,3,0)*0.475*44/12</f>
        <v>3.1748102772659679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24.342480780928636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>
        <f>CT84*VLOOKUP('Données projet'!$B$13,Paramètres!$A$1:$I$89,3,0)*VLOOKUP('Données projet'!$B$13,Paramètres!$A$1:$I$89,5,0)</f>
        <v>0</v>
      </c>
      <c r="CV84" s="14" t="e">
        <f t="shared" si="95"/>
        <v>#NUM!</v>
      </c>
      <c r="CW84" s="22" t="e">
        <f t="shared" si="67"/>
        <v>#NUM!</v>
      </c>
      <c r="CX84" s="62" t="e">
        <f t="shared" si="68"/>
        <v>#NUM!</v>
      </c>
      <c r="CY84" s="62">
        <f ca="1">AVERAGE(OFFSET($CX$3,0,0,'Données projet'!$E$13+1,1))-AVERAGE(OFFSET($H$3,0,0,'Données projet'!$E$13+1,1))</f>
        <v>67.303283896086128</v>
      </c>
      <c r="CZ84" s="62">
        <f t="shared" si="96"/>
        <v>318.97925671653547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19.221895777699253</v>
      </c>
      <c r="DG84" s="23">
        <f>EXP(-LN(2)/25)*DG83+(1-EXP(-LN(2)/25))/(LN(2)/25)*Calculateur!DB84*Calculateur!DD84*VLOOKUP('Données projet'!$B$13,Paramètres!$A$1:$I$89,3,0)*0.475*44/12</f>
        <v>2.8829753492721579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22.10487112697141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>
        <f>DO84*VLOOKUP('Données projet'!$B$14,Paramètres!$A$1:$I$89,3,0)*VLOOKUP('Données projet'!$B$14,Paramètres!$A$1:$I$89,5,0)</f>
        <v>0</v>
      </c>
      <c r="DQ84" s="14" t="e">
        <f t="shared" si="97"/>
        <v>#NUM!</v>
      </c>
      <c r="DR84" s="22" t="e">
        <f t="shared" si="70"/>
        <v>#NUM!</v>
      </c>
      <c r="DS84" s="62" t="e">
        <f t="shared" si="71"/>
        <v>#NUM!</v>
      </c>
      <c r="DT84" s="62">
        <f ca="1">AVERAGE(OFFSET($DS$3,0,0,'Données projet'!$E$14+1,1))-AVERAGE(OFFSET($H$3,0,0,'Données projet'!$E$14+1,1))</f>
        <v>75.244137291704476</v>
      </c>
      <c r="DU84" s="62">
        <f t="shared" si="98"/>
        <v>366.065475656937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22.507735741929459</v>
      </c>
      <c r="EB84" s="23">
        <f>EXP(-LN(2)/25)*EB83+(1-EXP(-LN(2)/25))/(LN(2)/25)*Calculateur!DW84*Calculateur!DY84*VLOOKUP('Données projet'!$B$14,Paramètres!$A$1:$I$89,3,0)*0.475*44/12</f>
        <v>3.3757985196859455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25.883534261615402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5.6</v>
      </c>
      <c r="EJ84" s="13">
        <f>IF('Données projet'!$A$192&gt;35,EJ83+EI84-ER83,IF(A84&lt;'Données projet'!$A$192,$EG$205^A84,IF(A84='Données projet'!$A$192,'Données projet'!$B$192,EJ83+EI84-ER83)))</f>
        <v>246.60000000000014</v>
      </c>
      <c r="EK84" s="18">
        <f>EJ84*VLOOKUP('Données projet'!$B$15,Paramètres!$A$1:$I$89,3,0)*VLOOKUP('Données projet'!$B$15,Paramètres!$A$1:$I$89,5,0)</f>
        <v>238.51152000000013</v>
      </c>
      <c r="EL84" s="14">
        <f t="shared" si="99"/>
        <v>58.119160893939195</v>
      </c>
      <c r="EM84" s="22">
        <f t="shared" si="73"/>
        <v>516.63176922361095</v>
      </c>
      <c r="EN84" s="62">
        <f t="shared" si="74"/>
        <v>778.16557258538887</v>
      </c>
      <c r="EO84" s="62">
        <f ca="1">AVERAGE(OFFSET($EN$3,0,0,'Données projet'!$E$15+1,1))-AVERAGE(OFFSET($H$3,0,0,'Données projet'!$E$15+1,1))</f>
        <v>452.74627739105745</v>
      </c>
      <c r="EP84" s="62">
        <f t="shared" si="100"/>
        <v>281.80695725575106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5.6</v>
      </c>
      <c r="FE84" s="13">
        <f>IF('Données projet'!$A$218&gt;35,FE83+FD84-FM83,IF(A84&lt;'Données projet'!$A$218,$FB$205^A84,IF(A84='Données projet'!$A$218,'Données projet'!$B$218,FE83+FD84-FM83)))</f>
        <v>246.60000000000014</v>
      </c>
      <c r="FF84" s="18">
        <f>FE84*VLOOKUP('Données projet'!$B$16,Paramètres!$A$1:$I$89,3,0)*VLOOKUP('Données projet'!$B$16,Paramètres!$A$1:$I$89,5,0)</f>
        <v>265.44024000000013</v>
      </c>
      <c r="FG84" s="14">
        <f t="shared" si="101"/>
        <v>63.880615973031119</v>
      </c>
      <c r="FH84" s="22">
        <f t="shared" si="76"/>
        <v>573.5671574863627</v>
      </c>
      <c r="FI84" s="62">
        <f t="shared" si="77"/>
        <v>835.10096084814063</v>
      </c>
      <c r="FJ84" s="62">
        <f ca="1">AVERAGE(OFFSET($FI$3,0,0,'Données projet'!$E$16+1,1))-AVERAGE(OFFSET($H$3,0,0,'Données projet'!$E$16+1,1))</f>
        <v>492.72391755143508</v>
      </c>
      <c r="FK84" s="62">
        <f t="shared" si="102"/>
        <v>304.88554179994355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61.327400916848532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143.77000000000001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-5.6843418860808015E-14</v>
      </c>
      <c r="O85" s="14">
        <f>N85*VLOOKUP('Données projet'!$B$9,Paramètres!$A$1:$I$89,3,0)*VLOOKUP('Données projet'!$B$9,Paramètres!$A$1:$I$89,5,0)</f>
        <v>-5.1431925385259088E-14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388.8309693898596</v>
      </c>
      <c r="T85" s="62">
        <f t="shared" si="88"/>
        <v>549.06702041234382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3.7795489978355779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3.7795489978355779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>
        <f>AI85*VLOOKUP('Données projet'!$B$10,Paramètres!$A$1:$I$89,3,0)*VLOOKUP('Données projet'!$B$10,Paramètres!$A$1:$I$89,5,0)</f>
        <v>6.7984728957526396E-14</v>
      </c>
      <c r="AK85" s="14">
        <f t="shared" si="89"/>
        <v>1.0682447123141398E-12</v>
      </c>
      <c r="AL85" s="22">
        <f t="shared" si="58"/>
        <v>1.978932943548152E-12</v>
      </c>
      <c r="AM85" s="62">
        <f t="shared" si="59"/>
        <v>262.08545411368794</v>
      </c>
      <c r="AN85" s="62">
        <f ca="1">AVERAGE(OFFSET($AM$3,0,0,'Données projet'!$E$10+1,1))-AVERAGE(OFFSET($H$3,0,0,'Données projet'!$E$10+1,1))</f>
        <v>197.85998851681552</v>
      </c>
      <c r="AO85" s="62">
        <f t="shared" si="90"/>
        <v>474.54844785896239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19.039209361754157</v>
      </c>
      <c r="AV85" s="23">
        <f>EXP(-LN(2)/25)*AV84+(1-EXP(-LN(2)/25))/(LN(2)/25)*Calculateur!AQ85*Calculateur!AS85*VLOOKUP('Données projet'!$B$10,Paramètres!$A$1:$I$89,3,0)*0.475*44/12</f>
        <v>10.394528056918157</v>
      </c>
      <c r="AW85" s="23">
        <f>EXP(-LN(2)/2)*AW84+(1-EXP(-LN(2)/2))/(LN(2)/2)*AQ85*AT85*VLOOKUP('Données projet'!$B$10,Paramètres!$A$1:$I$89,3,0)*0.475*44/12</f>
        <v>6.4920462365312265E-7</v>
      </c>
      <c r="AX85" s="23">
        <f t="shared" si="60"/>
        <v>29.433738067876938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1.1368683772161603E-13</v>
      </c>
      <c r="BE85" s="14">
        <f>BD85*VLOOKUP('Données projet'!$B$11,Paramètres!$A$1:$I$89,3,0)*VLOOKUP('Données projet'!$B$11,Paramètres!$A$1:$I$89,5,0)</f>
        <v>6.7984728957526396E-14</v>
      </c>
      <c r="BF85" s="14">
        <f t="shared" si="91"/>
        <v>1.0682447123141398E-12</v>
      </c>
      <c r="BG85" s="22">
        <f t="shared" si="61"/>
        <v>1.978932943548152E-12</v>
      </c>
      <c r="BH85" s="62">
        <f t="shared" si="62"/>
        <v>262.08545411368794</v>
      </c>
      <c r="BI85" s="62">
        <f ca="1">AVERAGE(OFFSET($BH$3,0,0,'Données projet'!$E$11+1,1))-AVERAGE(OFFSET($H$3,0,0,'Données projet'!$E$11+1,1))</f>
        <v>197.85998851681552</v>
      </c>
      <c r="BJ85" s="62">
        <f t="shared" si="92"/>
        <v>474.54844785896239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19.039209361754157</v>
      </c>
      <c r="BQ85" s="23">
        <f>EXP(-LN(2)/25)*BQ84+(1-EXP(-LN(2)/25))/(LN(2)/25)*Calculateur!BL85*Calculateur!BN85*VLOOKUP('Données projet'!$B$11,Paramètres!$A$1:$I$89,3,0)*0.475*44/12</f>
        <v>10.394528056918157</v>
      </c>
      <c r="BR85" s="23">
        <f>EXP(-LN(2)/2)*BR84+(1-EXP(-LN(2)/2))/(LN(2)/2)*BL85*BO85*VLOOKUP('Données projet'!$B$11,Paramètres!$A$1:$I$89,3,0)*0.475*44/12</f>
        <v>6.4920462365312265E-7</v>
      </c>
      <c r="BS85" s="24">
        <f t="shared" si="63"/>
        <v>29.433738067876938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>
        <f>BY85*VLOOKUP('Données projet'!$B$12,Paramètres!$A$1:$I$89,3,0)*VLOOKUP('Données projet'!$B$12,Paramètres!$A$1:$I$89,5,0)</f>
        <v>0</v>
      </c>
      <c r="CA85" s="14" t="e">
        <f t="shared" si="93"/>
        <v>#NUM!</v>
      </c>
      <c r="CB85" s="22" t="e">
        <f t="shared" si="64"/>
        <v>#NUM!</v>
      </c>
      <c r="CC85" s="62" t="e">
        <f t="shared" si="65"/>
        <v>#NUM!</v>
      </c>
      <c r="CD85" s="62">
        <f ca="1">AVERAGE(OFFSET($CC$3,0,0,'Données projet'!$E$12+1,1))-AVERAGE(OFFSET($H$3,0,0,'Données projet'!$E$12+1,1))</f>
        <v>72.97248599808384</v>
      </c>
      <c r="CE85" s="62">
        <f t="shared" si="94"/>
        <v>346.88163654003574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20.752585396089994</v>
      </c>
      <c r="CL85" s="23">
        <f>EXP(-LN(2)/25)*CL84+(1-EXP(-LN(2)/25))/(LN(2)/25)*Calculateur!CG85*Calculateur!CI85*VLOOKUP('Données projet'!$B$12,Paramètres!$A$1:$I$89,3,0)*0.475*44/12</f>
        <v>3.0879949232781136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23.840580319368108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>
        <f>CT85*VLOOKUP('Données projet'!$B$13,Paramètres!$A$1:$I$89,3,0)*VLOOKUP('Données projet'!$B$13,Paramètres!$A$1:$I$89,5,0)</f>
        <v>0</v>
      </c>
      <c r="CV85" s="14" t="e">
        <f t="shared" si="95"/>
        <v>#NUM!</v>
      </c>
      <c r="CW85" s="22" t="e">
        <f t="shared" si="67"/>
        <v>#NUM!</v>
      </c>
      <c r="CX85" s="62" t="e">
        <f t="shared" si="68"/>
        <v>#NUM!</v>
      </c>
      <c r="CY85" s="62">
        <f ca="1">AVERAGE(OFFSET($CX$3,0,0,'Données projet'!$E$13+1,1))-AVERAGE(OFFSET($H$3,0,0,'Données projet'!$E$13+1,1))</f>
        <v>67.303283896086128</v>
      </c>
      <c r="CZ85" s="62">
        <f t="shared" si="96"/>
        <v>318.97925671653547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18.844966125697326</v>
      </c>
      <c r="DG85" s="23">
        <f>EXP(-LN(2)/25)*DG84+(1-EXP(-LN(2)/25))/(LN(2)/25)*Calculateur!DB85*Calculateur!DD85*VLOOKUP('Données projet'!$B$13,Paramètres!$A$1:$I$89,3,0)*0.475*44/12</f>
        <v>2.8041402367372261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21.649106362434551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>
        <f>DO85*VLOOKUP('Données projet'!$B$14,Paramètres!$A$1:$I$89,3,0)*VLOOKUP('Données projet'!$B$14,Paramètres!$A$1:$I$89,5,0)</f>
        <v>0</v>
      </c>
      <c r="DQ85" s="14" t="e">
        <f t="shared" si="97"/>
        <v>#NUM!</v>
      </c>
      <c r="DR85" s="22" t="e">
        <f t="shared" si="70"/>
        <v>#NUM!</v>
      </c>
      <c r="DS85" s="62" t="e">
        <f t="shared" si="71"/>
        <v>#NUM!</v>
      </c>
      <c r="DT85" s="62">
        <f ca="1">AVERAGE(OFFSET($DS$3,0,0,'Données projet'!$E$14+1,1))-AVERAGE(OFFSET($H$3,0,0,'Données projet'!$E$14+1,1))</f>
        <v>75.244137291704476</v>
      </c>
      <c r="DU85" s="62">
        <f t="shared" si="98"/>
        <v>366.065475656937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22.066372772393461</v>
      </c>
      <c r="EB85" s="23">
        <f>EXP(-LN(2)/25)*EB84+(1-EXP(-LN(2)/25))/(LN(2)/25)*Calculateur!DW85*Calculateur!DY85*VLOOKUP('Données projet'!$B$14,Paramètres!$A$1:$I$89,3,0)*0.475*44/12</f>
        <v>3.2834871316396046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25.349859904033064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5.6</v>
      </c>
      <c r="EJ85" s="13">
        <f>IF('Données projet'!$A$192&gt;35,EJ84+EI85-ER84,IF(A85&lt;'Données projet'!$A$192,$EG$205^A85,IF(A85='Données projet'!$A$192,'Données projet'!$B$192,EJ84+EI85-ER84)))</f>
        <v>252.20000000000013</v>
      </c>
      <c r="EK85" s="18">
        <f>EJ85*VLOOKUP('Données projet'!$B$15,Paramètres!$A$1:$I$89,3,0)*VLOOKUP('Données projet'!$B$15,Paramètres!$A$1:$I$89,5,0)</f>
        <v>243.92784000000015</v>
      </c>
      <c r="EL85" s="14">
        <f t="shared" si="99"/>
        <v>59.283824299708904</v>
      </c>
      <c r="EM85" s="22">
        <f t="shared" si="73"/>
        <v>528.09364865532655</v>
      </c>
      <c r="EN85" s="62">
        <f t="shared" si="74"/>
        <v>790.1791027690125</v>
      </c>
      <c r="EO85" s="62">
        <f ca="1">AVERAGE(OFFSET($EN$3,0,0,'Données projet'!$E$15+1,1))-AVERAGE(OFFSET($H$3,0,0,'Données projet'!$E$15+1,1))</f>
        <v>452.74627739105745</v>
      </c>
      <c r="EP85" s="62">
        <f t="shared" si="100"/>
        <v>281.80695725575106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5.6</v>
      </c>
      <c r="FE85" s="13">
        <f>IF('Données projet'!$A$218&gt;35,FE84+FD85-FM84,IF(A85&lt;'Données projet'!$A$218,$FB$205^A85,IF(A85='Données projet'!$A$218,'Données projet'!$B$218,FE84+FD85-FM84)))</f>
        <v>252.20000000000013</v>
      </c>
      <c r="FF85" s="18">
        <f>FE85*VLOOKUP('Données projet'!$B$16,Paramètres!$A$1:$I$89,3,0)*VLOOKUP('Données projet'!$B$16,Paramètres!$A$1:$I$89,5,0)</f>
        <v>271.46808000000016</v>
      </c>
      <c r="FG85" s="14">
        <f t="shared" si="101"/>
        <v>65.160734519435991</v>
      </c>
      <c r="FH85" s="22">
        <f t="shared" si="76"/>
        <v>586.29518528801793</v>
      </c>
      <c r="FI85" s="62">
        <f t="shared" si="77"/>
        <v>848.38063940170389</v>
      </c>
      <c r="FJ85" s="62">
        <f ca="1">AVERAGE(OFFSET($FI$3,0,0,'Données projet'!$E$16+1,1))-AVERAGE(OFFSET($H$3,0,0,'Données projet'!$E$16+1,1))</f>
        <v>492.72391755143508</v>
      </c>
      <c r="FK85" s="62">
        <f t="shared" si="102"/>
        <v>304.88554179994355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61.477851121914355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143.77000000000001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-5.6843418860808015E-14</v>
      </c>
      <c r="O86" s="14">
        <f>N86*VLOOKUP('Données projet'!$B$9,Paramètres!$A$1:$I$89,3,0)*VLOOKUP('Données projet'!$B$9,Paramètres!$A$1:$I$89,5,0)</f>
        <v>-5.1431925385259088E-14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388.8309693898596</v>
      </c>
      <c r="T86" s="62">
        <f t="shared" si="88"/>
        <v>549.06702041234382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3.7054343472852818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3.7054343472852818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>
        <f>AI86*VLOOKUP('Données projet'!$B$10,Paramètres!$A$1:$I$89,3,0)*VLOOKUP('Données projet'!$B$10,Paramètres!$A$1:$I$89,5,0)</f>
        <v>6.7984728957526396E-14</v>
      </c>
      <c r="AK86" s="14">
        <f t="shared" si="89"/>
        <v>1.0682447123141398E-12</v>
      </c>
      <c r="AL86" s="22">
        <f t="shared" si="58"/>
        <v>1.978932943548152E-12</v>
      </c>
      <c r="AM86" s="62">
        <f t="shared" si="59"/>
        <v>262.62753495835659</v>
      </c>
      <c r="AN86" s="62">
        <f ca="1">AVERAGE(OFFSET($AM$3,0,0,'Données projet'!$E$10+1,1))-AVERAGE(OFFSET($H$3,0,0,'Données projet'!$E$10+1,1))</f>
        <v>197.85998851681552</v>
      </c>
      <c r="AO86" s="62">
        <f t="shared" si="90"/>
        <v>474.54844785896239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18.665862078941203</v>
      </c>
      <c r="AV86" s="23">
        <f>EXP(-LN(2)/25)*AV85+(1-EXP(-LN(2)/25))/(LN(2)/25)*Calculateur!AQ86*Calculateur!AS86*VLOOKUP('Données projet'!$B$10,Paramètres!$A$1:$I$89,3,0)*0.475*44/12</f>
        <v>10.110289140577256</v>
      </c>
      <c r="AW86" s="23">
        <f>EXP(-LN(2)/2)*AW85+(1-EXP(-LN(2)/2))/(LN(2)/2)*AQ86*AT86*VLOOKUP('Données projet'!$B$10,Paramètres!$A$1:$I$89,3,0)*0.475*44/12</f>
        <v>4.5905699176278358E-7</v>
      </c>
      <c r="AX86" s="23">
        <f t="shared" si="60"/>
        <v>28.776151678575452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1.1368683772161603E-13</v>
      </c>
      <c r="BE86" s="14">
        <f>BD86*VLOOKUP('Données projet'!$B$11,Paramètres!$A$1:$I$89,3,0)*VLOOKUP('Données projet'!$B$11,Paramètres!$A$1:$I$89,5,0)</f>
        <v>6.7984728957526396E-14</v>
      </c>
      <c r="BF86" s="14">
        <f t="shared" si="91"/>
        <v>1.0682447123141398E-12</v>
      </c>
      <c r="BG86" s="22">
        <f t="shared" si="61"/>
        <v>1.978932943548152E-12</v>
      </c>
      <c r="BH86" s="62">
        <f t="shared" si="62"/>
        <v>262.62753495835659</v>
      </c>
      <c r="BI86" s="62">
        <f ca="1">AVERAGE(OFFSET($BH$3,0,0,'Données projet'!$E$11+1,1))-AVERAGE(OFFSET($H$3,0,0,'Données projet'!$E$11+1,1))</f>
        <v>197.85998851681552</v>
      </c>
      <c r="BJ86" s="62">
        <f t="shared" si="92"/>
        <v>474.54844785896239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18.665862078941203</v>
      </c>
      <c r="BQ86" s="23">
        <f>EXP(-LN(2)/25)*BQ85+(1-EXP(-LN(2)/25))/(LN(2)/25)*Calculateur!BL86*Calculateur!BN86*VLOOKUP('Données projet'!$B$11,Paramètres!$A$1:$I$89,3,0)*0.475*44/12</f>
        <v>10.110289140577256</v>
      </c>
      <c r="BR86" s="23">
        <f>EXP(-LN(2)/2)*BR85+(1-EXP(-LN(2)/2))/(LN(2)/2)*BL86*BO86*VLOOKUP('Données projet'!$B$11,Paramètres!$A$1:$I$89,3,0)*0.475*44/12</f>
        <v>4.5905699176278358E-7</v>
      </c>
      <c r="BS86" s="24">
        <f t="shared" si="63"/>
        <v>28.776151678575452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>
        <f>BY86*VLOOKUP('Données projet'!$B$12,Paramètres!$A$1:$I$89,3,0)*VLOOKUP('Données projet'!$B$12,Paramètres!$A$1:$I$89,5,0)</f>
        <v>0</v>
      </c>
      <c r="CA86" s="14" t="e">
        <f t="shared" si="93"/>
        <v>#NUM!</v>
      </c>
      <c r="CB86" s="22" t="e">
        <f t="shared" si="64"/>
        <v>#NUM!</v>
      </c>
      <c r="CC86" s="62" t="e">
        <f t="shared" si="65"/>
        <v>#NUM!</v>
      </c>
      <c r="CD86" s="62">
        <f ca="1">AVERAGE(OFFSET($CC$3,0,0,'Données projet'!$E$12+1,1))-AVERAGE(OFFSET($H$3,0,0,'Données projet'!$E$12+1,1))</f>
        <v>72.97248599808384</v>
      </c>
      <c r="CE86" s="62">
        <f t="shared" si="94"/>
        <v>346.88163654003574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20.345639854299904</v>
      </c>
      <c r="CL86" s="23">
        <f>EXP(-LN(2)/25)*CL85+(1-EXP(-LN(2)/25))/(LN(2)/25)*Calculateur!CG86*Calculateur!CI86*VLOOKUP('Données projet'!$B$12,Paramètres!$A$1:$I$89,3,0)*0.475*44/12</f>
        <v>3.0035535397104782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23.349193394010381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>
        <f>CT86*VLOOKUP('Données projet'!$B$13,Paramètres!$A$1:$I$89,3,0)*VLOOKUP('Données projet'!$B$13,Paramètres!$A$1:$I$89,5,0)</f>
        <v>0</v>
      </c>
      <c r="CV86" s="14" t="e">
        <f t="shared" si="95"/>
        <v>#NUM!</v>
      </c>
      <c r="CW86" s="22" t="e">
        <f t="shared" si="67"/>
        <v>#NUM!</v>
      </c>
      <c r="CX86" s="62" t="e">
        <f t="shared" si="68"/>
        <v>#NUM!</v>
      </c>
      <c r="CY86" s="62">
        <f ca="1">AVERAGE(OFFSET($CX$3,0,0,'Données projet'!$E$13+1,1))-AVERAGE(OFFSET($H$3,0,0,'Données projet'!$E$13+1,1))</f>
        <v>67.303283896086128</v>
      </c>
      <c r="CZ86" s="62">
        <f t="shared" si="96"/>
        <v>318.97925671653547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18.475427834266771</v>
      </c>
      <c r="DG86" s="23">
        <f>EXP(-LN(2)/25)*DG85+(1-EXP(-LN(2)/25))/(LN(2)/25)*Calculateur!DB86*Calculateur!DD86*VLOOKUP('Données projet'!$B$13,Paramètres!$A$1:$I$89,3,0)*0.475*44/12</f>
        <v>2.7274608745003204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21.202888708767091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>
        <f>DO86*VLOOKUP('Données projet'!$B$14,Paramètres!$A$1:$I$89,3,0)*VLOOKUP('Données projet'!$B$14,Paramètres!$A$1:$I$89,5,0)</f>
        <v>0</v>
      </c>
      <c r="DQ86" s="14" t="e">
        <f t="shared" si="97"/>
        <v>#NUM!</v>
      </c>
      <c r="DR86" s="22" t="e">
        <f t="shared" si="70"/>
        <v>#NUM!</v>
      </c>
      <c r="DS86" s="62" t="e">
        <f t="shared" si="71"/>
        <v>#NUM!</v>
      </c>
      <c r="DT86" s="62">
        <f ca="1">AVERAGE(OFFSET($DS$3,0,0,'Données projet'!$E$14+1,1))-AVERAGE(OFFSET($H$3,0,0,'Données projet'!$E$14+1,1))</f>
        <v>75.244137291704476</v>
      </c>
      <c r="DU86" s="62">
        <f t="shared" si="98"/>
        <v>366.065475656937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21.633664661485234</v>
      </c>
      <c r="EB86" s="23">
        <f>EXP(-LN(2)/25)*EB85+(1-EXP(-LN(2)/25))/(LN(2)/25)*Calculateur!DW86*Calculateur!DY86*VLOOKUP('Données projet'!$B$14,Paramètres!$A$1:$I$89,3,0)*0.475*44/12</f>
        <v>3.1937000033538361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24.82736466483907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5.6</v>
      </c>
      <c r="EJ86" s="13">
        <f>IF('Données projet'!$A$192&gt;35,EJ85+EI86-ER85,IF(A86&lt;'Données projet'!$A$192,$EG$205^A86,IF(A86='Données projet'!$A$192,'Données projet'!$B$192,EJ85+EI86-ER85)))</f>
        <v>257.80000000000013</v>
      </c>
      <c r="EK86" s="18">
        <f>EJ86*VLOOKUP('Données projet'!$B$15,Paramètres!$A$1:$I$89,3,0)*VLOOKUP('Données projet'!$B$15,Paramètres!$A$1:$I$89,5,0)</f>
        <v>249.34416000000013</v>
      </c>
      <c r="EL86" s="14">
        <f t="shared" si="99"/>
        <v>60.445481124150966</v>
      </c>
      <c r="EM86" s="22">
        <f t="shared" si="73"/>
        <v>539.5502916245631</v>
      </c>
      <c r="EN86" s="62">
        <f t="shared" si="74"/>
        <v>802.17782658291776</v>
      </c>
      <c r="EO86" s="62">
        <f ca="1">AVERAGE(OFFSET($EN$3,0,0,'Données projet'!$E$15+1,1))-AVERAGE(OFFSET($H$3,0,0,'Données projet'!$E$15+1,1))</f>
        <v>452.74627739105745</v>
      </c>
      <c r="EP86" s="62">
        <f t="shared" si="100"/>
        <v>281.80695725575106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5.6</v>
      </c>
      <c r="FE86" s="13">
        <f>IF('Données projet'!$A$218&gt;35,FE85+FD86-FM85,IF(A86&lt;'Données projet'!$A$218,$FB$205^A86,IF(A86='Données projet'!$A$218,'Données projet'!$B$218,FE85+FD86-FM85)))</f>
        <v>257.80000000000013</v>
      </c>
      <c r="FF86" s="18">
        <f>FE86*VLOOKUP('Données projet'!$B$16,Paramètres!$A$1:$I$89,3,0)*VLOOKUP('Données projet'!$B$16,Paramètres!$A$1:$I$89,5,0)</f>
        <v>277.49592000000013</v>
      </c>
      <c r="FG86" s="14">
        <f t="shared" si="101"/>
        <v>66.437548436795439</v>
      </c>
      <c r="FH86" s="22">
        <f t="shared" si="76"/>
        <v>599.01745752741897</v>
      </c>
      <c r="FI86" s="62">
        <f t="shared" si="77"/>
        <v>861.64499248577363</v>
      </c>
      <c r="FJ86" s="62">
        <f ca="1">AVERAGE(OFFSET($FI$3,0,0,'Données projet'!$E$16+1,1))-AVERAGE(OFFSET($H$3,0,0,'Données projet'!$E$16+1,1))</f>
        <v>492.72391755143508</v>
      </c>
      <c r="FK86" s="62">
        <f t="shared" si="102"/>
        <v>304.88554179994355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61.625691352278537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143.77000000000001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-5.6843418860808015E-14</v>
      </c>
      <c r="O87" s="14">
        <f>N87*VLOOKUP('Données projet'!$B$9,Paramètres!$A$1:$I$89,3,0)*VLOOKUP('Données projet'!$B$9,Paramètres!$A$1:$I$89,5,0)</f>
        <v>-5.1431925385259088E-14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388.8309693898596</v>
      </c>
      <c r="T87" s="62">
        <f t="shared" si="88"/>
        <v>549.06702041234382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3.6327730398268039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3.6327730398268039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>
        <f>AI87*VLOOKUP('Données projet'!$B$10,Paramètres!$A$1:$I$89,3,0)*VLOOKUP('Données projet'!$B$10,Paramètres!$A$1:$I$89,5,0)</f>
        <v>6.7984728957526396E-14</v>
      </c>
      <c r="AK87" s="14">
        <f t="shared" si="89"/>
        <v>1.0682447123141398E-12</v>
      </c>
      <c r="AL87" s="22">
        <f t="shared" si="58"/>
        <v>1.978932943548152E-12</v>
      </c>
      <c r="AM87" s="62">
        <f t="shared" si="59"/>
        <v>263.16021191228157</v>
      </c>
      <c r="AN87" s="62">
        <f ca="1">AVERAGE(OFFSET($AM$3,0,0,'Données projet'!$E$10+1,1))-AVERAGE(OFFSET($H$3,0,0,'Données projet'!$E$10+1,1))</f>
        <v>197.85998851681552</v>
      </c>
      <c r="AO87" s="62">
        <f t="shared" si="90"/>
        <v>474.54844785896239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18.299835908624853</v>
      </c>
      <c r="AV87" s="23">
        <f>EXP(-LN(2)/25)*AV86+(1-EXP(-LN(2)/25))/(LN(2)/25)*Calculateur!AQ87*Calculateur!AS87*VLOOKUP('Données projet'!$B$10,Paramètres!$A$1:$I$89,3,0)*0.475*44/12</f>
        <v>9.833822752351173</v>
      </c>
      <c r="AW87" s="23">
        <f>EXP(-LN(2)/2)*AW86+(1-EXP(-LN(2)/2))/(LN(2)/2)*AQ87*AT87*VLOOKUP('Données projet'!$B$10,Paramètres!$A$1:$I$89,3,0)*0.475*44/12</f>
        <v>3.2460231182656138E-7</v>
      </c>
      <c r="AX87" s="23">
        <f t="shared" si="60"/>
        <v>28.133658985578336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1.1368683772161603E-13</v>
      </c>
      <c r="BE87" s="14">
        <f>BD87*VLOOKUP('Données projet'!$B$11,Paramètres!$A$1:$I$89,3,0)*VLOOKUP('Données projet'!$B$11,Paramètres!$A$1:$I$89,5,0)</f>
        <v>6.7984728957526396E-14</v>
      </c>
      <c r="BF87" s="14">
        <f t="shared" si="91"/>
        <v>1.0682447123141398E-12</v>
      </c>
      <c r="BG87" s="22">
        <f t="shared" si="61"/>
        <v>1.978932943548152E-12</v>
      </c>
      <c r="BH87" s="62">
        <f t="shared" si="62"/>
        <v>263.16021191228157</v>
      </c>
      <c r="BI87" s="62">
        <f ca="1">AVERAGE(OFFSET($BH$3,0,0,'Données projet'!$E$11+1,1))-AVERAGE(OFFSET($H$3,0,0,'Données projet'!$E$11+1,1))</f>
        <v>197.85998851681552</v>
      </c>
      <c r="BJ87" s="62">
        <f t="shared" si="92"/>
        <v>474.54844785896239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18.299835908624853</v>
      </c>
      <c r="BQ87" s="23">
        <f>EXP(-LN(2)/25)*BQ86+(1-EXP(-LN(2)/25))/(LN(2)/25)*Calculateur!BL87*Calculateur!BN87*VLOOKUP('Données projet'!$B$11,Paramètres!$A$1:$I$89,3,0)*0.475*44/12</f>
        <v>9.833822752351173</v>
      </c>
      <c r="BR87" s="23">
        <f>EXP(-LN(2)/2)*BR86+(1-EXP(-LN(2)/2))/(LN(2)/2)*BL87*BO87*VLOOKUP('Données projet'!$B$11,Paramètres!$A$1:$I$89,3,0)*0.475*44/12</f>
        <v>3.2460231182656138E-7</v>
      </c>
      <c r="BS87" s="24">
        <f t="shared" si="63"/>
        <v>28.133658985578336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>
        <f>BY87*VLOOKUP('Données projet'!$B$12,Paramètres!$A$1:$I$89,3,0)*VLOOKUP('Données projet'!$B$12,Paramètres!$A$1:$I$89,5,0)</f>
        <v>0</v>
      </c>
      <c r="CA87" s="14" t="e">
        <f t="shared" si="93"/>
        <v>#NUM!</v>
      </c>
      <c r="CB87" s="22" t="e">
        <f t="shared" si="64"/>
        <v>#NUM!</v>
      </c>
      <c r="CC87" s="62" t="e">
        <f t="shared" si="65"/>
        <v>#NUM!</v>
      </c>
      <c r="CD87" s="62">
        <f ca="1">AVERAGE(OFFSET($CC$3,0,0,'Données projet'!$E$12+1,1))-AVERAGE(OFFSET($H$3,0,0,'Données projet'!$E$12+1,1))</f>
        <v>72.97248599808384</v>
      </c>
      <c r="CE87" s="62">
        <f t="shared" si="94"/>
        <v>346.88163654003574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19.946674266372046</v>
      </c>
      <c r="CL87" s="23">
        <f>EXP(-LN(2)/25)*CL86+(1-EXP(-LN(2)/25))/(LN(2)/25)*Calculateur!CG87*Calculateur!CI87*VLOOKUP('Données projet'!$B$12,Paramètres!$A$1:$I$89,3,0)*0.475*44/12</f>
        <v>2.9214212102170793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22.868095476589126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>
        <f>CT87*VLOOKUP('Données projet'!$B$13,Paramètres!$A$1:$I$89,3,0)*VLOOKUP('Données projet'!$B$13,Paramètres!$A$1:$I$89,5,0)</f>
        <v>0</v>
      </c>
      <c r="CV87" s="14" t="e">
        <f t="shared" si="95"/>
        <v>#NUM!</v>
      </c>
      <c r="CW87" s="22" t="e">
        <f t="shared" si="67"/>
        <v>#NUM!</v>
      </c>
      <c r="CX87" s="62" t="e">
        <f t="shared" si="68"/>
        <v>#NUM!</v>
      </c>
      <c r="CY87" s="62">
        <f ca="1">AVERAGE(OFFSET($CX$3,0,0,'Données projet'!$E$13+1,1))-AVERAGE(OFFSET($H$3,0,0,'Données projet'!$E$13+1,1))</f>
        <v>67.303283896086128</v>
      </c>
      <c r="CZ87" s="62">
        <f t="shared" si="96"/>
        <v>318.97925671653547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18.113135963335068</v>
      </c>
      <c r="DG87" s="23">
        <f>EXP(-LN(2)/25)*DG86+(1-EXP(-LN(2)/25))/(LN(2)/25)*Calculateur!DB87*Calculateur!DD87*VLOOKUP('Données projet'!$B$13,Paramètres!$A$1:$I$89,3,0)*0.475*44/12</f>
        <v>2.6528783134561755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20.766014276791243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>
        <f>DO87*VLOOKUP('Données projet'!$B$14,Paramètres!$A$1:$I$89,3,0)*VLOOKUP('Données projet'!$B$14,Paramètres!$A$1:$I$89,5,0)</f>
        <v>0</v>
      </c>
      <c r="DQ87" s="14" t="e">
        <f t="shared" si="97"/>
        <v>#NUM!</v>
      </c>
      <c r="DR87" s="22" t="e">
        <f t="shared" si="70"/>
        <v>#NUM!</v>
      </c>
      <c r="DS87" s="62" t="e">
        <f t="shared" si="71"/>
        <v>#NUM!</v>
      </c>
      <c r="DT87" s="62">
        <f ca="1">AVERAGE(OFFSET($DS$3,0,0,'Données projet'!$E$14+1,1))-AVERAGE(OFFSET($H$3,0,0,'Données projet'!$E$14+1,1))</f>
        <v>75.244137291704476</v>
      </c>
      <c r="DU87" s="62">
        <f t="shared" si="98"/>
        <v>366.065475656937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21.209441692706033</v>
      </c>
      <c r="EB87" s="23">
        <f>EXP(-LN(2)/25)*EB86+(1-EXP(-LN(2)/25))/(LN(2)/25)*Calculateur!DW87*Calculateur!DY87*VLOOKUP('Données projet'!$B$14,Paramètres!$A$1:$I$89,3,0)*0.475*44/12</f>
        <v>3.1063681088127417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24.315809801518775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5.6</v>
      </c>
      <c r="EJ87" s="13">
        <f>IF('Données projet'!$A$192&gt;35,EJ86+EI87-ER86,IF(A87&lt;'Données projet'!$A$192,$EG$205^A87,IF(A87='Données projet'!$A$192,'Données projet'!$B$192,EJ86+EI87-ER86)))</f>
        <v>263.40000000000015</v>
      </c>
      <c r="EK87" s="18">
        <f>EJ87*VLOOKUP('Données projet'!$B$15,Paramètres!$A$1:$I$89,3,0)*VLOOKUP('Données projet'!$B$15,Paramètres!$A$1:$I$89,5,0)</f>
        <v>254.76048000000014</v>
      </c>
      <c r="EL87" s="14">
        <f t="shared" si="99"/>
        <v>61.604204198547528</v>
      </c>
      <c r="EM87" s="22">
        <f t="shared" si="73"/>
        <v>551.00182497913715</v>
      </c>
      <c r="EN87" s="62">
        <f t="shared" si="74"/>
        <v>814.16203689141673</v>
      </c>
      <c r="EO87" s="62">
        <f ca="1">AVERAGE(OFFSET($EN$3,0,0,'Données projet'!$E$15+1,1))-AVERAGE(OFFSET($H$3,0,0,'Données projet'!$E$15+1,1))</f>
        <v>452.74627739105745</v>
      </c>
      <c r="EP87" s="62">
        <f t="shared" si="100"/>
        <v>281.80695725575106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5.6</v>
      </c>
      <c r="FE87" s="13">
        <f>IF('Données projet'!$A$218&gt;35,FE86+FD87-FM86,IF(A87&lt;'Données projet'!$A$218,$FB$205^A87,IF(A87='Données projet'!$A$218,'Données projet'!$B$218,FE86+FD87-FM86)))</f>
        <v>263.40000000000015</v>
      </c>
      <c r="FF87" s="18">
        <f>FE87*VLOOKUP('Données projet'!$B$16,Paramètres!$A$1:$I$89,3,0)*VLOOKUP('Données projet'!$B$16,Paramètres!$A$1:$I$89,5,0)</f>
        <v>283.52376000000015</v>
      </c>
      <c r="FG87" s="14">
        <f t="shared" si="101"/>
        <v>67.711137776285355</v>
      </c>
      <c r="FH87" s="22">
        <f t="shared" si="76"/>
        <v>611.73411362703052</v>
      </c>
      <c r="FI87" s="62">
        <f t="shared" si="77"/>
        <v>874.8943255393101</v>
      </c>
      <c r="FJ87" s="62">
        <f ca="1">AVERAGE(OFFSET($FI$3,0,0,'Données projet'!$E$16+1,1))-AVERAGE(OFFSET($H$3,0,0,'Données projet'!$E$16+1,1))</f>
        <v>492.72391755143508</v>
      </c>
      <c r="FK87" s="62">
        <f t="shared" si="102"/>
        <v>304.88554179994355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61.770966885167155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143.77000000000001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-5.6843418860808015E-14</v>
      </c>
      <c r="O88" s="14">
        <f>N88*VLOOKUP('Données projet'!$B$9,Paramètres!$A$1:$I$89,3,0)*VLOOKUP('Données projet'!$B$9,Paramètres!$A$1:$I$89,5,0)</f>
        <v>-5.1431925385259088E-14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388.8309693898596</v>
      </c>
      <c r="T88" s="62">
        <f t="shared" si="88"/>
        <v>549.06702041234382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3.5615365762885651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3.5615365762885651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>
        <f>AI88*VLOOKUP('Données projet'!$B$10,Paramètres!$A$1:$I$89,3,0)*VLOOKUP('Données projet'!$B$10,Paramètres!$A$1:$I$89,5,0)</f>
        <v>6.7984728957526396E-14</v>
      </c>
      <c r="AK88" s="14">
        <f t="shared" si="89"/>
        <v>1.0682447123141398E-12</v>
      </c>
      <c r="AL88" s="22">
        <f t="shared" si="58"/>
        <v>1.978932943548152E-12</v>
      </c>
      <c r="AM88" s="62">
        <f t="shared" si="59"/>
        <v>263.68364811194311</v>
      </c>
      <c r="AN88" s="62">
        <f ca="1">AVERAGE(OFFSET($AM$3,0,0,'Données projet'!$E$10+1,1))-AVERAGE(OFFSET($H$3,0,0,'Données projet'!$E$10+1,1))</f>
        <v>197.85998851681552</v>
      </c>
      <c r="AO88" s="62">
        <f t="shared" si="90"/>
        <v>474.54844785896239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17.940987288254487</v>
      </c>
      <c r="AV88" s="23">
        <f>EXP(-LN(2)/25)*AV87+(1-EXP(-LN(2)/25))/(LN(2)/25)*Calculateur!AQ88*Calculateur!AS88*VLOOKUP('Données projet'!$B$10,Paramètres!$A$1:$I$89,3,0)*0.475*44/12</f>
        <v>9.5649163520498668</v>
      </c>
      <c r="AW88" s="23">
        <f>EXP(-LN(2)/2)*AW87+(1-EXP(-LN(2)/2))/(LN(2)/2)*AQ88*AT88*VLOOKUP('Données projet'!$B$10,Paramètres!$A$1:$I$89,3,0)*0.475*44/12</f>
        <v>2.2952849588139182E-7</v>
      </c>
      <c r="AX88" s="23">
        <f t="shared" si="60"/>
        <v>27.505903869832849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1.1368683772161603E-13</v>
      </c>
      <c r="BE88" s="14">
        <f>BD88*VLOOKUP('Données projet'!$B$11,Paramètres!$A$1:$I$89,3,0)*VLOOKUP('Données projet'!$B$11,Paramètres!$A$1:$I$89,5,0)</f>
        <v>6.7984728957526396E-14</v>
      </c>
      <c r="BF88" s="14">
        <f t="shared" si="91"/>
        <v>1.0682447123141398E-12</v>
      </c>
      <c r="BG88" s="22">
        <f t="shared" si="61"/>
        <v>1.978932943548152E-12</v>
      </c>
      <c r="BH88" s="62">
        <f t="shared" si="62"/>
        <v>263.68364811194311</v>
      </c>
      <c r="BI88" s="62">
        <f ca="1">AVERAGE(OFFSET($BH$3,0,0,'Données projet'!$E$11+1,1))-AVERAGE(OFFSET($H$3,0,0,'Données projet'!$E$11+1,1))</f>
        <v>197.85998851681552</v>
      </c>
      <c r="BJ88" s="62">
        <f t="shared" si="92"/>
        <v>474.54844785896239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17.940987288254487</v>
      </c>
      <c r="BQ88" s="23">
        <f>EXP(-LN(2)/25)*BQ87+(1-EXP(-LN(2)/25))/(LN(2)/25)*Calculateur!BL88*Calculateur!BN88*VLOOKUP('Données projet'!$B$11,Paramètres!$A$1:$I$89,3,0)*0.475*44/12</f>
        <v>9.5649163520498668</v>
      </c>
      <c r="BR88" s="23">
        <f>EXP(-LN(2)/2)*BR87+(1-EXP(-LN(2)/2))/(LN(2)/2)*BL88*BO88*VLOOKUP('Données projet'!$B$11,Paramètres!$A$1:$I$89,3,0)*0.475*44/12</f>
        <v>2.2952849588139182E-7</v>
      </c>
      <c r="BS88" s="24">
        <f t="shared" si="63"/>
        <v>27.505903869832849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>
        <f>BY88*VLOOKUP('Données projet'!$B$12,Paramètres!$A$1:$I$89,3,0)*VLOOKUP('Données projet'!$B$12,Paramètres!$A$1:$I$89,5,0)</f>
        <v>0</v>
      </c>
      <c r="CA88" s="14" t="e">
        <f t="shared" si="93"/>
        <v>#NUM!</v>
      </c>
      <c r="CB88" s="22" t="e">
        <f t="shared" si="64"/>
        <v>#NUM!</v>
      </c>
      <c r="CC88" s="62" t="e">
        <f t="shared" si="65"/>
        <v>#NUM!</v>
      </c>
      <c r="CD88" s="62">
        <f ca="1">AVERAGE(OFFSET($CC$3,0,0,'Données projet'!$E$12+1,1))-AVERAGE(OFFSET($H$3,0,0,'Données projet'!$E$12+1,1))</f>
        <v>72.97248599808384</v>
      </c>
      <c r="CE88" s="62">
        <f t="shared" si="94"/>
        <v>346.88163654003574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19.555532150278474</v>
      </c>
      <c r="CL88" s="23">
        <f>EXP(-LN(2)/25)*CL87+(1-EXP(-LN(2)/25))/(LN(2)/25)*Calculateur!CG88*Calculateur!CI88*VLOOKUP('Données projet'!$B$12,Paramètres!$A$1:$I$89,3,0)*0.475*44/12</f>
        <v>2.841534793592829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22.397066943871302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>
        <f>CT88*VLOOKUP('Données projet'!$B$13,Paramètres!$A$1:$I$89,3,0)*VLOOKUP('Données projet'!$B$13,Paramètres!$A$1:$I$89,5,0)</f>
        <v>0</v>
      </c>
      <c r="CV88" s="14" t="e">
        <f t="shared" si="95"/>
        <v>#NUM!</v>
      </c>
      <c r="CW88" s="22" t="e">
        <f t="shared" si="67"/>
        <v>#NUM!</v>
      </c>
      <c r="CX88" s="62" t="e">
        <f t="shared" si="68"/>
        <v>#NUM!</v>
      </c>
      <c r="CY88" s="62">
        <f ca="1">AVERAGE(OFFSET($CX$3,0,0,'Données projet'!$E$13+1,1))-AVERAGE(OFFSET($H$3,0,0,'Données projet'!$E$13+1,1))</f>
        <v>67.303283896086128</v>
      </c>
      <c r="CZ88" s="62">
        <f t="shared" si="96"/>
        <v>318.97925671653547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17.757948415016113</v>
      </c>
      <c r="DG88" s="23">
        <f>EXP(-LN(2)/25)*DG87+(1-EXP(-LN(2)/25))/(LN(2)/25)*Calculateur!DB88*Calculateur!DD88*VLOOKUP('Données projet'!$B$13,Paramètres!$A$1:$I$89,3,0)*0.475*44/12</f>
        <v>2.580335216465909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20.338283631482021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>
        <f>DO88*VLOOKUP('Données projet'!$B$14,Paramètres!$A$1:$I$89,3,0)*VLOOKUP('Données projet'!$B$14,Paramètres!$A$1:$I$89,5,0)</f>
        <v>0</v>
      </c>
      <c r="DQ88" s="14" t="e">
        <f t="shared" si="97"/>
        <v>#NUM!</v>
      </c>
      <c r="DR88" s="22" t="e">
        <f t="shared" si="70"/>
        <v>#NUM!</v>
      </c>
      <c r="DS88" s="62" t="e">
        <f t="shared" si="71"/>
        <v>#NUM!</v>
      </c>
      <c r="DT88" s="62">
        <f ca="1">AVERAGE(OFFSET($DS$3,0,0,'Données projet'!$E$14+1,1))-AVERAGE(OFFSET($H$3,0,0,'Données projet'!$E$14+1,1))</f>
        <v>75.244137291704476</v>
      </c>
      <c r="DU88" s="62">
        <f t="shared" si="98"/>
        <v>366.065475656937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20.793537477594128</v>
      </c>
      <c r="EB88" s="23">
        <f>EXP(-LN(2)/25)*EB87+(1-EXP(-LN(2)/25))/(LN(2)/25)*Calculateur!DW88*Calculateur!DY88*VLOOKUP('Données projet'!$B$14,Paramètres!$A$1:$I$89,3,0)*0.475*44/12</f>
        <v>3.0214243095204583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23.814961787114587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269</v>
      </c>
      <c r="EH88" s="13">
        <f>VLOOKUP(A88,'Données projet'!$A$191:$I$211,9,0)</f>
        <v>5.6</v>
      </c>
      <c r="EI88" s="13">
        <f t="array" ref="EI88">INDEX(EH:EH,MIN(IF(ISNUMBER(EH88:EH284),ROW(EH88:EH284),"")))</f>
        <v>5.6</v>
      </c>
      <c r="EJ88" s="13">
        <f>IF('Données projet'!$A$192&gt;35,EJ87+EI88-ER87,IF(A88&lt;'Données projet'!$A$192,$EG$205^A88,IF(A88='Données projet'!$A$192,'Données projet'!$B$192,EJ87+EI88-ER87)))</f>
        <v>269.00000000000017</v>
      </c>
      <c r="EK88" s="18">
        <f>EJ88*VLOOKUP('Données projet'!$B$15,Paramètres!$A$1:$I$89,3,0)*VLOOKUP('Données projet'!$B$15,Paramètres!$A$1:$I$89,5,0)</f>
        <v>260.17680000000018</v>
      </c>
      <c r="EL88" s="14">
        <f t="shared" si="99"/>
        <v>62.760063080404755</v>
      </c>
      <c r="EM88" s="22">
        <f t="shared" si="73"/>
        <v>562.44836986503856</v>
      </c>
      <c r="EN88" s="62">
        <f t="shared" si="74"/>
        <v>826.13201797697968</v>
      </c>
      <c r="EO88" s="62">
        <f ca="1">AVERAGE(OFFSET($EN$3,0,0,'Données projet'!$E$15+1,1))-AVERAGE(OFFSET($H$3,0,0,'Données projet'!$E$15+1,1))</f>
        <v>452.74627739105745</v>
      </c>
      <c r="EP88" s="62">
        <f t="shared" si="100"/>
        <v>281.80695725575106</v>
      </c>
      <c r="EQ88" s="16">
        <f>IF(ISNA(VLOOKUP(A88,'Données projet'!$A$191:$I$211,3,0)),0,VLOOKUP(A88,'Données projet'!$A$191:$I$211,3,0))</f>
        <v>13</v>
      </c>
      <c r="ER88" s="16">
        <f>IF(ISNA(VLOOKUP(A88,'Données projet'!$A$191:$I$211,4,0)),0,VLOOKUP(A88,'Données projet'!$A$191:$I$211,4,0))</f>
        <v>21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>
        <f>VLOOKUP(A88,'Données projet'!$A$217:$I$237,2,0)</f>
        <v>269</v>
      </c>
      <c r="FC88" s="13">
        <f>VLOOKUP(A88,'Données projet'!$A$217:$I$237,9,0)</f>
        <v>5.6</v>
      </c>
      <c r="FD88" s="13">
        <f t="array" ref="FD88">INDEX(FC:FC,MIN(IF(ISNUMBER(FC88:FC284),ROW(FC88:FC284),"")))</f>
        <v>5.6</v>
      </c>
      <c r="FE88" s="13">
        <f>IF('Données projet'!$A$218&gt;35,FE87+FD88-FM87,IF(A88&lt;'Données projet'!$A$218,$FB$205^A88,IF(A88='Données projet'!$A$218,'Données projet'!$B$218,FE87+FD88-FM87)))</f>
        <v>269.00000000000017</v>
      </c>
      <c r="FF88" s="18">
        <f>FE88*VLOOKUP('Données projet'!$B$16,Paramètres!$A$1:$I$89,3,0)*VLOOKUP('Données projet'!$B$16,Paramètres!$A$1:$I$89,5,0)</f>
        <v>289.55160000000018</v>
      </c>
      <c r="FG88" s="14">
        <f t="shared" si="101"/>
        <v>68.981578990770117</v>
      </c>
      <c r="FH88" s="22">
        <f t="shared" si="76"/>
        <v>624.44528674225819</v>
      </c>
      <c r="FI88" s="62">
        <f t="shared" si="77"/>
        <v>888.12893485419931</v>
      </c>
      <c r="FJ88" s="62">
        <f ca="1">AVERAGE(OFFSET($FI$3,0,0,'Données projet'!$E$16+1,1))-AVERAGE(OFFSET($H$3,0,0,'Données projet'!$E$16+1,1))</f>
        <v>492.72391755143508</v>
      </c>
      <c r="FK88" s="62">
        <f t="shared" si="102"/>
        <v>304.88554179994355</v>
      </c>
      <c r="FL88" s="16">
        <f>IF(ISNA(VLOOKUP(A88,'Données projet'!$A$217:$I$237,3,0)),0,VLOOKUP(A88,'Données projet'!$A$217:$I$237,3,0))</f>
        <v>13</v>
      </c>
      <c r="FM88" s="16">
        <f>IF(ISNA(VLOOKUP(A88,'Données projet'!$A$217:$I$237,4,0)),0,VLOOKUP(A88,'Données projet'!$A$217:$I$237,4,0))</f>
        <v>21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61.913722212347587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143.77000000000001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-5.6843418860808015E-14</v>
      </c>
      <c r="O89" s="14">
        <f>N89*VLOOKUP('Données projet'!$B$9,Paramètres!$A$1:$I$89,3,0)*VLOOKUP('Données projet'!$B$9,Paramètres!$A$1:$I$89,5,0)</f>
        <v>-5.1431925385259088E-14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388.8309693898596</v>
      </c>
      <c r="T89" s="62">
        <f t="shared" si="88"/>
        <v>549.06702041234382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3.4916970163503587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3.4916970163503587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>
        <f>AI89*VLOOKUP('Données projet'!$B$10,Paramètres!$A$1:$I$89,3,0)*VLOOKUP('Données projet'!$B$10,Paramètres!$A$1:$I$89,5,0)</f>
        <v>6.7984728957526396E-14</v>
      </c>
      <c r="AK89" s="14">
        <f t="shared" si="89"/>
        <v>1.0682447123141398E-12</v>
      </c>
      <c r="AL89" s="22">
        <f t="shared" si="58"/>
        <v>1.978932943548152E-12</v>
      </c>
      <c r="AM89" s="62">
        <f t="shared" si="59"/>
        <v>264.19800386376858</v>
      </c>
      <c r="AN89" s="62">
        <f ca="1">AVERAGE(OFFSET($AM$3,0,0,'Données projet'!$E$10+1,1))-AVERAGE(OFFSET($H$3,0,0,'Données projet'!$E$10+1,1))</f>
        <v>197.85998851681552</v>
      </c>
      <c r="AO89" s="62">
        <f t="shared" si="90"/>
        <v>474.54844785896239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17.589175470453537</v>
      </c>
      <c r="AV89" s="23">
        <f>EXP(-LN(2)/25)*AV88+(1-EXP(-LN(2)/25))/(LN(2)/25)*Calculateur!AQ89*Calculateur!AS89*VLOOKUP('Données projet'!$B$10,Paramètres!$A$1:$I$89,3,0)*0.475*44/12</f>
        <v>9.3033632114059728</v>
      </c>
      <c r="AW89" s="23">
        <f>EXP(-LN(2)/2)*AW88+(1-EXP(-LN(2)/2))/(LN(2)/2)*AQ89*AT89*VLOOKUP('Données projet'!$B$10,Paramètres!$A$1:$I$89,3,0)*0.475*44/12</f>
        <v>1.6230115591328072E-7</v>
      </c>
      <c r="AX89" s="23">
        <f t="shared" si="60"/>
        <v>26.892538844160665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1.1368683772161603E-13</v>
      </c>
      <c r="BE89" s="14">
        <f>BD89*VLOOKUP('Données projet'!$B$11,Paramètres!$A$1:$I$89,3,0)*VLOOKUP('Données projet'!$B$11,Paramètres!$A$1:$I$89,5,0)</f>
        <v>6.7984728957526396E-14</v>
      </c>
      <c r="BF89" s="14">
        <f t="shared" si="91"/>
        <v>1.0682447123141398E-12</v>
      </c>
      <c r="BG89" s="22">
        <f t="shared" si="61"/>
        <v>1.978932943548152E-12</v>
      </c>
      <c r="BH89" s="62">
        <f t="shared" si="62"/>
        <v>264.19800386376858</v>
      </c>
      <c r="BI89" s="62">
        <f ca="1">AVERAGE(OFFSET($BH$3,0,0,'Données projet'!$E$11+1,1))-AVERAGE(OFFSET($H$3,0,0,'Données projet'!$E$11+1,1))</f>
        <v>197.85998851681552</v>
      </c>
      <c r="BJ89" s="62">
        <f t="shared" si="92"/>
        <v>474.54844785896239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17.589175470453537</v>
      </c>
      <c r="BQ89" s="23">
        <f>EXP(-LN(2)/25)*BQ88+(1-EXP(-LN(2)/25))/(LN(2)/25)*Calculateur!BL89*Calculateur!BN89*VLOOKUP('Données projet'!$B$11,Paramètres!$A$1:$I$89,3,0)*0.475*44/12</f>
        <v>9.3033632114059728</v>
      </c>
      <c r="BR89" s="23">
        <f>EXP(-LN(2)/2)*BR88+(1-EXP(-LN(2)/2))/(LN(2)/2)*BL89*BO89*VLOOKUP('Données projet'!$B$11,Paramètres!$A$1:$I$89,3,0)*0.475*44/12</f>
        <v>1.6230115591328072E-7</v>
      </c>
      <c r="BS89" s="24">
        <f t="shared" si="63"/>
        <v>26.892538844160665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>
        <f>BY89*VLOOKUP('Données projet'!$B$12,Paramètres!$A$1:$I$89,3,0)*VLOOKUP('Données projet'!$B$12,Paramètres!$A$1:$I$89,5,0)</f>
        <v>0</v>
      </c>
      <c r="CA89" s="14" t="e">
        <f t="shared" si="93"/>
        <v>#NUM!</v>
      </c>
      <c r="CB89" s="22" t="e">
        <f t="shared" si="64"/>
        <v>#NUM!</v>
      </c>
      <c r="CC89" s="62" t="e">
        <f t="shared" si="65"/>
        <v>#NUM!</v>
      </c>
      <c r="CD89" s="62">
        <f ca="1">AVERAGE(OFFSET($CC$3,0,0,'Données projet'!$E$12+1,1))-AVERAGE(OFFSET($H$3,0,0,'Données projet'!$E$12+1,1))</f>
        <v>72.97248599808384</v>
      </c>
      <c r="CE89" s="62">
        <f t="shared" si="94"/>
        <v>346.88163654003574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19.172060092508364</v>
      </c>
      <c r="CL89" s="23">
        <f>EXP(-LN(2)/25)*CL88+(1-EXP(-LN(2)/25))/(LN(2)/25)*Calculateur!CG89*Calculateur!CI89*VLOOKUP('Données projet'!$B$12,Paramètres!$A$1:$I$89,3,0)*0.475*44/12</f>
        <v>2.7638328752322128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21.935892967740578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>
        <f>CT89*VLOOKUP('Données projet'!$B$13,Paramètres!$A$1:$I$89,3,0)*VLOOKUP('Données projet'!$B$13,Paramètres!$A$1:$I$89,5,0)</f>
        <v>0</v>
      </c>
      <c r="CV89" s="14" t="e">
        <f t="shared" si="95"/>
        <v>#NUM!</v>
      </c>
      <c r="CW89" s="22" t="e">
        <f t="shared" si="67"/>
        <v>#NUM!</v>
      </c>
      <c r="CX89" s="62" t="e">
        <f t="shared" si="68"/>
        <v>#NUM!</v>
      </c>
      <c r="CY89" s="62">
        <f ca="1">AVERAGE(OFFSET($CX$3,0,0,'Données projet'!$E$13+1,1))-AVERAGE(OFFSET($H$3,0,0,'Données projet'!$E$13+1,1))</f>
        <v>67.303283896086128</v>
      </c>
      <c r="CZ89" s="62">
        <f t="shared" si="96"/>
        <v>318.97925671653547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17.409725877876681</v>
      </c>
      <c r="DG89" s="23">
        <f>EXP(-LN(2)/25)*DG88+(1-EXP(-LN(2)/25))/(LN(2)/25)*Calculateur!DB89*Calculateur!DD89*VLOOKUP('Données projet'!$B$13,Paramètres!$A$1:$I$89,3,0)*0.475*44/12</f>
        <v>2.5097758142777171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19.919501692154398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>
        <f>DO89*VLOOKUP('Données projet'!$B$14,Paramètres!$A$1:$I$89,3,0)*VLOOKUP('Données projet'!$B$14,Paramètres!$A$1:$I$89,5,0)</f>
        <v>0</v>
      </c>
      <c r="DQ89" s="14" t="e">
        <f t="shared" si="97"/>
        <v>#NUM!</v>
      </c>
      <c r="DR89" s="22" t="e">
        <f t="shared" si="70"/>
        <v>#NUM!</v>
      </c>
      <c r="DS89" s="62" t="e">
        <f t="shared" si="71"/>
        <v>#NUM!</v>
      </c>
      <c r="DT89" s="62">
        <f ca="1">AVERAGE(OFFSET($DS$3,0,0,'Données projet'!$E$14+1,1))-AVERAGE(OFFSET($H$3,0,0,'Données projet'!$E$14+1,1))</f>
        <v>75.244137291704476</v>
      </c>
      <c r="DU89" s="62">
        <f t="shared" si="98"/>
        <v>366.065475656937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20.385788890464045</v>
      </c>
      <c r="EB89" s="23">
        <f>EXP(-LN(2)/25)*EB88+(1-EXP(-LN(2)/25))/(LN(2)/25)*Calculateur!DW89*Calculateur!DY89*VLOOKUP('Données projet'!$B$14,Paramètres!$A$1:$I$89,3,0)*0.475*44/12</f>
        <v>2.9388033028868223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23.324592193350867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5.4</v>
      </c>
      <c r="EJ89" s="13">
        <f>IF('Données projet'!$A$192&gt;35,EJ88+EI89-ER88,IF(A89&lt;'Données projet'!$A$192,$EG$205^A89,IF(A89='Données projet'!$A$192,'Données projet'!$B$192,EJ88+EI89-ER88)))</f>
        <v>253.40000000000015</v>
      </c>
      <c r="EK89" s="18">
        <f>EJ89*VLOOKUP('Données projet'!$B$15,Paramètres!$A$1:$I$89,3,0)*VLOOKUP('Données projet'!$B$15,Paramètres!$A$1:$I$89,5,0)</f>
        <v>245.08848000000015</v>
      </c>
      <c r="EL89" s="14">
        <f t="shared" si="99"/>
        <v>59.533001333771189</v>
      </c>
      <c r="EM89" s="22">
        <f t="shared" si="73"/>
        <v>530.54907998965166</v>
      </c>
      <c r="EN89" s="62">
        <f t="shared" si="74"/>
        <v>794.74708385341819</v>
      </c>
      <c r="EO89" s="62">
        <f ca="1">AVERAGE(OFFSET($EN$3,0,0,'Données projet'!$E$15+1,1))-AVERAGE(OFFSET($H$3,0,0,'Données projet'!$E$15+1,1))</f>
        <v>452.74627739105745</v>
      </c>
      <c r="EP89" s="62">
        <f t="shared" si="100"/>
        <v>281.80695725575106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5.4</v>
      </c>
      <c r="FE89" s="13">
        <f>IF('Données projet'!$A$218&gt;35,FE88+FD89-FM88,IF(A89&lt;'Données projet'!$A$218,$FB$205^A89,IF(A89='Données projet'!$A$218,'Données projet'!$B$218,FE88+FD89-FM88)))</f>
        <v>253.40000000000015</v>
      </c>
      <c r="FF89" s="18">
        <f>FE89*VLOOKUP('Données projet'!$B$16,Paramètres!$A$1:$I$89,3,0)*VLOOKUP('Données projet'!$B$16,Paramètres!$A$1:$I$89,5,0)</f>
        <v>272.75976000000014</v>
      </c>
      <c r="FG89" s="14">
        <f t="shared" si="101"/>
        <v>65.434612913022562</v>
      </c>
      <c r="FH89" s="22">
        <f t="shared" si="76"/>
        <v>589.02186615684775</v>
      </c>
      <c r="FI89" s="62">
        <f t="shared" si="77"/>
        <v>853.21987002061428</v>
      </c>
      <c r="FJ89" s="62">
        <f ca="1">AVERAGE(OFFSET($FI$3,0,0,'Données projet'!$E$16+1,1))-AVERAGE(OFFSET($H$3,0,0,'Données projet'!$E$16+1,1))</f>
        <v>492.72391755143508</v>
      </c>
      <c r="FK89" s="62">
        <f t="shared" si="102"/>
        <v>304.88554179994355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62.054001053754526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143.77000000000001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-5.6843418860808015E-14</v>
      </c>
      <c r="O90" s="14">
        <f>N90*VLOOKUP('Données projet'!$B$9,Paramètres!$A$1:$I$89,3,0)*VLOOKUP('Données projet'!$B$9,Paramètres!$A$1:$I$89,5,0)</f>
        <v>-5.1431925385259088E-14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388.8309693898596</v>
      </c>
      <c r="T90" s="62">
        <f t="shared" si="88"/>
        <v>549.06702041234382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3.4232269675846152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3.4232269675846152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>
        <f>AI90*VLOOKUP('Données projet'!$B$10,Paramètres!$A$1:$I$89,3,0)*VLOOKUP('Données projet'!$B$10,Paramètres!$A$1:$I$89,5,0)</f>
        <v>6.7984728957526396E-14</v>
      </c>
      <c r="AK90" s="14">
        <f t="shared" si="89"/>
        <v>1.0682447123141398E-12</v>
      </c>
      <c r="AL90" s="22">
        <f t="shared" si="58"/>
        <v>1.978932943548152E-12</v>
      </c>
      <c r="AM90" s="62">
        <f t="shared" si="59"/>
        <v>264.7034366932271</v>
      </c>
      <c r="AN90" s="62">
        <f ca="1">AVERAGE(OFFSET($AM$3,0,0,'Données projet'!$E$10+1,1))-AVERAGE(OFFSET($H$3,0,0,'Données projet'!$E$10+1,1))</f>
        <v>197.85998851681552</v>
      </c>
      <c r="AO90" s="62">
        <f t="shared" si="90"/>
        <v>474.54844785896239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17.244262467815645</v>
      </c>
      <c r="AV90" s="23">
        <f>EXP(-LN(2)/25)*AV89+(1-EXP(-LN(2)/25))/(LN(2)/25)*Calculateur!AQ90*Calculateur!AS90*VLOOKUP('Données projet'!$B$10,Paramètres!$A$1:$I$89,3,0)*0.475*44/12</f>
        <v>9.0489622551474689</v>
      </c>
      <c r="AW90" s="23">
        <f>EXP(-LN(2)/2)*AW89+(1-EXP(-LN(2)/2))/(LN(2)/2)*AQ90*AT90*VLOOKUP('Données projet'!$B$10,Paramètres!$A$1:$I$89,3,0)*0.475*44/12</f>
        <v>1.1476424794069594E-7</v>
      </c>
      <c r="AX90" s="23">
        <f t="shared" si="60"/>
        <v>26.293224837727362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1.1368683772161603E-13</v>
      </c>
      <c r="BE90" s="14">
        <f>BD90*VLOOKUP('Données projet'!$B$11,Paramètres!$A$1:$I$89,3,0)*VLOOKUP('Données projet'!$B$11,Paramètres!$A$1:$I$89,5,0)</f>
        <v>6.7984728957526396E-14</v>
      </c>
      <c r="BF90" s="14">
        <f t="shared" si="91"/>
        <v>1.0682447123141398E-12</v>
      </c>
      <c r="BG90" s="22">
        <f t="shared" si="61"/>
        <v>1.978932943548152E-12</v>
      </c>
      <c r="BH90" s="62">
        <f t="shared" si="62"/>
        <v>264.7034366932271</v>
      </c>
      <c r="BI90" s="62">
        <f ca="1">AVERAGE(OFFSET($BH$3,0,0,'Données projet'!$E$11+1,1))-AVERAGE(OFFSET($H$3,0,0,'Données projet'!$E$11+1,1))</f>
        <v>197.85998851681552</v>
      </c>
      <c r="BJ90" s="62">
        <f t="shared" si="92"/>
        <v>474.54844785896239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17.244262467815645</v>
      </c>
      <c r="BQ90" s="23">
        <f>EXP(-LN(2)/25)*BQ89+(1-EXP(-LN(2)/25))/(LN(2)/25)*Calculateur!BL90*Calculateur!BN90*VLOOKUP('Données projet'!$B$11,Paramètres!$A$1:$I$89,3,0)*0.475*44/12</f>
        <v>9.0489622551474689</v>
      </c>
      <c r="BR90" s="23">
        <f>EXP(-LN(2)/2)*BR89+(1-EXP(-LN(2)/2))/(LN(2)/2)*BL90*BO90*VLOOKUP('Données projet'!$B$11,Paramètres!$A$1:$I$89,3,0)*0.475*44/12</f>
        <v>1.1476424794069594E-7</v>
      </c>
      <c r="BS90" s="24">
        <f t="shared" si="63"/>
        <v>26.293224837727362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>
        <f>BY90*VLOOKUP('Données projet'!$B$12,Paramètres!$A$1:$I$89,3,0)*VLOOKUP('Données projet'!$B$12,Paramètres!$A$1:$I$89,5,0)</f>
        <v>0</v>
      </c>
      <c r="CA90" s="14" t="e">
        <f t="shared" si="93"/>
        <v>#NUM!</v>
      </c>
      <c r="CB90" s="22" t="e">
        <f t="shared" si="64"/>
        <v>#NUM!</v>
      </c>
      <c r="CC90" s="62" t="e">
        <f t="shared" si="65"/>
        <v>#NUM!</v>
      </c>
      <c r="CD90" s="62">
        <f ca="1">AVERAGE(OFFSET($CC$3,0,0,'Données projet'!$E$12+1,1))-AVERAGE(OFFSET($H$3,0,0,'Données projet'!$E$12+1,1))</f>
        <v>72.97248599808384</v>
      </c>
      <c r="CE90" s="62">
        <f t="shared" si="94"/>
        <v>346.88163654003574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18.796107687896264</v>
      </c>
      <c r="CL90" s="23">
        <f>EXP(-LN(2)/25)*CL89+(1-EXP(-LN(2)/25))/(LN(2)/25)*Calculateur!CG90*Calculateur!CI90*VLOOKUP('Données projet'!$B$12,Paramètres!$A$1:$I$89,3,0)*0.475*44/12</f>
        <v>2.6882557199153339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21.484363407811596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>
        <f>CT90*VLOOKUP('Données projet'!$B$13,Paramètres!$A$1:$I$89,3,0)*VLOOKUP('Données projet'!$B$13,Paramètres!$A$1:$I$89,5,0)</f>
        <v>0</v>
      </c>
      <c r="CV90" s="14" t="e">
        <f t="shared" si="95"/>
        <v>#NUM!</v>
      </c>
      <c r="CW90" s="22" t="e">
        <f t="shared" si="67"/>
        <v>#NUM!</v>
      </c>
      <c r="CX90" s="62" t="e">
        <f t="shared" si="68"/>
        <v>#NUM!</v>
      </c>
      <c r="CY90" s="62">
        <f ca="1">AVERAGE(OFFSET($CX$3,0,0,'Données projet'!$E$13+1,1))-AVERAGE(OFFSET($H$3,0,0,'Données projet'!$E$13+1,1))</f>
        <v>67.303283896086128</v>
      </c>
      <c r="CZ90" s="62">
        <f t="shared" si="96"/>
        <v>318.97925671653547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17.068331772295778</v>
      </c>
      <c r="DG90" s="23">
        <f>EXP(-LN(2)/25)*DG89+(1-EXP(-LN(2)/25))/(LN(2)/25)*Calculateur!DB90*Calculateur!DD90*VLOOKUP('Données projet'!$B$13,Paramètres!$A$1:$I$89,3,0)*0.475*44/12</f>
        <v>2.441145862652919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19.509477634948698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>
        <f>DO90*VLOOKUP('Données projet'!$B$14,Paramètres!$A$1:$I$89,3,0)*VLOOKUP('Données projet'!$B$14,Paramètres!$A$1:$I$89,5,0)</f>
        <v>0</v>
      </c>
      <c r="DQ90" s="14" t="e">
        <f t="shared" si="97"/>
        <v>#NUM!</v>
      </c>
      <c r="DR90" s="22" t="e">
        <f t="shared" si="70"/>
        <v>#NUM!</v>
      </c>
      <c r="DS90" s="62" t="e">
        <f t="shared" si="71"/>
        <v>#NUM!</v>
      </c>
      <c r="DT90" s="62">
        <f ca="1">AVERAGE(OFFSET($DS$3,0,0,'Données projet'!$E$14+1,1))-AVERAGE(OFFSET($H$3,0,0,'Données projet'!$E$14+1,1))</f>
        <v>75.244137291704476</v>
      </c>
      <c r="DU90" s="62">
        <f t="shared" si="98"/>
        <v>366.065475656937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19.986036004425504</v>
      </c>
      <c r="EB90" s="23">
        <f>EXP(-LN(2)/25)*EB89+(1-EXP(-LN(2)/25))/(LN(2)/25)*Calculateur!DW90*Calculateur!DY90*VLOOKUP('Données projet'!$B$14,Paramètres!$A$1:$I$89,3,0)*0.475*44/12</f>
        <v>2.8584415720244332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22.844477576449936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5.4</v>
      </c>
      <c r="EJ90" s="13">
        <f>IF('Données projet'!$A$192&gt;35,EJ89+EI90-ER89,IF(A90&lt;'Données projet'!$A$192,$EG$205^A90,IF(A90='Données projet'!$A$192,'Données projet'!$B$192,EJ89+EI90-ER89)))</f>
        <v>258.80000000000013</v>
      </c>
      <c r="EK90" s="18">
        <f>EJ90*VLOOKUP('Données projet'!$B$15,Paramètres!$A$1:$I$89,3,0)*VLOOKUP('Données projet'!$B$15,Paramètres!$A$1:$I$89,5,0)</f>
        <v>250.31136000000012</v>
      </c>
      <c r="EL90" s="14">
        <f t="shared" si="99"/>
        <v>60.652609079641877</v>
      </c>
      <c r="EM90" s="22">
        <f t="shared" si="73"/>
        <v>541.59557948037639</v>
      </c>
      <c r="EN90" s="62">
        <f t="shared" si="74"/>
        <v>806.29901617360156</v>
      </c>
      <c r="EO90" s="62">
        <f ca="1">AVERAGE(OFFSET($EN$3,0,0,'Données projet'!$E$15+1,1))-AVERAGE(OFFSET($H$3,0,0,'Données projet'!$E$15+1,1))</f>
        <v>452.74627739105745</v>
      </c>
      <c r="EP90" s="62">
        <f t="shared" si="100"/>
        <v>281.80695725575106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5.4</v>
      </c>
      <c r="FE90" s="13">
        <f>IF('Données projet'!$A$218&gt;35,FE89+FD90-FM89,IF(A90&lt;'Données projet'!$A$218,$FB$205^A90,IF(A90='Données projet'!$A$218,'Données projet'!$B$218,FE89+FD90-FM89)))</f>
        <v>258.80000000000013</v>
      </c>
      <c r="FF90" s="18">
        <f>FE90*VLOOKUP('Données projet'!$B$16,Paramètres!$A$1:$I$89,3,0)*VLOOKUP('Données projet'!$B$16,Paramètres!$A$1:$I$89,5,0)</f>
        <v>278.5723200000001</v>
      </c>
      <c r="FG90" s="14">
        <f t="shared" si="101"/>
        <v>66.665209352377815</v>
      </c>
      <c r="FH90" s="22">
        <f t="shared" si="76"/>
        <v>601.28869695539152</v>
      </c>
      <c r="FI90" s="62">
        <f t="shared" si="77"/>
        <v>865.99213364861657</v>
      </c>
      <c r="FJ90" s="62">
        <f ca="1">AVERAGE(OFFSET($FI$3,0,0,'Données projet'!$E$16+1,1))-AVERAGE(OFFSET($H$3,0,0,'Données projet'!$E$16+1,1))</f>
        <v>492.72391755143508</v>
      </c>
      <c r="FK90" s="62">
        <f t="shared" si="102"/>
        <v>304.88554179994355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62.191846370879574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143.77000000000001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-5.6843418860808015E-14</v>
      </c>
      <c r="O91" s="14">
        <f>N91*VLOOKUP('Données projet'!$B$9,Paramètres!$A$1:$I$89,3,0)*VLOOKUP('Données projet'!$B$9,Paramètres!$A$1:$I$89,5,0)</f>
        <v>-5.1431925385259088E-14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388.8309693898596</v>
      </c>
      <c r="T91" s="62">
        <f t="shared" si="88"/>
        <v>549.06702041234382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3.3560995747125619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3.3560995747125619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>
        <f>AI91*VLOOKUP('Données projet'!$B$10,Paramètres!$A$1:$I$89,3,0)*VLOOKUP('Données projet'!$B$10,Paramètres!$A$1:$I$89,5,0)</f>
        <v>6.7984728957526396E-14</v>
      </c>
      <c r="AK91" s="14">
        <f t="shared" si="89"/>
        <v>1.0682447123141398E-12</v>
      </c>
      <c r="AL91" s="22">
        <f t="shared" si="58"/>
        <v>1.978932943548152E-12</v>
      </c>
      <c r="AM91" s="62">
        <f t="shared" si="59"/>
        <v>265.200101393073</v>
      </c>
      <c r="AN91" s="62">
        <f ca="1">AVERAGE(OFFSET($AM$3,0,0,'Données projet'!$E$10+1,1))-AVERAGE(OFFSET($H$3,0,0,'Données projet'!$E$10+1,1))</f>
        <v>197.85998851681552</v>
      </c>
      <c r="AO91" s="62">
        <f t="shared" si="90"/>
        <v>474.54844785896239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16.906112998783325</v>
      </c>
      <c r="AV91" s="23">
        <f>EXP(-LN(2)/25)*AV90+(1-EXP(-LN(2)/25))/(LN(2)/25)*Calculateur!AQ91*Calculateur!AS91*VLOOKUP('Données projet'!$B$10,Paramètres!$A$1:$I$89,3,0)*0.475*44/12</f>
        <v>8.8015179064162172</v>
      </c>
      <c r="AW91" s="23">
        <f>EXP(-LN(2)/2)*AW90+(1-EXP(-LN(2)/2))/(LN(2)/2)*AQ91*AT91*VLOOKUP('Données projet'!$B$10,Paramètres!$A$1:$I$89,3,0)*0.475*44/12</f>
        <v>8.1150577956640371E-8</v>
      </c>
      <c r="AX91" s="23">
        <f t="shared" si="60"/>
        <v>25.707630986350122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1.1368683772161603E-13</v>
      </c>
      <c r="BE91" s="14">
        <f>BD91*VLOOKUP('Données projet'!$B$11,Paramètres!$A$1:$I$89,3,0)*VLOOKUP('Données projet'!$B$11,Paramètres!$A$1:$I$89,5,0)</f>
        <v>6.7984728957526396E-14</v>
      </c>
      <c r="BF91" s="14">
        <f t="shared" si="91"/>
        <v>1.0682447123141398E-12</v>
      </c>
      <c r="BG91" s="22">
        <f t="shared" si="61"/>
        <v>1.978932943548152E-12</v>
      </c>
      <c r="BH91" s="62">
        <f t="shared" si="62"/>
        <v>265.200101393073</v>
      </c>
      <c r="BI91" s="62">
        <f ca="1">AVERAGE(OFFSET($BH$3,0,0,'Données projet'!$E$11+1,1))-AVERAGE(OFFSET($H$3,0,0,'Données projet'!$E$11+1,1))</f>
        <v>197.85998851681552</v>
      </c>
      <c r="BJ91" s="62">
        <f t="shared" si="92"/>
        <v>474.54844785896239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16.906112998783325</v>
      </c>
      <c r="BQ91" s="23">
        <f>EXP(-LN(2)/25)*BQ90+(1-EXP(-LN(2)/25))/(LN(2)/25)*Calculateur!BL91*Calculateur!BN91*VLOOKUP('Données projet'!$B$11,Paramètres!$A$1:$I$89,3,0)*0.475*44/12</f>
        <v>8.8015179064162172</v>
      </c>
      <c r="BR91" s="23">
        <f>EXP(-LN(2)/2)*BR90+(1-EXP(-LN(2)/2))/(LN(2)/2)*BL91*BO91*VLOOKUP('Données projet'!$B$11,Paramètres!$A$1:$I$89,3,0)*0.475*44/12</f>
        <v>8.1150577956640371E-8</v>
      </c>
      <c r="BS91" s="24">
        <f t="shared" si="63"/>
        <v>25.707630986350122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>
        <f>BY91*VLOOKUP('Données projet'!$B$12,Paramètres!$A$1:$I$89,3,0)*VLOOKUP('Données projet'!$B$12,Paramètres!$A$1:$I$89,5,0)</f>
        <v>0</v>
      </c>
      <c r="CA91" s="14" t="e">
        <f t="shared" si="93"/>
        <v>#NUM!</v>
      </c>
      <c r="CB91" s="22" t="e">
        <f t="shared" si="64"/>
        <v>#NUM!</v>
      </c>
      <c r="CC91" s="62" t="e">
        <f t="shared" si="65"/>
        <v>#NUM!</v>
      </c>
      <c r="CD91" s="62">
        <f ca="1">AVERAGE(OFFSET($CC$3,0,0,'Données projet'!$E$12+1,1))-AVERAGE(OFFSET($H$3,0,0,'Données projet'!$E$12+1,1))</f>
        <v>72.97248599808384</v>
      </c>
      <c r="CE91" s="62">
        <f t="shared" si="94"/>
        <v>346.88163654003574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18.427527480630282</v>
      </c>
      <c r="CL91" s="23">
        <f>EXP(-LN(2)/25)*CL90+(1-EXP(-LN(2)/25))/(LN(2)/25)*Calculateur!CG91*Calculateur!CI91*VLOOKUP('Données projet'!$B$12,Paramètres!$A$1:$I$89,3,0)*0.475*44/12</f>
        <v>2.614745225885025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21.042272706515305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>
        <f>CT91*VLOOKUP('Données projet'!$B$13,Paramètres!$A$1:$I$89,3,0)*VLOOKUP('Données projet'!$B$13,Paramètres!$A$1:$I$89,5,0)</f>
        <v>0</v>
      </c>
      <c r="CV91" s="14" t="e">
        <f t="shared" si="95"/>
        <v>#NUM!</v>
      </c>
      <c r="CW91" s="22" t="e">
        <f t="shared" si="67"/>
        <v>#NUM!</v>
      </c>
      <c r="CX91" s="62" t="e">
        <f t="shared" si="68"/>
        <v>#NUM!</v>
      </c>
      <c r="CY91" s="62">
        <f ca="1">AVERAGE(OFFSET($CX$3,0,0,'Données projet'!$E$13+1,1))-AVERAGE(OFFSET($H$3,0,0,'Données projet'!$E$13+1,1))</f>
        <v>67.303283896086128</v>
      </c>
      <c r="CZ91" s="62">
        <f t="shared" si="96"/>
        <v>318.97925671653547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16.733632196895471</v>
      </c>
      <c r="DG91" s="23">
        <f>EXP(-LN(2)/25)*DG90+(1-EXP(-LN(2)/25))/(LN(2)/25)*Calculateur!DB91*Calculateur!DD91*VLOOKUP('Données projet'!$B$13,Paramètres!$A$1:$I$89,3,0)*0.475*44/12</f>
        <v>2.3743926006643932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19.108024797559864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>
        <f>DO91*VLOOKUP('Données projet'!$B$14,Paramètres!$A$1:$I$89,3,0)*VLOOKUP('Données projet'!$B$14,Paramètres!$A$1:$I$89,5,0)</f>
        <v>0</v>
      </c>
      <c r="DQ91" s="14" t="e">
        <f t="shared" si="97"/>
        <v>#NUM!</v>
      </c>
      <c r="DR91" s="22" t="e">
        <f t="shared" si="70"/>
        <v>#NUM!</v>
      </c>
      <c r="DS91" s="62" t="e">
        <f t="shared" si="71"/>
        <v>#NUM!</v>
      </c>
      <c r="DT91" s="62">
        <f ca="1">AVERAGE(OFFSET($DS$3,0,0,'Données projet'!$E$14+1,1))-AVERAGE(OFFSET($H$3,0,0,'Données projet'!$E$14+1,1))</f>
        <v>75.244137291704476</v>
      </c>
      <c r="DU91" s="62">
        <f t="shared" si="98"/>
        <v>366.065475656937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19.594122028656994</v>
      </c>
      <c r="EB91" s="23">
        <f>EXP(-LN(2)/25)*EB90+(1-EXP(-LN(2)/25))/(LN(2)/25)*Calculateur!DW91*Calculateur!DY91*VLOOKUP('Données projet'!$B$14,Paramètres!$A$1:$I$89,3,0)*0.475*44/12</f>
        <v>2.7802773369185156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22.37439936557551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5.4</v>
      </c>
      <c r="EJ91" s="13">
        <f>IF('Données projet'!$A$192&gt;35,EJ90+EI91-ER90,IF(A91&lt;'Données projet'!$A$192,$EG$205^A91,IF(A91='Données projet'!$A$192,'Données projet'!$B$192,EJ90+EI91-ER90)))</f>
        <v>264.2000000000001</v>
      </c>
      <c r="EK91" s="18">
        <f>EJ91*VLOOKUP('Données projet'!$B$15,Paramètres!$A$1:$I$89,3,0)*VLOOKUP('Données projet'!$B$15,Paramètres!$A$1:$I$89,5,0)</f>
        <v>255.5342400000001</v>
      </c>
      <c r="EL91" s="14">
        <f t="shared" si="99"/>
        <v>61.769500671543469</v>
      </c>
      <c r="EM91" s="22">
        <f t="shared" si="73"/>
        <v>552.63734833627166</v>
      </c>
      <c r="EN91" s="62">
        <f t="shared" si="74"/>
        <v>817.83744972934267</v>
      </c>
      <c r="EO91" s="62">
        <f ca="1">AVERAGE(OFFSET($EN$3,0,0,'Données projet'!$E$15+1,1))-AVERAGE(OFFSET($H$3,0,0,'Données projet'!$E$15+1,1))</f>
        <v>452.74627739105745</v>
      </c>
      <c r="EP91" s="62">
        <f t="shared" si="100"/>
        <v>281.80695725575106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5.4</v>
      </c>
      <c r="FE91" s="13">
        <f>IF('Données projet'!$A$218&gt;35,FE90+FD91-FM90,IF(A91&lt;'Données projet'!$A$218,$FB$205^A91,IF(A91='Données projet'!$A$218,'Données projet'!$B$218,FE90+FD91-FM90)))</f>
        <v>264.2000000000001</v>
      </c>
      <c r="FF91" s="18">
        <f>FE91*VLOOKUP('Données projet'!$B$16,Paramètres!$A$1:$I$89,3,0)*VLOOKUP('Données projet'!$B$16,Paramètres!$A$1:$I$89,5,0)</f>
        <v>284.38488000000012</v>
      </c>
      <c r="FG91" s="14">
        <f t="shared" si="101"/>
        <v>67.892820380623348</v>
      </c>
      <c r="FH91" s="22">
        <f t="shared" si="76"/>
        <v>613.55032816291907</v>
      </c>
      <c r="FI91" s="62">
        <f t="shared" si="77"/>
        <v>878.75042955599008</v>
      </c>
      <c r="FJ91" s="62">
        <f ca="1">AVERAGE(OFFSET($FI$3,0,0,'Données projet'!$E$16+1,1))-AVERAGE(OFFSET($H$3,0,0,'Données projet'!$E$16+1,1))</f>
        <v>492.72391755143508</v>
      </c>
      <c r="FK91" s="62">
        <f t="shared" si="102"/>
        <v>304.88554179994355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62.32730037992846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143.77000000000001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-5.6843418860808015E-14</v>
      </c>
      <c r="O92" s="14">
        <f>N92*VLOOKUP('Données projet'!$B$9,Paramètres!$A$1:$I$89,3,0)*VLOOKUP('Données projet'!$B$9,Paramètres!$A$1:$I$89,5,0)</f>
        <v>-5.1431925385259088E-14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388.8309693898596</v>
      </c>
      <c r="T92" s="62">
        <f t="shared" si="88"/>
        <v>549.06702041234382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3.290288509071063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3.290288509071063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>
        <f>AI92*VLOOKUP('Données projet'!$B$10,Paramètres!$A$1:$I$89,3,0)*VLOOKUP('Données projet'!$B$10,Paramètres!$A$1:$I$89,5,0)</f>
        <v>6.7984728957526396E-14</v>
      </c>
      <c r="AK92" s="14">
        <f t="shared" si="89"/>
        <v>1.0682447123141398E-12</v>
      </c>
      <c r="AL92" s="22">
        <f t="shared" si="58"/>
        <v>1.978932943548152E-12</v>
      </c>
      <c r="AM92" s="62">
        <f t="shared" si="59"/>
        <v>265.6881500707525</v>
      </c>
      <c r="AN92" s="62">
        <f ca="1">AVERAGE(OFFSET($AM$3,0,0,'Données projet'!$E$10+1,1))-AVERAGE(OFFSET($H$3,0,0,'Données projet'!$E$10+1,1))</f>
        <v>197.85998851681552</v>
      </c>
      <c r="AO92" s="62">
        <f t="shared" si="90"/>
        <v>474.54844785896239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16.574594434587915</v>
      </c>
      <c r="AV92" s="23">
        <f>EXP(-LN(2)/25)*AV91+(1-EXP(-LN(2)/25))/(LN(2)/25)*Calculateur!AQ92*Calculateur!AS92*VLOOKUP('Données projet'!$B$10,Paramètres!$A$1:$I$89,3,0)*0.475*44/12</f>
        <v>8.5608399364135543</v>
      </c>
      <c r="AW92" s="23">
        <f>EXP(-LN(2)/2)*AW91+(1-EXP(-LN(2)/2))/(LN(2)/2)*AQ92*AT92*VLOOKUP('Données projet'!$B$10,Paramètres!$A$1:$I$89,3,0)*0.475*44/12</f>
        <v>5.7382123970347974E-8</v>
      </c>
      <c r="AX92" s="23">
        <f t="shared" si="60"/>
        <v>25.135434428383594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1.1368683772161603E-13</v>
      </c>
      <c r="BE92" s="14">
        <f>BD92*VLOOKUP('Données projet'!$B$11,Paramètres!$A$1:$I$89,3,0)*VLOOKUP('Données projet'!$B$11,Paramètres!$A$1:$I$89,5,0)</f>
        <v>6.7984728957526396E-14</v>
      </c>
      <c r="BF92" s="14">
        <f t="shared" si="91"/>
        <v>1.0682447123141398E-12</v>
      </c>
      <c r="BG92" s="22">
        <f t="shared" si="61"/>
        <v>1.978932943548152E-12</v>
      </c>
      <c r="BH92" s="62">
        <f t="shared" si="62"/>
        <v>265.6881500707525</v>
      </c>
      <c r="BI92" s="62">
        <f ca="1">AVERAGE(OFFSET($BH$3,0,0,'Données projet'!$E$11+1,1))-AVERAGE(OFFSET($H$3,0,0,'Données projet'!$E$11+1,1))</f>
        <v>197.85998851681552</v>
      </c>
      <c r="BJ92" s="62">
        <f t="shared" si="92"/>
        <v>474.54844785896239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16.574594434587915</v>
      </c>
      <c r="BQ92" s="23">
        <f>EXP(-LN(2)/25)*BQ91+(1-EXP(-LN(2)/25))/(LN(2)/25)*Calculateur!BL92*Calculateur!BN92*VLOOKUP('Données projet'!$B$11,Paramètres!$A$1:$I$89,3,0)*0.475*44/12</f>
        <v>8.5608399364135543</v>
      </c>
      <c r="BR92" s="23">
        <f>EXP(-LN(2)/2)*BR91+(1-EXP(-LN(2)/2))/(LN(2)/2)*BL92*BO92*VLOOKUP('Données projet'!$B$11,Paramètres!$A$1:$I$89,3,0)*0.475*44/12</f>
        <v>5.7382123970347974E-8</v>
      </c>
      <c r="BS92" s="24">
        <f t="shared" si="63"/>
        <v>25.135434428383594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>
        <f>BY92*VLOOKUP('Données projet'!$B$12,Paramètres!$A$1:$I$89,3,0)*VLOOKUP('Données projet'!$B$12,Paramètres!$A$1:$I$89,5,0)</f>
        <v>0</v>
      </c>
      <c r="CA92" s="14" t="e">
        <f t="shared" si="93"/>
        <v>#NUM!</v>
      </c>
      <c r="CB92" s="22" t="e">
        <f t="shared" si="64"/>
        <v>#NUM!</v>
      </c>
      <c r="CC92" s="62" t="e">
        <f t="shared" si="65"/>
        <v>#NUM!</v>
      </c>
      <c r="CD92" s="62">
        <f ca="1">AVERAGE(OFFSET($CC$3,0,0,'Données projet'!$E$12+1,1))-AVERAGE(OFFSET($H$3,0,0,'Données projet'!$E$12+1,1))</f>
        <v>72.97248599808384</v>
      </c>
      <c r="CE92" s="62">
        <f t="shared" si="94"/>
        <v>346.88163654003574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18.066174906417057</v>
      </c>
      <c r="CL92" s="23">
        <f>EXP(-LN(2)/25)*CL91+(1-EXP(-LN(2)/25))/(LN(2)/25)*Calculateur!CG92*Calculateur!CI92*VLOOKUP('Données projet'!$B$12,Paramètres!$A$1:$I$89,3,0)*0.475*44/12</f>
        <v>2.5432448801797238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20.609419786596781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>
        <f>CT92*VLOOKUP('Données projet'!$B$13,Paramètres!$A$1:$I$89,3,0)*VLOOKUP('Données projet'!$B$13,Paramètres!$A$1:$I$89,5,0)</f>
        <v>0</v>
      </c>
      <c r="CV92" s="14" t="e">
        <f t="shared" si="95"/>
        <v>#NUM!</v>
      </c>
      <c r="CW92" s="22" t="e">
        <f t="shared" si="67"/>
        <v>#NUM!</v>
      </c>
      <c r="CX92" s="62" t="e">
        <f t="shared" si="68"/>
        <v>#NUM!</v>
      </c>
      <c r="CY92" s="62">
        <f ca="1">AVERAGE(OFFSET($CX$3,0,0,'Données projet'!$E$13+1,1))-AVERAGE(OFFSET($H$3,0,0,'Données projet'!$E$13+1,1))</f>
        <v>67.303283896086128</v>
      </c>
      <c r="CZ92" s="62">
        <f t="shared" si="96"/>
        <v>318.97925671653547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16.405495876022183</v>
      </c>
      <c r="DG92" s="23">
        <f>EXP(-LN(2)/25)*DG91+(1-EXP(-LN(2)/25))/(LN(2)/25)*Calculateur!DB92*Calculateur!DD92*VLOOKUP('Données projet'!$B$13,Paramètres!$A$1:$I$89,3,0)*0.475*44/12</f>
        <v>2.3094647101353454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18.714960586157527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>
        <f>DO92*VLOOKUP('Données projet'!$B$14,Paramètres!$A$1:$I$89,3,0)*VLOOKUP('Données projet'!$B$14,Paramètres!$A$1:$I$89,5,0)</f>
        <v>0</v>
      </c>
      <c r="DQ92" s="14" t="e">
        <f t="shared" si="97"/>
        <v>#NUM!</v>
      </c>
      <c r="DR92" s="22" t="e">
        <f t="shared" si="70"/>
        <v>#NUM!</v>
      </c>
      <c r="DS92" s="62" t="e">
        <f t="shared" si="71"/>
        <v>#NUM!</v>
      </c>
      <c r="DT92" s="62">
        <f ca="1">AVERAGE(OFFSET($DS$3,0,0,'Données projet'!$E$14+1,1))-AVERAGE(OFFSET($H$3,0,0,'Données projet'!$E$14+1,1))</f>
        <v>75.244137291704476</v>
      </c>
      <c r="DU92" s="62">
        <f t="shared" si="98"/>
        <v>366.065475656937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19.209893246909381</v>
      </c>
      <c r="EB92" s="23">
        <f>EXP(-LN(2)/25)*EB91+(1-EXP(-LN(2)/25))/(LN(2)/25)*Calculateur!DW92*Calculateur!DY92*VLOOKUP('Données projet'!$B$14,Paramètres!$A$1:$I$89,3,0)*0.475*44/12</f>
        <v>2.7042505069320479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21.914143753841429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5.4</v>
      </c>
      <c r="EJ92" s="13">
        <f>IF('Données projet'!$A$192&gt;35,EJ91+EI92-ER91,IF(A92&lt;'Données projet'!$A$192,$EG$205^A92,IF(A92='Données projet'!$A$192,'Données projet'!$B$192,EJ91+EI92-ER91)))</f>
        <v>269.60000000000008</v>
      </c>
      <c r="EK92" s="18">
        <f>EJ92*VLOOKUP('Données projet'!$B$15,Paramètres!$A$1:$I$89,3,0)*VLOOKUP('Données projet'!$B$15,Paramètres!$A$1:$I$89,5,0)</f>
        <v>260.7571200000001</v>
      </c>
      <c r="EL92" s="14">
        <f t="shared" si="99"/>
        <v>62.883738022168423</v>
      </c>
      <c r="EM92" s="22">
        <f t="shared" si="73"/>
        <v>563.67449438861013</v>
      </c>
      <c r="EN92" s="62">
        <f t="shared" si="74"/>
        <v>829.36264445936058</v>
      </c>
      <c r="EO92" s="62">
        <f ca="1">AVERAGE(OFFSET($EN$3,0,0,'Données projet'!$E$15+1,1))-AVERAGE(OFFSET($H$3,0,0,'Données projet'!$E$15+1,1))</f>
        <v>452.74627739105745</v>
      </c>
      <c r="EP92" s="62">
        <f t="shared" si="100"/>
        <v>281.80695725575106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5.4</v>
      </c>
      <c r="FE92" s="13">
        <f>IF('Données projet'!$A$218&gt;35,FE91+FD92-FM91,IF(A92&lt;'Données projet'!$A$218,$FB$205^A92,IF(A92='Données projet'!$A$218,'Données projet'!$B$218,FE91+FD92-FM91)))</f>
        <v>269.60000000000008</v>
      </c>
      <c r="FF92" s="18">
        <f>FE92*VLOOKUP('Données projet'!$B$16,Paramètres!$A$1:$I$89,3,0)*VLOOKUP('Données projet'!$B$16,Paramètres!$A$1:$I$89,5,0)</f>
        <v>290.19744000000003</v>
      </c>
      <c r="FG92" s="14">
        <f t="shared" si="101"/>
        <v>69.117514047966083</v>
      </c>
      <c r="FH92" s="22">
        <f t="shared" si="76"/>
        <v>625.80687830020759</v>
      </c>
      <c r="FI92" s="62">
        <f t="shared" si="77"/>
        <v>891.49502837095815</v>
      </c>
      <c r="FJ92" s="62">
        <f ca="1">AVERAGE(OFFSET($FI$3,0,0,'Données projet'!$E$16+1,1))-AVERAGE(OFFSET($H$3,0,0,'Données projet'!$E$16+1,1))</f>
        <v>492.72391755143508</v>
      </c>
      <c r="FK92" s="62">
        <f t="shared" si="102"/>
        <v>304.88554179994355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62.460404564750142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143.77000000000001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-5.6843418860808015E-14</v>
      </c>
      <c r="O93" s="14">
        <f>N93*VLOOKUP('Données projet'!$B$9,Paramètres!$A$1:$I$89,3,0)*VLOOKUP('Données projet'!$B$9,Paramètres!$A$1:$I$89,5,0)</f>
        <v>-5.1431925385259088E-14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388.8309693898596</v>
      </c>
      <c r="T93" s="62">
        <f t="shared" si="88"/>
        <v>549.06702041234382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3.2257679582860073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3.2257679582860073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>
        <f>AI93*VLOOKUP('Données projet'!$B$10,Paramètres!$A$1:$I$89,3,0)*VLOOKUP('Données projet'!$B$10,Paramètres!$A$1:$I$89,5,0)</f>
        <v>6.7984728957526396E-14</v>
      </c>
      <c r="AK93" s="14">
        <f t="shared" si="89"/>
        <v>1.0682447123141398E-12</v>
      </c>
      <c r="AL93" s="22">
        <f t="shared" si="58"/>
        <v>1.978932943548152E-12</v>
      </c>
      <c r="AM93" s="62">
        <f t="shared" si="59"/>
        <v>266.16773219498771</v>
      </c>
      <c r="AN93" s="62">
        <f ca="1">AVERAGE(OFFSET($AM$3,0,0,'Données projet'!$E$10+1,1))-AVERAGE(OFFSET($H$3,0,0,'Données projet'!$E$10+1,1))</f>
        <v>197.85998851681552</v>
      </c>
      <c r="AO93" s="62">
        <f t="shared" si="90"/>
        <v>474.54844785896239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16.249576747230019</v>
      </c>
      <c r="AV93" s="23">
        <f>EXP(-LN(2)/25)*AV92+(1-EXP(-LN(2)/25))/(LN(2)/25)*Calculateur!AQ93*Calculateur!AS93*VLOOKUP('Données projet'!$B$10,Paramètres!$A$1:$I$89,3,0)*0.475*44/12</f>
        <v>8.3267433181573196</v>
      </c>
      <c r="AW93" s="23">
        <f>EXP(-LN(2)/2)*AW92+(1-EXP(-LN(2)/2))/(LN(2)/2)*AQ93*AT93*VLOOKUP('Données projet'!$B$10,Paramètres!$A$1:$I$89,3,0)*0.475*44/12</f>
        <v>4.0575288978320192E-8</v>
      </c>
      <c r="AX93" s="23">
        <f t="shared" si="60"/>
        <v>24.57632010596263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1.1368683772161603E-13</v>
      </c>
      <c r="BE93" s="14">
        <f>BD93*VLOOKUP('Données projet'!$B$11,Paramètres!$A$1:$I$89,3,0)*VLOOKUP('Données projet'!$B$11,Paramètres!$A$1:$I$89,5,0)</f>
        <v>6.7984728957526396E-14</v>
      </c>
      <c r="BF93" s="14">
        <f t="shared" si="91"/>
        <v>1.0682447123141398E-12</v>
      </c>
      <c r="BG93" s="22">
        <f t="shared" si="61"/>
        <v>1.978932943548152E-12</v>
      </c>
      <c r="BH93" s="62">
        <f t="shared" si="62"/>
        <v>266.16773219498771</v>
      </c>
      <c r="BI93" s="62">
        <f ca="1">AVERAGE(OFFSET($BH$3,0,0,'Données projet'!$E$11+1,1))-AVERAGE(OFFSET($H$3,0,0,'Données projet'!$E$11+1,1))</f>
        <v>197.85998851681552</v>
      </c>
      <c r="BJ93" s="62">
        <f t="shared" si="92"/>
        <v>474.54844785896239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16.249576747230019</v>
      </c>
      <c r="BQ93" s="23">
        <f>EXP(-LN(2)/25)*BQ92+(1-EXP(-LN(2)/25))/(LN(2)/25)*Calculateur!BL93*Calculateur!BN93*VLOOKUP('Données projet'!$B$11,Paramètres!$A$1:$I$89,3,0)*0.475*44/12</f>
        <v>8.3267433181573196</v>
      </c>
      <c r="BR93" s="23">
        <f>EXP(-LN(2)/2)*BR92+(1-EXP(-LN(2)/2))/(LN(2)/2)*BL93*BO93*VLOOKUP('Données projet'!$B$11,Paramètres!$A$1:$I$89,3,0)*0.475*44/12</f>
        <v>4.0575288978320192E-8</v>
      </c>
      <c r="BS93" s="24">
        <f t="shared" si="63"/>
        <v>24.57632010596263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>
        <f>BY93*VLOOKUP('Données projet'!$B$12,Paramètres!$A$1:$I$89,3,0)*VLOOKUP('Données projet'!$B$12,Paramètres!$A$1:$I$89,5,0)</f>
        <v>0</v>
      </c>
      <c r="CA93" s="14" t="e">
        <f t="shared" si="93"/>
        <v>#NUM!</v>
      </c>
      <c r="CB93" s="22" t="e">
        <f t="shared" si="64"/>
        <v>#NUM!</v>
      </c>
      <c r="CC93" s="62" t="e">
        <f t="shared" si="65"/>
        <v>#NUM!</v>
      </c>
      <c r="CD93" s="62">
        <f ca="1">AVERAGE(OFFSET($CC$3,0,0,'Données projet'!$E$12+1,1))-AVERAGE(OFFSET($H$3,0,0,'Données projet'!$E$12+1,1))</f>
        <v>72.97248599808384</v>
      </c>
      <c r="CE93" s="62">
        <f t="shared" si="94"/>
        <v>346.88163654003574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17.711908235780847</v>
      </c>
      <c r="CL93" s="23">
        <f>EXP(-LN(2)/25)*CL92+(1-EXP(-LN(2)/25))/(LN(2)/25)*Calculateur!CG93*Calculateur!CI93*VLOOKUP('Données projet'!$B$12,Paramètres!$A$1:$I$89,3,0)*0.475*44/12</f>
        <v>2.4736997151877738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20.18560795096862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>
        <f>CT93*VLOOKUP('Données projet'!$B$13,Paramètres!$A$1:$I$89,3,0)*VLOOKUP('Données projet'!$B$13,Paramètres!$A$1:$I$89,5,0)</f>
        <v>0</v>
      </c>
      <c r="CV93" s="14" t="e">
        <f t="shared" si="95"/>
        <v>#NUM!</v>
      </c>
      <c r="CW93" s="22" t="e">
        <f t="shared" si="67"/>
        <v>#NUM!</v>
      </c>
      <c r="CX93" s="62" t="e">
        <f t="shared" si="68"/>
        <v>#NUM!</v>
      </c>
      <c r="CY93" s="62">
        <f ca="1">AVERAGE(OFFSET($CX$3,0,0,'Données projet'!$E$13+1,1))-AVERAGE(OFFSET($H$3,0,0,'Données projet'!$E$13+1,1))</f>
        <v>67.303283896086128</v>
      </c>
      <c r="CZ93" s="62">
        <f t="shared" si="96"/>
        <v>318.97925671653547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16.083794108257827</v>
      </c>
      <c r="DG93" s="23">
        <f>EXP(-LN(2)/25)*DG92+(1-EXP(-LN(2)/25))/(LN(2)/25)*Calculateur!DB93*Calculateur!DD93*VLOOKUP('Données projet'!$B$13,Paramètres!$A$1:$I$89,3,0)*0.475*44/12</f>
        <v>2.2463122761872234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18.330106384445049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>
        <f>DO93*VLOOKUP('Données projet'!$B$14,Paramètres!$A$1:$I$89,3,0)*VLOOKUP('Données projet'!$B$14,Paramètres!$A$1:$I$89,5,0)</f>
        <v>0</v>
      </c>
      <c r="DQ93" s="14" t="e">
        <f t="shared" si="97"/>
        <v>#NUM!</v>
      </c>
      <c r="DR93" s="22" t="e">
        <f t="shared" si="70"/>
        <v>#NUM!</v>
      </c>
      <c r="DS93" s="62" t="e">
        <f t="shared" si="71"/>
        <v>#NUM!</v>
      </c>
      <c r="DT93" s="62">
        <f ca="1">AVERAGE(OFFSET($DS$3,0,0,'Données projet'!$E$14+1,1))-AVERAGE(OFFSET($H$3,0,0,'Données projet'!$E$14+1,1))</f>
        <v>75.244137291704476</v>
      </c>
      <c r="DU93" s="62">
        <f t="shared" si="98"/>
        <v>366.065475656937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18.833198957215423</v>
      </c>
      <c r="EB93" s="23">
        <f>EXP(-LN(2)/25)*EB92+(1-EXP(-LN(2)/25))/(LN(2)/25)*Calculateur!DW93*Calculateur!DY93*VLOOKUP('Données projet'!$B$14,Paramètres!$A$1:$I$89,3,0)*0.475*44/12</f>
        <v>2.6303026346096376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21.463501591825061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275</v>
      </c>
      <c r="EH93" s="13">
        <f>VLOOKUP(A93,'Données projet'!$A$191:$I$211,9,0)</f>
        <v>5.4</v>
      </c>
      <c r="EI93" s="13">
        <f t="array" ref="EI93">INDEX(EH:EH,MIN(IF(ISNUMBER(EH93:EH289),ROW(EH93:EH289),"")))</f>
        <v>5.4</v>
      </c>
      <c r="EJ93" s="13">
        <f>IF('Données projet'!$A$192&gt;35,EJ92+EI93-ER92,IF(A93&lt;'Données projet'!$A$192,$EG$205^A93,IF(A93='Données projet'!$A$192,'Données projet'!$B$192,EJ92+EI93-ER92)))</f>
        <v>275.00000000000006</v>
      </c>
      <c r="EK93" s="18">
        <f>EJ93*VLOOKUP('Données projet'!$B$15,Paramètres!$A$1:$I$89,3,0)*VLOOKUP('Données projet'!$B$15,Paramètres!$A$1:$I$89,5,0)</f>
        <v>265.98000000000008</v>
      </c>
      <c r="EL93" s="14">
        <f t="shared" si="99"/>
        <v>63.995380422211646</v>
      </c>
      <c r="EM93" s="22">
        <f t="shared" si="73"/>
        <v>574.7071209020188</v>
      </c>
      <c r="EN93" s="62">
        <f t="shared" si="74"/>
        <v>840.87485309700446</v>
      </c>
      <c r="EO93" s="62">
        <f ca="1">AVERAGE(OFFSET($EN$3,0,0,'Données projet'!$E$15+1,1))-AVERAGE(OFFSET($H$3,0,0,'Données projet'!$E$15+1,1))</f>
        <v>452.74627739105745</v>
      </c>
      <c r="EP93" s="62">
        <f t="shared" si="100"/>
        <v>281.80695725575106</v>
      </c>
      <c r="EQ93" s="16">
        <f>IF(ISNA(VLOOKUP(A93,'Données projet'!$A$191:$I$211,3,0)),0,VLOOKUP(A93,'Données projet'!$A$191:$I$211,3,0))</f>
        <v>14</v>
      </c>
      <c r="ER93" s="16">
        <f>IF(ISNA(VLOOKUP(A93,'Données projet'!$A$191:$I$211,4,0)),0,VLOOKUP(A93,'Données projet'!$A$191:$I$211,4,0))</f>
        <v>21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>
        <f>VLOOKUP(A93,'Données projet'!$A$217:$I$237,2,0)</f>
        <v>275</v>
      </c>
      <c r="FC93" s="13">
        <f>VLOOKUP(A93,'Données projet'!$A$217:$I$237,9,0)</f>
        <v>5.4</v>
      </c>
      <c r="FD93" s="13">
        <f t="array" ref="FD93">INDEX(FC:FC,MIN(IF(ISNUMBER(FC93:FC289),ROW(FC93:FC289),"")))</f>
        <v>5.4</v>
      </c>
      <c r="FE93" s="13">
        <f>IF('Données projet'!$A$218&gt;35,FE92+FD93-FM92,IF(A93&lt;'Données projet'!$A$218,$FB$205^A93,IF(A93='Données projet'!$A$218,'Données projet'!$B$218,FE92+FD93-FM92)))</f>
        <v>275.00000000000006</v>
      </c>
      <c r="FF93" s="18">
        <f>FE93*VLOOKUP('Données projet'!$B$16,Paramètres!$A$1:$I$89,3,0)*VLOOKUP('Données projet'!$B$16,Paramètres!$A$1:$I$89,5,0)</f>
        <v>296.01000000000005</v>
      </c>
      <c r="FG93" s="14">
        <f t="shared" si="101"/>
        <v>70.339355522692159</v>
      </c>
      <c r="FH93" s="22">
        <f t="shared" si="76"/>
        <v>638.05846086868894</v>
      </c>
      <c r="FI93" s="62">
        <f t="shared" si="77"/>
        <v>904.2261930636746</v>
      </c>
      <c r="FJ93" s="62">
        <f ca="1">AVERAGE(OFFSET($FI$3,0,0,'Données projet'!$E$16+1,1))-AVERAGE(OFFSET($H$3,0,0,'Données projet'!$E$16+1,1))</f>
        <v>492.72391755143508</v>
      </c>
      <c r="FK93" s="62">
        <f t="shared" si="102"/>
        <v>304.88554179994355</v>
      </c>
      <c r="FL93" s="16">
        <f>IF(ISNA(VLOOKUP(A93,'Données projet'!$A$217:$I$237,3,0)),0,VLOOKUP(A93,'Données projet'!$A$217:$I$237,3,0))</f>
        <v>14</v>
      </c>
      <c r="FM93" s="16">
        <f>IF(ISNA(VLOOKUP(A93,'Données projet'!$A$217:$I$237,4,0)),0,VLOOKUP(A93,'Données projet'!$A$217:$I$237,4,0))</f>
        <v>21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62.591199689541554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143.77000000000001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-5.6843418860808015E-14</v>
      </c>
      <c r="O94" s="14">
        <f>N94*VLOOKUP('Données projet'!$B$9,Paramètres!$A$1:$I$89,3,0)*VLOOKUP('Données projet'!$B$9,Paramètres!$A$1:$I$89,5,0)</f>
        <v>-5.1431925385259088E-14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388.8309693898596</v>
      </c>
      <c r="T94" s="62">
        <f t="shared" si="88"/>
        <v>549.06702041234382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3.1625126161481965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3.1625126161481965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>
        <f>AI94*VLOOKUP('Données projet'!$B$10,Paramètres!$A$1:$I$89,3,0)*VLOOKUP('Données projet'!$B$10,Paramètres!$A$1:$I$89,5,0)</f>
        <v>6.7984728957526396E-14</v>
      </c>
      <c r="AK94" s="14">
        <f t="shared" si="89"/>
        <v>1.0682447123141398E-12</v>
      </c>
      <c r="AL94" s="22">
        <f t="shared" si="58"/>
        <v>1.978932943548152E-12</v>
      </c>
      <c r="AM94" s="62">
        <f t="shared" si="59"/>
        <v>266.63899464155236</v>
      </c>
      <c r="AN94" s="62">
        <f ca="1">AVERAGE(OFFSET($AM$3,0,0,'Données projet'!$E$10+1,1))-AVERAGE(OFFSET($H$3,0,0,'Données projet'!$E$10+1,1))</f>
        <v>197.85998851681552</v>
      </c>
      <c r="AO94" s="62">
        <f t="shared" si="90"/>
        <v>474.54844785896239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15.930932458479999</v>
      </c>
      <c r="AV94" s="23">
        <f>EXP(-LN(2)/25)*AV93+(1-EXP(-LN(2)/25))/(LN(2)/25)*Calculateur!AQ94*Calculateur!AS94*VLOOKUP('Données projet'!$B$10,Paramètres!$A$1:$I$89,3,0)*0.475*44/12</f>
        <v>8.0990480842379071</v>
      </c>
      <c r="AW94" s="23">
        <f>EXP(-LN(2)/2)*AW93+(1-EXP(-LN(2)/2))/(LN(2)/2)*AQ94*AT94*VLOOKUP('Données projet'!$B$10,Paramètres!$A$1:$I$89,3,0)*0.475*44/12</f>
        <v>2.869106198517399E-8</v>
      </c>
      <c r="AX94" s="23">
        <f t="shared" si="60"/>
        <v>24.02998057140897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1.1368683772161603E-13</v>
      </c>
      <c r="BE94" s="14">
        <f>BD94*VLOOKUP('Données projet'!$B$11,Paramètres!$A$1:$I$89,3,0)*VLOOKUP('Données projet'!$B$11,Paramètres!$A$1:$I$89,5,0)</f>
        <v>6.7984728957526396E-14</v>
      </c>
      <c r="BF94" s="14">
        <f t="shared" si="91"/>
        <v>1.0682447123141398E-12</v>
      </c>
      <c r="BG94" s="22">
        <f t="shared" si="61"/>
        <v>1.978932943548152E-12</v>
      </c>
      <c r="BH94" s="62">
        <f t="shared" si="62"/>
        <v>266.63899464155236</v>
      </c>
      <c r="BI94" s="62">
        <f ca="1">AVERAGE(OFFSET($BH$3,0,0,'Données projet'!$E$11+1,1))-AVERAGE(OFFSET($H$3,0,0,'Données projet'!$E$11+1,1))</f>
        <v>197.85998851681552</v>
      </c>
      <c r="BJ94" s="62">
        <f t="shared" si="92"/>
        <v>474.54844785896239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15.930932458479999</v>
      </c>
      <c r="BQ94" s="23">
        <f>EXP(-LN(2)/25)*BQ93+(1-EXP(-LN(2)/25))/(LN(2)/25)*Calculateur!BL94*Calculateur!BN94*VLOOKUP('Données projet'!$B$11,Paramètres!$A$1:$I$89,3,0)*0.475*44/12</f>
        <v>8.0990480842379071</v>
      </c>
      <c r="BR94" s="23">
        <f>EXP(-LN(2)/2)*BR93+(1-EXP(-LN(2)/2))/(LN(2)/2)*BL94*BO94*VLOOKUP('Données projet'!$B$11,Paramètres!$A$1:$I$89,3,0)*0.475*44/12</f>
        <v>2.869106198517399E-8</v>
      </c>
      <c r="BS94" s="24">
        <f t="shared" si="63"/>
        <v>24.02998057140897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>
        <f>BY94*VLOOKUP('Données projet'!$B$12,Paramètres!$A$1:$I$89,3,0)*VLOOKUP('Données projet'!$B$12,Paramètres!$A$1:$I$89,5,0)</f>
        <v>0</v>
      </c>
      <c r="CA94" s="14" t="e">
        <f t="shared" si="93"/>
        <v>#NUM!</v>
      </c>
      <c r="CB94" s="22" t="e">
        <f t="shared" si="64"/>
        <v>#NUM!</v>
      </c>
      <c r="CC94" s="62" t="e">
        <f t="shared" si="65"/>
        <v>#NUM!</v>
      </c>
      <c r="CD94" s="62">
        <f ca="1">AVERAGE(OFFSET($CC$3,0,0,'Données projet'!$E$12+1,1))-AVERAGE(OFFSET($H$3,0,0,'Données projet'!$E$12+1,1))</f>
        <v>72.97248599808384</v>
      </c>
      <c r="CE94" s="62">
        <f t="shared" si="94"/>
        <v>346.88163654003574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17.364588518474481</v>
      </c>
      <c r="CL94" s="23">
        <f>EXP(-LN(2)/25)*CL93+(1-EXP(-LN(2)/25))/(LN(2)/25)*Calculateur!CG94*Calculateur!CI94*VLOOKUP('Données projet'!$B$12,Paramètres!$A$1:$I$89,3,0)*0.475*44/12</f>
        <v>2.4060562663897498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19.770644784864231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>
        <f>CT94*VLOOKUP('Données projet'!$B$13,Paramètres!$A$1:$I$89,3,0)*VLOOKUP('Données projet'!$B$13,Paramètres!$A$1:$I$89,5,0)</f>
        <v>0</v>
      </c>
      <c r="CV94" s="14" t="e">
        <f t="shared" si="95"/>
        <v>#NUM!</v>
      </c>
      <c r="CW94" s="22" t="e">
        <f t="shared" si="67"/>
        <v>#NUM!</v>
      </c>
      <c r="CX94" s="62" t="e">
        <f t="shared" si="68"/>
        <v>#NUM!</v>
      </c>
      <c r="CY94" s="62">
        <f ca="1">AVERAGE(OFFSET($CX$3,0,0,'Données projet'!$E$13+1,1))-AVERAGE(OFFSET($H$3,0,0,'Données projet'!$E$13+1,1))</f>
        <v>67.303283896086128</v>
      </c>
      <c r="CZ94" s="62">
        <f t="shared" si="96"/>
        <v>318.97925671653547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15.768400715940626</v>
      </c>
      <c r="DG94" s="23">
        <f>EXP(-LN(2)/25)*DG93+(1-EXP(-LN(2)/25))/(LN(2)/25)*Calculateur!DB94*Calculateur!DD94*VLOOKUP('Données projet'!$B$13,Paramètres!$A$1:$I$89,3,0)*0.475*44/12</f>
        <v>2.1848867488664552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17.953287464807079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>
        <f>DO94*VLOOKUP('Données projet'!$B$14,Paramètres!$A$1:$I$89,3,0)*VLOOKUP('Données projet'!$B$14,Paramètres!$A$1:$I$89,5,0)</f>
        <v>0</v>
      </c>
      <c r="DQ94" s="14" t="e">
        <f t="shared" si="97"/>
        <v>#NUM!</v>
      </c>
      <c r="DR94" s="22" t="e">
        <f t="shared" si="70"/>
        <v>#NUM!</v>
      </c>
      <c r="DS94" s="62" t="e">
        <f t="shared" si="71"/>
        <v>#NUM!</v>
      </c>
      <c r="DT94" s="62">
        <f ca="1">AVERAGE(OFFSET($DS$3,0,0,'Données projet'!$E$14+1,1))-AVERAGE(OFFSET($H$3,0,0,'Données projet'!$E$14+1,1))</f>
        <v>75.244137291704476</v>
      </c>
      <c r="DU94" s="62">
        <f t="shared" si="98"/>
        <v>366.065475656937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18.463891412781532</v>
      </c>
      <c r="EB94" s="23">
        <f>EXP(-LN(2)/25)*EB93+(1-EXP(-LN(2)/25))/(LN(2)/25)*Calculateur!DW94*Calculateur!DY94*VLOOKUP('Données projet'!$B$14,Paramètres!$A$1:$I$89,3,0)*0.475*44/12</f>
        <v>2.5583768707446333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21.022268283526166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5</v>
      </c>
      <c r="EJ94" s="13">
        <f>IF('Données projet'!$A$192&gt;35,EJ93+EI94-ER93,IF(A94&lt;'Données projet'!$A$192,$EG$205^A94,IF(A94='Données projet'!$A$192,'Données projet'!$B$192,EJ93+EI94-ER93)))</f>
        <v>259.00000000000006</v>
      </c>
      <c r="EK94" s="18">
        <f>EJ94*VLOOKUP('Données projet'!$B$15,Paramètres!$A$1:$I$89,3,0)*VLOOKUP('Données projet'!$B$15,Paramètres!$A$1:$I$89,5,0)</f>
        <v>250.50480000000007</v>
      </c>
      <c r="EL94" s="14">
        <f t="shared" si="99"/>
        <v>60.694023481225415</v>
      </c>
      <c r="EM94" s="22">
        <f t="shared" si="73"/>
        <v>542.00461756313427</v>
      </c>
      <c r="EN94" s="62">
        <f t="shared" si="74"/>
        <v>808.64361220468459</v>
      </c>
      <c r="EO94" s="62">
        <f ca="1">AVERAGE(OFFSET($EN$3,0,0,'Données projet'!$E$15+1,1))-AVERAGE(OFFSET($H$3,0,0,'Données projet'!$E$15+1,1))</f>
        <v>452.74627739105745</v>
      </c>
      <c r="EP94" s="62">
        <f t="shared" si="100"/>
        <v>281.80695725575106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5</v>
      </c>
      <c r="FE94" s="13">
        <f>IF('Données projet'!$A$218&gt;35,FE93+FD94-FM93,IF(A94&lt;'Données projet'!$A$218,$FB$205^A94,IF(A94='Données projet'!$A$218,'Données projet'!$B$218,FE93+FD94-FM93)))</f>
        <v>259.00000000000006</v>
      </c>
      <c r="FF94" s="18">
        <f>FE94*VLOOKUP('Données projet'!$B$16,Paramètres!$A$1:$I$89,3,0)*VLOOKUP('Données projet'!$B$16,Paramètres!$A$1:$I$89,5,0)</f>
        <v>278.78760000000005</v>
      </c>
      <c r="FG94" s="14">
        <f t="shared" si="101"/>
        <v>66.710729236743305</v>
      </c>
      <c r="FH94" s="22">
        <f t="shared" si="76"/>
        <v>601.74292342066133</v>
      </c>
      <c r="FI94" s="62">
        <f t="shared" si="77"/>
        <v>868.38191806221175</v>
      </c>
      <c r="FJ94" s="62">
        <f ca="1">AVERAGE(OFFSET($FI$3,0,0,'Données projet'!$E$16+1,1))-AVERAGE(OFFSET($H$3,0,0,'Données projet'!$E$16+1,1))</f>
        <v>492.72391755143508</v>
      </c>
      <c r="FK94" s="62">
        <f t="shared" si="102"/>
        <v>304.88554179994355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62.719725811331919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143.77000000000001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-5.6843418860808015E-14</v>
      </c>
      <c r="O95" s="14">
        <f>N95*VLOOKUP('Données projet'!$B$9,Paramètres!$A$1:$I$89,3,0)*VLOOKUP('Données projet'!$B$9,Paramètres!$A$1:$I$89,5,0)</f>
        <v>-5.1431925385259088E-14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388.8309693898596</v>
      </c>
      <c r="T95" s="62">
        <f t="shared" si="88"/>
        <v>549.06702041234382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3.1004976726877591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3.1004976726877591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>
        <f>AI95*VLOOKUP('Données projet'!$B$10,Paramètres!$A$1:$I$89,3,0)*VLOOKUP('Données projet'!$B$10,Paramètres!$A$1:$I$89,5,0)</f>
        <v>6.7984728957526396E-14</v>
      </c>
      <c r="AK95" s="14">
        <f t="shared" si="89"/>
        <v>1.0682447123141398E-12</v>
      </c>
      <c r="AL95" s="22">
        <f t="shared" si="58"/>
        <v>1.978932943548152E-12</v>
      </c>
      <c r="AM95" s="62">
        <f t="shared" si="59"/>
        <v>267.10208173825413</v>
      </c>
      <c r="AN95" s="62">
        <f ca="1">AVERAGE(OFFSET($AM$3,0,0,'Données projet'!$E$10+1,1))-AVERAGE(OFFSET($H$3,0,0,'Données projet'!$E$10+1,1))</f>
        <v>197.85998851681552</v>
      </c>
      <c r="AO95" s="62">
        <f t="shared" si="90"/>
        <v>474.54844785896239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15.618536589878541</v>
      </c>
      <c r="AV95" s="23">
        <f>EXP(-LN(2)/25)*AV94+(1-EXP(-LN(2)/25))/(LN(2)/25)*Calculateur!AQ95*Calculateur!AS95*VLOOKUP('Données projet'!$B$10,Paramètres!$A$1:$I$89,3,0)*0.475*44/12</f>
        <v>7.8775791884639936</v>
      </c>
      <c r="AW95" s="23">
        <f>EXP(-LN(2)/2)*AW94+(1-EXP(-LN(2)/2))/(LN(2)/2)*AQ95*AT95*VLOOKUP('Données projet'!$B$10,Paramètres!$A$1:$I$89,3,0)*0.475*44/12</f>
        <v>2.0287644489160099E-8</v>
      </c>
      <c r="AX95" s="23">
        <f t="shared" si="60"/>
        <v>23.496115798630179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1.1368683772161603E-13</v>
      </c>
      <c r="BE95" s="14">
        <f>BD95*VLOOKUP('Données projet'!$B$11,Paramètres!$A$1:$I$89,3,0)*VLOOKUP('Données projet'!$B$11,Paramètres!$A$1:$I$89,5,0)</f>
        <v>6.7984728957526396E-14</v>
      </c>
      <c r="BF95" s="14">
        <f t="shared" si="91"/>
        <v>1.0682447123141398E-12</v>
      </c>
      <c r="BG95" s="22">
        <f t="shared" si="61"/>
        <v>1.978932943548152E-12</v>
      </c>
      <c r="BH95" s="62">
        <f t="shared" si="62"/>
        <v>267.10208173825413</v>
      </c>
      <c r="BI95" s="62">
        <f ca="1">AVERAGE(OFFSET($BH$3,0,0,'Données projet'!$E$11+1,1))-AVERAGE(OFFSET($H$3,0,0,'Données projet'!$E$11+1,1))</f>
        <v>197.85998851681552</v>
      </c>
      <c r="BJ95" s="62">
        <f t="shared" si="92"/>
        <v>474.54844785896239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15.618536589878541</v>
      </c>
      <c r="BQ95" s="23">
        <f>EXP(-LN(2)/25)*BQ94+(1-EXP(-LN(2)/25))/(LN(2)/25)*Calculateur!BL95*Calculateur!BN95*VLOOKUP('Données projet'!$B$11,Paramètres!$A$1:$I$89,3,0)*0.475*44/12</f>
        <v>7.8775791884639936</v>
      </c>
      <c r="BR95" s="23">
        <f>EXP(-LN(2)/2)*BR94+(1-EXP(-LN(2)/2))/(LN(2)/2)*BL95*BO95*VLOOKUP('Données projet'!$B$11,Paramètres!$A$1:$I$89,3,0)*0.475*44/12</f>
        <v>2.0287644489160099E-8</v>
      </c>
      <c r="BS95" s="24">
        <f t="shared" si="63"/>
        <v>23.496115798630179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>
        <f>BY95*VLOOKUP('Données projet'!$B$12,Paramètres!$A$1:$I$89,3,0)*VLOOKUP('Données projet'!$B$12,Paramètres!$A$1:$I$89,5,0)</f>
        <v>0</v>
      </c>
      <c r="CA95" s="14" t="e">
        <f t="shared" si="93"/>
        <v>#NUM!</v>
      </c>
      <c r="CB95" s="22" t="e">
        <f t="shared" si="64"/>
        <v>#NUM!</v>
      </c>
      <c r="CC95" s="62" t="e">
        <f t="shared" si="65"/>
        <v>#NUM!</v>
      </c>
      <c r="CD95" s="62">
        <f ca="1">AVERAGE(OFFSET($CC$3,0,0,'Données projet'!$E$12+1,1))-AVERAGE(OFFSET($H$3,0,0,'Données projet'!$E$12+1,1))</f>
        <v>72.97248599808384</v>
      </c>
      <c r="CE95" s="62">
        <f t="shared" si="94"/>
        <v>346.88163654003574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17.024079528980383</v>
      </c>
      <c r="CL95" s="23">
        <f>EXP(-LN(2)/25)*CL94+(1-EXP(-LN(2)/25))/(LN(2)/25)*Calculateur!CG95*Calculateur!CI95*VLOOKUP('Données projet'!$B$12,Paramètres!$A$1:$I$89,3,0)*0.475*44/12</f>
        <v>2.3402625312563221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19.364342060236705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>
        <f>CT95*VLOOKUP('Données projet'!$B$13,Paramètres!$A$1:$I$89,3,0)*VLOOKUP('Données projet'!$B$13,Paramètres!$A$1:$I$89,5,0)</f>
        <v>0</v>
      </c>
      <c r="CV95" s="14" t="e">
        <f t="shared" si="95"/>
        <v>#NUM!</v>
      </c>
      <c r="CW95" s="22" t="e">
        <f t="shared" si="67"/>
        <v>#NUM!</v>
      </c>
      <c r="CX95" s="62" t="e">
        <f t="shared" si="68"/>
        <v>#NUM!</v>
      </c>
      <c r="CY95" s="62">
        <f ca="1">AVERAGE(OFFSET($CX$3,0,0,'Données projet'!$E$13+1,1))-AVERAGE(OFFSET($H$3,0,0,'Données projet'!$E$13+1,1))</f>
        <v>67.303283896086128</v>
      </c>
      <c r="CZ95" s="62">
        <f t="shared" si="96"/>
        <v>318.97925671653547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15.459191995675789</v>
      </c>
      <c r="DG95" s="23">
        <f>EXP(-LN(2)/25)*DG94+(1-EXP(-LN(2)/25))/(LN(2)/25)*Calculateur!DB95*Calculateur!DD95*VLOOKUP('Données projet'!$B$13,Paramètres!$A$1:$I$89,3,0)*0.475*44/12</f>
        <v>2.1251409058205013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17.584332901496289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>
        <f>DO95*VLOOKUP('Données projet'!$B$14,Paramètres!$A$1:$I$89,3,0)*VLOOKUP('Données projet'!$B$14,Paramètres!$A$1:$I$89,5,0)</f>
        <v>0</v>
      </c>
      <c r="DQ95" s="14" t="e">
        <f t="shared" si="97"/>
        <v>#NUM!</v>
      </c>
      <c r="DR95" s="22" t="e">
        <f t="shared" si="70"/>
        <v>#NUM!</v>
      </c>
      <c r="DS95" s="62" t="e">
        <f t="shared" si="71"/>
        <v>#NUM!</v>
      </c>
      <c r="DT95" s="62">
        <f ca="1">AVERAGE(OFFSET($DS$3,0,0,'Données projet'!$E$14+1,1))-AVERAGE(OFFSET($H$3,0,0,'Données projet'!$E$14+1,1))</f>
        <v>75.244137291704476</v>
      </c>
      <c r="DU95" s="62">
        <f t="shared" si="98"/>
        <v>366.065475656937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18.101825764038633</v>
      </c>
      <c r="EB95" s="23">
        <f>EXP(-LN(2)/25)*EB94+(1-EXP(-LN(2)/25))/(LN(2)/25)*Calculateur!DW95*Calculateur!DY95*VLOOKUP('Données projet'!$B$14,Paramètres!$A$1:$I$89,3,0)*0.475*44/12</f>
        <v>2.4884179206749288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20.590243684713563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5</v>
      </c>
      <c r="EJ95" s="13">
        <f>IF('Données projet'!$A$192&gt;35,EJ94+EI95-ER94,IF(A95&lt;'Données projet'!$A$192,$EG$205^A95,IF(A95='Données projet'!$A$192,'Données projet'!$B$192,EJ94+EI95-ER94)))</f>
        <v>264.00000000000006</v>
      </c>
      <c r="EK95" s="18">
        <f>EJ95*VLOOKUP('Données projet'!$B$15,Paramètres!$A$1:$I$89,3,0)*VLOOKUP('Données projet'!$B$15,Paramètres!$A$1:$I$89,5,0)</f>
        <v>255.34080000000006</v>
      </c>
      <c r="EL95" s="14">
        <f t="shared" si="99"/>
        <v>61.728182021951895</v>
      </c>
      <c r="EM95" s="22">
        <f t="shared" si="73"/>
        <v>552.22847702156628</v>
      </c>
      <c r="EN95" s="62">
        <f t="shared" si="74"/>
        <v>819.33055875981836</v>
      </c>
      <c r="EO95" s="62">
        <f ca="1">AVERAGE(OFFSET($EN$3,0,0,'Données projet'!$E$15+1,1))-AVERAGE(OFFSET($H$3,0,0,'Données projet'!$E$15+1,1))</f>
        <v>452.74627739105745</v>
      </c>
      <c r="EP95" s="62">
        <f t="shared" si="100"/>
        <v>281.80695725575106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5</v>
      </c>
      <c r="FE95" s="13">
        <f>IF('Données projet'!$A$218&gt;35,FE94+FD95-FM94,IF(A95&lt;'Données projet'!$A$218,$FB$205^A95,IF(A95='Données projet'!$A$218,'Données projet'!$B$218,FE94+FD95-FM94)))</f>
        <v>264.00000000000006</v>
      </c>
      <c r="FF95" s="18">
        <f>FE95*VLOOKUP('Données projet'!$B$16,Paramètres!$A$1:$I$89,3,0)*VLOOKUP('Données projet'!$B$16,Paramètres!$A$1:$I$89,5,0)</f>
        <v>284.16960000000006</v>
      </c>
      <c r="FG95" s="14">
        <f t="shared" si="101"/>
        <v>67.847405740313931</v>
      </c>
      <c r="FH95" s="22">
        <f t="shared" si="76"/>
        <v>613.0962849977135</v>
      </c>
      <c r="FI95" s="62">
        <f t="shared" si="77"/>
        <v>880.19836673596569</v>
      </c>
      <c r="FJ95" s="62">
        <f ca="1">AVERAGE(OFFSET($FI$3,0,0,'Données projet'!$E$16+1,1))-AVERAGE(OFFSET($H$3,0,0,'Données projet'!$E$16+1,1))</f>
        <v>492.72391755143508</v>
      </c>
      <c r="FK95" s="62">
        <f t="shared" si="102"/>
        <v>304.88554179994355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62.846022292250581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143.77000000000001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-5.6843418860808015E-14</v>
      </c>
      <c r="O96" s="14">
        <f>N96*VLOOKUP('Données projet'!$B$9,Paramètres!$A$1:$I$89,3,0)*VLOOKUP('Données projet'!$B$9,Paramètres!$A$1:$I$89,5,0)</f>
        <v>-5.1431925385259088E-14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388.8309693898596</v>
      </c>
      <c r="T96" s="62">
        <f t="shared" si="88"/>
        <v>549.06702041234382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3.0396988044432001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3.0396988044432001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>
        <f>AI96*VLOOKUP('Données projet'!$B$10,Paramètres!$A$1:$I$89,3,0)*VLOOKUP('Données projet'!$B$10,Paramètres!$A$1:$I$89,5,0)</f>
        <v>6.7984728957526396E-14</v>
      </c>
      <c r="AK96" s="14">
        <f t="shared" si="89"/>
        <v>1.0682447123141398E-12</v>
      </c>
      <c r="AL96" s="22">
        <f t="shared" si="58"/>
        <v>1.978932943548152E-12</v>
      </c>
      <c r="AM96" s="62">
        <f t="shared" si="59"/>
        <v>267.55713530913573</v>
      </c>
      <c r="AN96" s="62">
        <f ca="1">AVERAGE(OFFSET($AM$3,0,0,'Données projet'!$E$10+1,1))-AVERAGE(OFFSET($H$3,0,0,'Données projet'!$E$10+1,1))</f>
        <v>197.85998851681552</v>
      </c>
      <c r="AO96" s="62">
        <f t="shared" si="90"/>
        <v>474.54844785896239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15.312266613717693</v>
      </c>
      <c r="AV96" s="23">
        <f>EXP(-LN(2)/25)*AV95+(1-EXP(-LN(2)/25))/(LN(2)/25)*Calculateur!AQ96*Calculateur!AS96*VLOOKUP('Données projet'!$B$10,Paramètres!$A$1:$I$89,3,0)*0.475*44/12</f>
        <v>7.6621663712915611</v>
      </c>
      <c r="AW96" s="23">
        <f>EXP(-LN(2)/2)*AW95+(1-EXP(-LN(2)/2))/(LN(2)/2)*AQ96*AT96*VLOOKUP('Données projet'!$B$10,Paramètres!$A$1:$I$89,3,0)*0.475*44/12</f>
        <v>1.4345530992586999E-8</v>
      </c>
      <c r="AX96" s="23">
        <f t="shared" si="60"/>
        <v>22.974432999354786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1.1368683772161603E-13</v>
      </c>
      <c r="BE96" s="14">
        <f>BD96*VLOOKUP('Données projet'!$B$11,Paramètres!$A$1:$I$89,3,0)*VLOOKUP('Données projet'!$B$11,Paramètres!$A$1:$I$89,5,0)</f>
        <v>6.7984728957526396E-14</v>
      </c>
      <c r="BF96" s="14">
        <f t="shared" si="91"/>
        <v>1.0682447123141398E-12</v>
      </c>
      <c r="BG96" s="22">
        <f t="shared" si="61"/>
        <v>1.978932943548152E-12</v>
      </c>
      <c r="BH96" s="62">
        <f t="shared" si="62"/>
        <v>267.55713530913573</v>
      </c>
      <c r="BI96" s="62">
        <f ca="1">AVERAGE(OFFSET($BH$3,0,0,'Données projet'!$E$11+1,1))-AVERAGE(OFFSET($H$3,0,0,'Données projet'!$E$11+1,1))</f>
        <v>197.85998851681552</v>
      </c>
      <c r="BJ96" s="62">
        <f t="shared" si="92"/>
        <v>474.54844785896239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15.312266613717693</v>
      </c>
      <c r="BQ96" s="23">
        <f>EXP(-LN(2)/25)*BQ95+(1-EXP(-LN(2)/25))/(LN(2)/25)*Calculateur!BL96*Calculateur!BN96*VLOOKUP('Données projet'!$B$11,Paramètres!$A$1:$I$89,3,0)*0.475*44/12</f>
        <v>7.6621663712915611</v>
      </c>
      <c r="BR96" s="23">
        <f>EXP(-LN(2)/2)*BR95+(1-EXP(-LN(2)/2))/(LN(2)/2)*BL96*BO96*VLOOKUP('Données projet'!$B$11,Paramètres!$A$1:$I$89,3,0)*0.475*44/12</f>
        <v>1.4345530992586999E-8</v>
      </c>
      <c r="BS96" s="24">
        <f t="shared" si="63"/>
        <v>22.974432999354786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>
        <f>BY96*VLOOKUP('Données projet'!$B$12,Paramètres!$A$1:$I$89,3,0)*VLOOKUP('Données projet'!$B$12,Paramètres!$A$1:$I$89,5,0)</f>
        <v>0</v>
      </c>
      <c r="CA96" s="14" t="e">
        <f t="shared" si="93"/>
        <v>#NUM!</v>
      </c>
      <c r="CB96" s="22" t="e">
        <f t="shared" si="64"/>
        <v>#NUM!</v>
      </c>
      <c r="CC96" s="62" t="e">
        <f t="shared" si="65"/>
        <v>#NUM!</v>
      </c>
      <c r="CD96" s="62">
        <f ca="1">AVERAGE(OFFSET($CC$3,0,0,'Données projet'!$E$12+1,1))-AVERAGE(OFFSET($H$3,0,0,'Données projet'!$E$12+1,1))</f>
        <v>72.97248599808384</v>
      </c>
      <c r="CE96" s="62">
        <f t="shared" si="94"/>
        <v>346.88163654003574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16.690247713080289</v>
      </c>
      <c r="CL96" s="23">
        <f>EXP(-LN(2)/25)*CL95+(1-EXP(-LN(2)/25))/(LN(2)/25)*Calculateur!CG96*Calculateur!CI96*VLOOKUP('Données projet'!$B$12,Paramètres!$A$1:$I$89,3,0)*0.475*44/12</f>
        <v>2.2762679292700603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18.966515642350348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>
        <f>CT96*VLOOKUP('Données projet'!$B$13,Paramètres!$A$1:$I$89,3,0)*VLOOKUP('Données projet'!$B$13,Paramètres!$A$1:$I$89,5,0)</f>
        <v>0</v>
      </c>
      <c r="CV96" s="14" t="e">
        <f t="shared" si="95"/>
        <v>#NUM!</v>
      </c>
      <c r="CW96" s="22" t="e">
        <f t="shared" si="67"/>
        <v>#NUM!</v>
      </c>
      <c r="CX96" s="62" t="e">
        <f t="shared" si="68"/>
        <v>#NUM!</v>
      </c>
      <c r="CY96" s="62">
        <f ca="1">AVERAGE(OFFSET($CX$3,0,0,'Données projet'!$E$13+1,1))-AVERAGE(OFFSET($H$3,0,0,'Données projet'!$E$13+1,1))</f>
        <v>67.303283896086128</v>
      </c>
      <c r="CZ96" s="62">
        <f t="shared" si="96"/>
        <v>318.97925671653547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15.15604666981665</v>
      </c>
      <c r="DG96" s="23">
        <f>EXP(-LN(2)/25)*DG95+(1-EXP(-LN(2)/25))/(LN(2)/25)*Calculateur!DB96*Calculateur!DD96*VLOOKUP('Données projet'!$B$13,Paramètres!$A$1:$I$89,3,0)*0.475*44/12</f>
        <v>2.0670288159945365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17.223075485811187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>
        <f>DO96*VLOOKUP('Données projet'!$B$14,Paramètres!$A$1:$I$89,3,0)*VLOOKUP('Données projet'!$B$14,Paramètres!$A$1:$I$89,5,0)</f>
        <v>0</v>
      </c>
      <c r="DQ96" s="14" t="e">
        <f t="shared" si="97"/>
        <v>#NUM!</v>
      </c>
      <c r="DR96" s="22" t="e">
        <f t="shared" si="70"/>
        <v>#NUM!</v>
      </c>
      <c r="DS96" s="62" t="e">
        <f t="shared" si="71"/>
        <v>#NUM!</v>
      </c>
      <c r="DT96" s="62">
        <f ca="1">AVERAGE(OFFSET($DS$3,0,0,'Données projet'!$E$14+1,1))-AVERAGE(OFFSET($H$3,0,0,'Données projet'!$E$14+1,1))</f>
        <v>75.244137291704476</v>
      </c>
      <c r="DU96" s="62">
        <f t="shared" si="98"/>
        <v>366.065475656937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17.74686000182934</v>
      </c>
      <c r="EB96" s="23">
        <f>EXP(-LN(2)/25)*EB95+(1-EXP(-LN(2)/25))/(LN(2)/25)*Calculateur!DW96*Calculateur!DY96*VLOOKUP('Données projet'!$B$14,Paramètres!$A$1:$I$89,3,0)*0.475*44/12</f>
        <v>2.4203720017738619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20.167232003603203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5</v>
      </c>
      <c r="EJ96" s="13">
        <f>IF('Données projet'!$A$192&gt;35,EJ95+EI96-ER95,IF(A96&lt;'Données projet'!$A$192,$EG$205^A96,IF(A96='Données projet'!$A$192,'Données projet'!$B$192,EJ95+EI96-ER95)))</f>
        <v>269.00000000000006</v>
      </c>
      <c r="EK96" s="18">
        <f>EJ96*VLOOKUP('Données projet'!$B$15,Paramètres!$A$1:$I$89,3,0)*VLOOKUP('Données projet'!$B$15,Paramètres!$A$1:$I$89,5,0)</f>
        <v>260.17680000000007</v>
      </c>
      <c r="EL96" s="14">
        <f t="shared" si="99"/>
        <v>62.760063080404699</v>
      </c>
      <c r="EM96" s="22">
        <f t="shared" si="73"/>
        <v>562.44836986503822</v>
      </c>
      <c r="EN96" s="62">
        <f t="shared" si="74"/>
        <v>830.00550517417196</v>
      </c>
      <c r="EO96" s="62">
        <f ca="1">AVERAGE(OFFSET($EN$3,0,0,'Données projet'!$E$15+1,1))-AVERAGE(OFFSET($H$3,0,0,'Données projet'!$E$15+1,1))</f>
        <v>452.74627739105745</v>
      </c>
      <c r="EP96" s="62">
        <f t="shared" si="100"/>
        <v>281.80695725575106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5</v>
      </c>
      <c r="FE96" s="13">
        <f>IF('Données projet'!$A$218&gt;35,FE95+FD96-FM95,IF(A96&lt;'Données projet'!$A$218,$FB$205^A96,IF(A96='Données projet'!$A$218,'Données projet'!$B$218,FE95+FD96-FM95)))</f>
        <v>269.00000000000006</v>
      </c>
      <c r="FF96" s="18">
        <f>FE96*VLOOKUP('Données projet'!$B$16,Paramètres!$A$1:$I$89,3,0)*VLOOKUP('Données projet'!$B$16,Paramètres!$A$1:$I$89,5,0)</f>
        <v>289.55160000000001</v>
      </c>
      <c r="FG96" s="14">
        <f t="shared" si="101"/>
        <v>68.981578990770117</v>
      </c>
      <c r="FH96" s="22">
        <f t="shared" si="76"/>
        <v>624.44528674225796</v>
      </c>
      <c r="FI96" s="62">
        <f t="shared" si="77"/>
        <v>892.0024220513917</v>
      </c>
      <c r="FJ96" s="62">
        <f ca="1">AVERAGE(OFFSET($FI$3,0,0,'Données projet'!$E$16+1,1))-AVERAGE(OFFSET($H$3,0,0,'Données projet'!$E$16+1,1))</f>
        <v>492.72391755143508</v>
      </c>
      <c r="FK96" s="62">
        <f t="shared" si="102"/>
        <v>304.88554179994355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62.970127811581932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143.77000000000001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-5.6843418860808015E-14</v>
      </c>
      <c r="O97" s="14">
        <f>N97*VLOOKUP('Données projet'!$B$9,Paramètres!$A$1:$I$89,3,0)*VLOOKUP('Données projet'!$B$9,Paramètres!$A$1:$I$89,5,0)</f>
        <v>-5.1431925385259088E-14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388.8309693898596</v>
      </c>
      <c r="T97" s="62">
        <f t="shared" si="88"/>
        <v>549.06702041234382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2.980092164921269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2.980092164921269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>
        <f>AI97*VLOOKUP('Données projet'!$B$10,Paramètres!$A$1:$I$89,3,0)*VLOOKUP('Données projet'!$B$10,Paramètres!$A$1:$I$89,5,0)</f>
        <v>6.7984728957526396E-14</v>
      </c>
      <c r="AK97" s="14">
        <f t="shared" si="89"/>
        <v>1.0682447123141398E-12</v>
      </c>
      <c r="AL97" s="22">
        <f t="shared" si="58"/>
        <v>1.978932943548152E-12</v>
      </c>
      <c r="AM97" s="62">
        <f t="shared" si="59"/>
        <v>268.00429471790994</v>
      </c>
      <c r="AN97" s="62">
        <f ca="1">AVERAGE(OFFSET($AM$3,0,0,'Données projet'!$E$10+1,1))-AVERAGE(OFFSET($H$3,0,0,'Données projet'!$E$10+1,1))</f>
        <v>197.85998851681552</v>
      </c>
      <c r="AO97" s="62">
        <f t="shared" si="90"/>
        <v>474.54844785896239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15.012002404983118</v>
      </c>
      <c r="AV97" s="23">
        <f>EXP(-LN(2)/25)*AV96+(1-EXP(-LN(2)/25))/(LN(2)/25)*Calculateur!AQ97*Calculateur!AS97*VLOOKUP('Données projet'!$B$10,Paramètres!$A$1:$I$89,3,0)*0.475*44/12</f>
        <v>7.4526440289327756</v>
      </c>
      <c r="AW97" s="23">
        <f>EXP(-LN(2)/2)*AW96+(1-EXP(-LN(2)/2))/(LN(2)/2)*AQ97*AT97*VLOOKUP('Données projet'!$B$10,Paramètres!$A$1:$I$89,3,0)*0.475*44/12</f>
        <v>1.0143822244580051E-8</v>
      </c>
      <c r="AX97" s="23">
        <f t="shared" si="60"/>
        <v>22.464646444059717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1.1368683772161603E-13</v>
      </c>
      <c r="BE97" s="14">
        <f>BD97*VLOOKUP('Données projet'!$B$11,Paramètres!$A$1:$I$89,3,0)*VLOOKUP('Données projet'!$B$11,Paramètres!$A$1:$I$89,5,0)</f>
        <v>6.7984728957526396E-14</v>
      </c>
      <c r="BF97" s="14">
        <f t="shared" si="91"/>
        <v>1.0682447123141398E-12</v>
      </c>
      <c r="BG97" s="22">
        <f t="shared" si="61"/>
        <v>1.978932943548152E-12</v>
      </c>
      <c r="BH97" s="62">
        <f t="shared" si="62"/>
        <v>268.00429471790994</v>
      </c>
      <c r="BI97" s="62">
        <f ca="1">AVERAGE(OFFSET($BH$3,0,0,'Données projet'!$E$11+1,1))-AVERAGE(OFFSET($H$3,0,0,'Données projet'!$E$11+1,1))</f>
        <v>197.85998851681552</v>
      </c>
      <c r="BJ97" s="62">
        <f t="shared" si="92"/>
        <v>474.54844785896239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15.012002404983118</v>
      </c>
      <c r="BQ97" s="23">
        <f>EXP(-LN(2)/25)*BQ96+(1-EXP(-LN(2)/25))/(LN(2)/25)*Calculateur!BL97*Calculateur!BN97*VLOOKUP('Données projet'!$B$11,Paramètres!$A$1:$I$89,3,0)*0.475*44/12</f>
        <v>7.4526440289327756</v>
      </c>
      <c r="BR97" s="23">
        <f>EXP(-LN(2)/2)*BR96+(1-EXP(-LN(2)/2))/(LN(2)/2)*BL97*BO97*VLOOKUP('Données projet'!$B$11,Paramètres!$A$1:$I$89,3,0)*0.475*44/12</f>
        <v>1.0143822244580051E-8</v>
      </c>
      <c r="BS97" s="24">
        <f t="shared" si="63"/>
        <v>22.464646444059717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>
        <f>BY97*VLOOKUP('Données projet'!$B$12,Paramètres!$A$1:$I$89,3,0)*VLOOKUP('Données projet'!$B$12,Paramètres!$A$1:$I$89,5,0)</f>
        <v>0</v>
      </c>
      <c r="CA97" s="14" t="e">
        <f t="shared" si="93"/>
        <v>#NUM!</v>
      </c>
      <c r="CB97" s="22" t="e">
        <f t="shared" si="64"/>
        <v>#NUM!</v>
      </c>
      <c r="CC97" s="62" t="e">
        <f t="shared" si="65"/>
        <v>#NUM!</v>
      </c>
      <c r="CD97" s="62">
        <f ca="1">AVERAGE(OFFSET($CC$3,0,0,'Données projet'!$E$12+1,1))-AVERAGE(OFFSET($H$3,0,0,'Données projet'!$E$12+1,1))</f>
        <v>72.97248599808384</v>
      </c>
      <c r="CE97" s="62">
        <f t="shared" si="94"/>
        <v>346.88163654003574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16.362962135472692</v>
      </c>
      <c r="CL97" s="23">
        <f>EXP(-LN(2)/25)*CL96+(1-EXP(-LN(2)/25))/(LN(2)/25)*Calculateur!CG97*Calculateur!CI97*VLOOKUP('Données projet'!$B$12,Paramètres!$A$1:$I$89,3,0)*0.475*44/12</f>
        <v>2.2140232630404424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18.576985398513134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>
        <f>CT97*VLOOKUP('Données projet'!$B$13,Paramètres!$A$1:$I$89,3,0)*VLOOKUP('Données projet'!$B$13,Paramètres!$A$1:$I$89,5,0)</f>
        <v>0</v>
      </c>
      <c r="CV97" s="14" t="e">
        <f t="shared" si="95"/>
        <v>#NUM!</v>
      </c>
      <c r="CW97" s="22" t="e">
        <f t="shared" si="67"/>
        <v>#NUM!</v>
      </c>
      <c r="CX97" s="62" t="e">
        <f t="shared" si="68"/>
        <v>#NUM!</v>
      </c>
      <c r="CY97" s="62">
        <f ca="1">AVERAGE(OFFSET($CX$3,0,0,'Données projet'!$E$13+1,1))-AVERAGE(OFFSET($H$3,0,0,'Données projet'!$E$13+1,1))</f>
        <v>67.303283896086128</v>
      </c>
      <c r="CZ97" s="62">
        <f t="shared" si="96"/>
        <v>318.97925671653547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14.858845838897217</v>
      </c>
      <c r="DG97" s="23">
        <f>EXP(-LN(2)/25)*DG96+(1-EXP(-LN(2)/25))/(LN(2)/25)*Calculateur!DB97*Calculateur!DD97*VLOOKUP('Données projet'!$B$13,Paramètres!$A$1:$I$89,3,0)*0.475*44/12</f>
        <v>2.0105058043208448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16.86935164321806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>
        <f>DO97*VLOOKUP('Données projet'!$B$14,Paramètres!$A$1:$I$89,3,0)*VLOOKUP('Données projet'!$B$14,Paramètres!$A$1:$I$89,5,0)</f>
        <v>0</v>
      </c>
      <c r="DQ97" s="14" t="e">
        <f t="shared" si="97"/>
        <v>#NUM!</v>
      </c>
      <c r="DR97" s="22" t="e">
        <f t="shared" si="70"/>
        <v>#NUM!</v>
      </c>
      <c r="DS97" s="62" t="e">
        <f t="shared" si="71"/>
        <v>#NUM!</v>
      </c>
      <c r="DT97" s="62">
        <f ca="1">AVERAGE(OFFSET($DS$3,0,0,'Données projet'!$E$14+1,1))-AVERAGE(OFFSET($H$3,0,0,'Données projet'!$E$14+1,1))</f>
        <v>75.244137291704476</v>
      </c>
      <c r="DU97" s="62">
        <f t="shared" si="98"/>
        <v>366.065475656937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17.398854901709235</v>
      </c>
      <c r="EB97" s="23">
        <f>EXP(-LN(2)/25)*EB96+(1-EXP(-LN(2)/25))/(LN(2)/25)*Calculateur!DW97*Calculateur!DY97*VLOOKUP('Données projet'!$B$14,Paramètres!$A$1:$I$89,3,0)*0.475*44/12</f>
        <v>2.3541868021035239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19.753041703812759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5</v>
      </c>
      <c r="EJ97" s="13">
        <f>IF('Données projet'!$A$192&gt;35,EJ96+EI97-ER96,IF(A97&lt;'Données projet'!$A$192,$EG$205^A97,IF(A97='Données projet'!$A$192,'Données projet'!$B$192,EJ96+EI97-ER96)))</f>
        <v>274.00000000000006</v>
      </c>
      <c r="EK97" s="18">
        <f>EJ97*VLOOKUP('Données projet'!$B$15,Paramètres!$A$1:$I$89,3,0)*VLOOKUP('Données projet'!$B$15,Paramètres!$A$1:$I$89,5,0)</f>
        <v>265.01280000000003</v>
      </c>
      <c r="EL97" s="14">
        <f t="shared" si="99"/>
        <v>63.789713870852786</v>
      </c>
      <c r="EM97" s="22">
        <f t="shared" si="73"/>
        <v>572.66437832506858</v>
      </c>
      <c r="EN97" s="62">
        <f t="shared" si="74"/>
        <v>840.66867304297648</v>
      </c>
      <c r="EO97" s="62">
        <f ca="1">AVERAGE(OFFSET($EN$3,0,0,'Données projet'!$E$15+1,1))-AVERAGE(OFFSET($H$3,0,0,'Données projet'!$E$15+1,1))</f>
        <v>452.74627739105745</v>
      </c>
      <c r="EP97" s="62">
        <f t="shared" si="100"/>
        <v>281.80695725575106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5</v>
      </c>
      <c r="FE97" s="13">
        <f>IF('Données projet'!$A$218&gt;35,FE96+FD97-FM96,IF(A97&lt;'Données projet'!$A$218,$FB$205^A97,IF(A97='Données projet'!$A$218,'Données projet'!$B$218,FE96+FD97-FM96)))</f>
        <v>274.00000000000006</v>
      </c>
      <c r="FF97" s="18">
        <f>FE97*VLOOKUP('Données projet'!$B$16,Paramètres!$A$1:$I$89,3,0)*VLOOKUP('Données projet'!$B$16,Paramètres!$A$1:$I$89,5,0)</f>
        <v>294.93360000000007</v>
      </c>
      <c r="FG97" s="14">
        <f t="shared" si="101"/>
        <v>70.113300882814869</v>
      </c>
      <c r="FH97" s="22">
        <f t="shared" si="76"/>
        <v>635.79001903756932</v>
      </c>
      <c r="FI97" s="62">
        <f t="shared" si="77"/>
        <v>903.79431375547733</v>
      </c>
      <c r="FJ97" s="62">
        <f ca="1">AVERAGE(OFFSET($FI$3,0,0,'Données projet'!$E$16+1,1))-AVERAGE(OFFSET($H$3,0,0,'Données projet'!$E$16+1,1))</f>
        <v>492.72391755143508</v>
      </c>
      <c r="FK97" s="62">
        <f t="shared" si="102"/>
        <v>304.88554179994355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63.092080377611268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143.77000000000001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-5.6843418860808015E-14</v>
      </c>
      <c r="O98" s="14">
        <f>N98*VLOOKUP('Données projet'!$B$9,Paramètres!$A$1:$I$89,3,0)*VLOOKUP('Données projet'!$B$9,Paramètres!$A$1:$I$89,5,0)</f>
        <v>-5.1431925385259088E-14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388.8309693898596</v>
      </c>
      <c r="T98" s="62">
        <f t="shared" si="88"/>
        <v>549.06702041234382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2.9216543752439028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2.9216543752439028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>
        <f>AI98*VLOOKUP('Données projet'!$B$10,Paramètres!$A$1:$I$89,3,0)*VLOOKUP('Données projet'!$B$10,Paramètres!$A$1:$I$89,5,0)</f>
        <v>6.7984728957526396E-14</v>
      </c>
      <c r="AK98" s="14">
        <f t="shared" si="89"/>
        <v>1.0682447123141398E-12</v>
      </c>
      <c r="AL98" s="22">
        <f t="shared" si="58"/>
        <v>1.978932943548152E-12</v>
      </c>
      <c r="AM98" s="62">
        <f t="shared" si="59"/>
        <v>268.44369691064065</v>
      </c>
      <c r="AN98" s="62">
        <f ca="1">AVERAGE(OFFSET($AM$3,0,0,'Données projet'!$E$10+1,1))-AVERAGE(OFFSET($H$3,0,0,'Données projet'!$E$10+1,1))</f>
        <v>197.85998851681552</v>
      </c>
      <c r="AO98" s="62">
        <f t="shared" si="90"/>
        <v>474.54844785896239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14.717626194238745</v>
      </c>
      <c r="AV98" s="23">
        <f>EXP(-LN(2)/25)*AV97+(1-EXP(-LN(2)/25))/(LN(2)/25)*Calculateur!AQ98*Calculateur!AS98*VLOOKUP('Données projet'!$B$10,Paramètres!$A$1:$I$89,3,0)*0.475*44/12</f>
        <v>7.2488510860440929</v>
      </c>
      <c r="AW98" s="23">
        <f>EXP(-LN(2)/2)*AW97+(1-EXP(-LN(2)/2))/(LN(2)/2)*AQ98*AT98*VLOOKUP('Données projet'!$B$10,Paramètres!$A$1:$I$89,3,0)*0.475*44/12</f>
        <v>7.1727654962935001E-9</v>
      </c>
      <c r="AX98" s="23">
        <f t="shared" si="60"/>
        <v>21.966477287455604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1.1368683772161603E-13</v>
      </c>
      <c r="BE98" s="14">
        <f>BD98*VLOOKUP('Données projet'!$B$11,Paramètres!$A$1:$I$89,3,0)*VLOOKUP('Données projet'!$B$11,Paramètres!$A$1:$I$89,5,0)</f>
        <v>6.7984728957526396E-14</v>
      </c>
      <c r="BF98" s="14">
        <f t="shared" si="91"/>
        <v>1.0682447123141398E-12</v>
      </c>
      <c r="BG98" s="22">
        <f t="shared" si="61"/>
        <v>1.978932943548152E-12</v>
      </c>
      <c r="BH98" s="62">
        <f t="shared" si="62"/>
        <v>268.44369691064065</v>
      </c>
      <c r="BI98" s="62">
        <f ca="1">AVERAGE(OFFSET($BH$3,0,0,'Données projet'!$E$11+1,1))-AVERAGE(OFFSET($H$3,0,0,'Données projet'!$E$11+1,1))</f>
        <v>197.85998851681552</v>
      </c>
      <c r="BJ98" s="62">
        <f t="shared" si="92"/>
        <v>474.54844785896239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14.717626194238745</v>
      </c>
      <c r="BQ98" s="23">
        <f>EXP(-LN(2)/25)*BQ97+(1-EXP(-LN(2)/25))/(LN(2)/25)*Calculateur!BL98*Calculateur!BN98*VLOOKUP('Données projet'!$B$11,Paramètres!$A$1:$I$89,3,0)*0.475*44/12</f>
        <v>7.2488510860440929</v>
      </c>
      <c r="BR98" s="23">
        <f>EXP(-LN(2)/2)*BR97+(1-EXP(-LN(2)/2))/(LN(2)/2)*BL98*BO98*VLOOKUP('Données projet'!$B$11,Paramètres!$A$1:$I$89,3,0)*0.475*44/12</f>
        <v>7.1727654962935001E-9</v>
      </c>
      <c r="BS98" s="24">
        <f t="shared" si="63"/>
        <v>21.966477287455604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>
        <f>BY98*VLOOKUP('Données projet'!$B$12,Paramètres!$A$1:$I$89,3,0)*VLOOKUP('Données projet'!$B$12,Paramètres!$A$1:$I$89,5,0)</f>
        <v>0</v>
      </c>
      <c r="CA98" s="14" t="e">
        <f t="shared" si="93"/>
        <v>#NUM!</v>
      </c>
      <c r="CB98" s="22" t="e">
        <f t="shared" si="64"/>
        <v>#NUM!</v>
      </c>
      <c r="CC98" s="62" t="e">
        <f t="shared" si="65"/>
        <v>#NUM!</v>
      </c>
      <c r="CD98" s="62">
        <f ca="1">AVERAGE(OFFSET($CC$3,0,0,'Données projet'!$E$12+1,1))-AVERAGE(OFFSET($H$3,0,0,'Données projet'!$E$12+1,1))</f>
        <v>72.97248599808384</v>
      </c>
      <c r="CE98" s="62">
        <f t="shared" si="94"/>
        <v>346.88163654003574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16.042094428417492</v>
      </c>
      <c r="CL98" s="23">
        <f>EXP(-LN(2)/25)*CL97+(1-EXP(-LN(2)/25))/(LN(2)/25)*Calculateur!CG98*Calculateur!CI98*VLOOKUP('Données projet'!$B$12,Paramètres!$A$1:$I$89,3,0)*0.475*44/12</f>
        <v>2.1534806804821782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18.195575108899671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>
        <f>CT98*VLOOKUP('Données projet'!$B$13,Paramètres!$A$1:$I$89,3,0)*VLOOKUP('Données projet'!$B$13,Paramètres!$A$1:$I$89,5,0)</f>
        <v>0</v>
      </c>
      <c r="CV98" s="14" t="e">
        <f t="shared" si="95"/>
        <v>#NUM!</v>
      </c>
      <c r="CW98" s="22" t="e">
        <f t="shared" si="67"/>
        <v>#NUM!</v>
      </c>
      <c r="CX98" s="62" t="e">
        <f t="shared" si="68"/>
        <v>#NUM!</v>
      </c>
      <c r="CY98" s="62">
        <f ca="1">AVERAGE(OFFSET($CX$3,0,0,'Données projet'!$E$13+1,1))-AVERAGE(OFFSET($H$3,0,0,'Données projet'!$E$13+1,1))</f>
        <v>67.303283896086128</v>
      </c>
      <c r="CZ98" s="62">
        <f t="shared" si="96"/>
        <v>318.97925671653547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14.567472934997507</v>
      </c>
      <c r="DG98" s="23">
        <f>EXP(-LN(2)/25)*DG97+(1-EXP(-LN(2)/25))/(LN(2)/25)*Calculateur!DB98*Calculateur!DD98*VLOOKUP('Données projet'!$B$13,Paramètres!$A$1:$I$89,3,0)*0.475*44/12</f>
        <v>1.9555284173737861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16.523001352371292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>
        <f>DO98*VLOOKUP('Données projet'!$B$14,Paramètres!$A$1:$I$89,3,0)*VLOOKUP('Données projet'!$B$14,Paramètres!$A$1:$I$89,5,0)</f>
        <v>0</v>
      </c>
      <c r="DQ98" s="14" t="e">
        <f t="shared" si="97"/>
        <v>#NUM!</v>
      </c>
      <c r="DR98" s="22" t="e">
        <f t="shared" si="70"/>
        <v>#NUM!</v>
      </c>
      <c r="DS98" s="62" t="e">
        <f t="shared" si="71"/>
        <v>#NUM!</v>
      </c>
      <c r="DT98" s="62">
        <f ca="1">AVERAGE(OFFSET($DS$3,0,0,'Données projet'!$E$14+1,1))-AVERAGE(OFFSET($H$3,0,0,'Données projet'!$E$14+1,1))</f>
        <v>75.244137291704476</v>
      </c>
      <c r="DU98" s="62">
        <f t="shared" si="98"/>
        <v>366.065475656937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17.057673969340335</v>
      </c>
      <c r="EB98" s="23">
        <f>EXP(-LN(2)/25)*EB97+(1-EXP(-LN(2)/25))/(LN(2)/25)*Calculateur!DW98*Calculateur!DY98*VLOOKUP('Données projet'!$B$14,Paramètres!$A$1:$I$89,3,0)*0.475*44/12</f>
        <v>2.2898114401986995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19.347485409539036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>
        <f>VLOOKUP(A98,'Données projet'!$A$191:$I$211,2,0)</f>
        <v>279</v>
      </c>
      <c r="EH98" s="13">
        <f>VLOOKUP(A98,'Données projet'!$A$191:$I$211,9,0)</f>
        <v>5</v>
      </c>
      <c r="EI98" s="13">
        <f t="array" ref="EI98">INDEX(EH:EH,MIN(IF(ISNUMBER(EH98:EH294),ROW(EH98:EH294),"")))</f>
        <v>5</v>
      </c>
      <c r="EJ98" s="13">
        <f>IF('Données projet'!$A$192&gt;35,EJ97+EI98-ER97,IF(A98&lt;'Données projet'!$A$192,$EG$205^A98,IF(A98='Données projet'!$A$192,'Données projet'!$B$192,EJ97+EI98-ER97)))</f>
        <v>279.00000000000006</v>
      </c>
      <c r="EK98" s="18">
        <f>EJ98*VLOOKUP('Données projet'!$B$15,Paramètres!$A$1:$I$89,3,0)*VLOOKUP('Données projet'!$B$15,Paramètres!$A$1:$I$89,5,0)</f>
        <v>269.8488000000001</v>
      </c>
      <c r="EL98" s="14">
        <f t="shared" si="99"/>
        <v>64.817179785761795</v>
      </c>
      <c r="EM98" s="22">
        <f t="shared" si="73"/>
        <v>582.87658146020192</v>
      </c>
      <c r="EN98" s="62">
        <f t="shared" si="74"/>
        <v>851.32027837084058</v>
      </c>
      <c r="EO98" s="62">
        <f ca="1">AVERAGE(OFFSET($EN$3,0,0,'Données projet'!$E$15+1,1))-AVERAGE(OFFSET($H$3,0,0,'Données projet'!$E$15+1,1))</f>
        <v>452.74627739105745</v>
      </c>
      <c r="EP98" s="62">
        <f t="shared" si="100"/>
        <v>281.80695725575106</v>
      </c>
      <c r="EQ98" s="16">
        <f>IF(ISNA(VLOOKUP(A98,'Données projet'!$A$191:$I$211,3,0)),0,VLOOKUP(A98,'Données projet'!$A$191:$I$211,3,0))</f>
        <v>15</v>
      </c>
      <c r="ER98" s="16">
        <f>IF(ISNA(VLOOKUP(A98,'Données projet'!$A$191:$I$211,4,0)),0,VLOOKUP(A98,'Données projet'!$A$191:$I$211,4,0))</f>
        <v>21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>
        <f>VLOOKUP(A98,'Données projet'!$A$217:$I$237,2,0)</f>
        <v>279</v>
      </c>
      <c r="FC98" s="13">
        <f>VLOOKUP(A98,'Données projet'!$A$217:$I$237,9,0)</f>
        <v>5</v>
      </c>
      <c r="FD98" s="13">
        <f t="array" ref="FD98">INDEX(FC:FC,MIN(IF(ISNUMBER(FC98:FC294),ROW(FC98:FC294),"")))</f>
        <v>5</v>
      </c>
      <c r="FE98" s="13">
        <f>IF('Données projet'!$A$218&gt;35,FE97+FD98-FM97,IF(A98&lt;'Données projet'!$A$218,$FB$205^A98,IF(A98='Données projet'!$A$218,'Données projet'!$B$218,FE97+FD98-FM97)))</f>
        <v>279.00000000000006</v>
      </c>
      <c r="FF98" s="18">
        <f>FE98*VLOOKUP('Données projet'!$B$16,Paramètres!$A$1:$I$89,3,0)*VLOOKUP('Données projet'!$B$16,Paramètres!$A$1:$I$89,5,0)</f>
        <v>300.31560000000002</v>
      </c>
      <c r="FG98" s="14">
        <f t="shared" si="101"/>
        <v>71.242621308749136</v>
      </c>
      <c r="FH98" s="22">
        <f t="shared" si="76"/>
        <v>647.1305687794046</v>
      </c>
      <c r="FI98" s="62">
        <f t="shared" si="77"/>
        <v>915.57426569004326</v>
      </c>
      <c r="FJ98" s="62">
        <f ca="1">AVERAGE(OFFSET($FI$3,0,0,'Données projet'!$E$16+1,1))-AVERAGE(OFFSET($H$3,0,0,'Données projet'!$E$16+1,1))</f>
        <v>492.72391755143508</v>
      </c>
      <c r="FK98" s="62">
        <f t="shared" si="102"/>
        <v>304.88554179994355</v>
      </c>
      <c r="FL98" s="16">
        <f>IF(ISNA(VLOOKUP(A98,'Données projet'!$A$217:$I$237,3,0)),0,VLOOKUP(A98,'Données projet'!$A$217:$I$237,3,0))</f>
        <v>15</v>
      </c>
      <c r="FM98" s="16">
        <f>IF(ISNA(VLOOKUP(A98,'Données projet'!$A$217:$I$237,4,0)),0,VLOOKUP(A98,'Données projet'!$A$217:$I$237,4,0))</f>
        <v>21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63.211917339265078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143.77000000000001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-5.6843418860808015E-14</v>
      </c>
      <c r="O99" s="14">
        <f>N99*VLOOKUP('Données projet'!$B$9,Paramètres!$A$1:$I$89,3,0)*VLOOKUP('Données projet'!$B$9,Paramètres!$A$1:$I$89,5,0)</f>
        <v>-5.1431925385259088E-14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388.8309693898596</v>
      </c>
      <c r="T99" s="62">
        <f t="shared" si="88"/>
        <v>549.06702041234382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2.8643625149785774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2.8643625149785774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>
        <f>AI99*VLOOKUP('Données projet'!$B$10,Paramètres!$A$1:$I$89,3,0)*VLOOKUP('Données projet'!$B$10,Paramètres!$A$1:$I$89,5,0)</f>
        <v>6.7984728957526396E-14</v>
      </c>
      <c r="AK99" s="14">
        <f t="shared" si="89"/>
        <v>1.0682447123141398E-12</v>
      </c>
      <c r="AL99" s="22">
        <f t="shared" si="58"/>
        <v>1.978932943548152E-12</v>
      </c>
      <c r="AM99" s="62">
        <f t="shared" si="59"/>
        <v>268.87547645768359</v>
      </c>
      <c r="AN99" s="62">
        <f ca="1">AVERAGE(OFFSET($AM$3,0,0,'Données projet'!$E$10+1,1))-AVERAGE(OFFSET($H$3,0,0,'Données projet'!$E$10+1,1))</f>
        <v>197.85998851681552</v>
      </c>
      <c r="AO99" s="62">
        <f t="shared" si="90"/>
        <v>474.54844785896239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14.429022521435311</v>
      </c>
      <c r="AV99" s="23">
        <f>EXP(-LN(2)/25)*AV98+(1-EXP(-LN(2)/25))/(LN(2)/25)*Calculateur!AQ99*Calculateur!AS99*VLOOKUP('Données projet'!$B$10,Paramètres!$A$1:$I$89,3,0)*0.475*44/12</f>
        <v>7.0506308718957058</v>
      </c>
      <c r="AW99" s="23">
        <f>EXP(-LN(2)/2)*AW98+(1-EXP(-LN(2)/2))/(LN(2)/2)*AQ99*AT99*VLOOKUP('Données projet'!$B$10,Paramètres!$A$1:$I$89,3,0)*0.475*44/12</f>
        <v>5.0719111222900265E-9</v>
      </c>
      <c r="AX99" s="23">
        <f t="shared" si="60"/>
        <v>21.479653398402927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1.1368683772161603E-13</v>
      </c>
      <c r="BE99" s="14">
        <f>BD99*VLOOKUP('Données projet'!$B$11,Paramètres!$A$1:$I$89,3,0)*VLOOKUP('Données projet'!$B$11,Paramètres!$A$1:$I$89,5,0)</f>
        <v>6.7984728957526396E-14</v>
      </c>
      <c r="BF99" s="14">
        <f t="shared" si="91"/>
        <v>1.0682447123141398E-12</v>
      </c>
      <c r="BG99" s="22">
        <f t="shared" si="61"/>
        <v>1.978932943548152E-12</v>
      </c>
      <c r="BH99" s="62">
        <f t="shared" si="62"/>
        <v>268.87547645768359</v>
      </c>
      <c r="BI99" s="62">
        <f ca="1">AVERAGE(OFFSET($BH$3,0,0,'Données projet'!$E$11+1,1))-AVERAGE(OFFSET($H$3,0,0,'Données projet'!$E$11+1,1))</f>
        <v>197.85998851681552</v>
      </c>
      <c r="BJ99" s="62">
        <f t="shared" si="92"/>
        <v>474.54844785896239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14.429022521435311</v>
      </c>
      <c r="BQ99" s="23">
        <f>EXP(-LN(2)/25)*BQ98+(1-EXP(-LN(2)/25))/(LN(2)/25)*Calculateur!BL99*Calculateur!BN99*VLOOKUP('Données projet'!$B$11,Paramètres!$A$1:$I$89,3,0)*0.475*44/12</f>
        <v>7.0506308718957058</v>
      </c>
      <c r="BR99" s="23">
        <f>EXP(-LN(2)/2)*BR98+(1-EXP(-LN(2)/2))/(LN(2)/2)*BL99*BO99*VLOOKUP('Données projet'!$B$11,Paramètres!$A$1:$I$89,3,0)*0.475*44/12</f>
        <v>5.0719111222900265E-9</v>
      </c>
      <c r="BS99" s="24">
        <f t="shared" si="63"/>
        <v>21.479653398402927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>
        <f>BY99*VLOOKUP('Données projet'!$B$12,Paramètres!$A$1:$I$89,3,0)*VLOOKUP('Données projet'!$B$12,Paramètres!$A$1:$I$89,5,0)</f>
        <v>0</v>
      </c>
      <c r="CA99" s="14" t="e">
        <f t="shared" si="93"/>
        <v>#NUM!</v>
      </c>
      <c r="CB99" s="22" t="e">
        <f t="shared" si="64"/>
        <v>#NUM!</v>
      </c>
      <c r="CC99" s="62" t="e">
        <f t="shared" si="65"/>
        <v>#NUM!</v>
      </c>
      <c r="CD99" s="62">
        <f ca="1">AVERAGE(OFFSET($CC$3,0,0,'Données projet'!$E$12+1,1))-AVERAGE(OFFSET($H$3,0,0,'Données projet'!$E$12+1,1))</f>
        <v>72.97248599808384</v>
      </c>
      <c r="CE99" s="62">
        <f t="shared" si="94"/>
        <v>346.88163654003574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15.727518741387666</v>
      </c>
      <c r="CL99" s="23">
        <f>EXP(-LN(2)/25)*CL98+(1-EXP(-LN(2)/25))/(LN(2)/25)*Calculateur!CG99*Calculateur!CI99*VLOOKUP('Données projet'!$B$12,Paramètres!$A$1:$I$89,3,0)*0.475*44/12</f>
        <v>2.0945936380277659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17.822112379415433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>
        <f>CT99*VLOOKUP('Données projet'!$B$13,Paramètres!$A$1:$I$89,3,0)*VLOOKUP('Données projet'!$B$13,Paramètres!$A$1:$I$89,5,0)</f>
        <v>0</v>
      </c>
      <c r="CV99" s="14" t="e">
        <f t="shared" si="95"/>
        <v>#NUM!</v>
      </c>
      <c r="CW99" s="22" t="e">
        <f t="shared" si="67"/>
        <v>#NUM!</v>
      </c>
      <c r="CX99" s="62" t="e">
        <f t="shared" si="68"/>
        <v>#NUM!</v>
      </c>
      <c r="CY99" s="62">
        <f ca="1">AVERAGE(OFFSET($CX$3,0,0,'Données projet'!$E$13+1,1))-AVERAGE(OFFSET($H$3,0,0,'Données projet'!$E$13+1,1))</f>
        <v>67.303283896086128</v>
      </c>
      <c r="CZ99" s="62">
        <f t="shared" si="96"/>
        <v>318.97925671653547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14.281813676023347</v>
      </c>
      <c r="DG99" s="23">
        <f>EXP(-LN(2)/25)*DG98+(1-EXP(-LN(2)/25))/(LN(2)/25)*Calculateur!DB99*Calculateur!DD99*VLOOKUP('Données projet'!$B$13,Paramètres!$A$1:$I$89,3,0)*0.475*44/12</f>
        <v>1.9020543899639299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16.183868065987276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>
        <f>DO99*VLOOKUP('Données projet'!$B$14,Paramètres!$A$1:$I$89,3,0)*VLOOKUP('Données projet'!$B$14,Paramètres!$A$1:$I$89,5,0)</f>
        <v>0</v>
      </c>
      <c r="DQ99" s="14" t="e">
        <f t="shared" si="97"/>
        <v>#NUM!</v>
      </c>
      <c r="DR99" s="22" t="e">
        <f t="shared" si="70"/>
        <v>#NUM!</v>
      </c>
      <c r="DS99" s="62" t="e">
        <f t="shared" si="71"/>
        <v>#NUM!</v>
      </c>
      <c r="DT99" s="62">
        <f ca="1">AVERAGE(OFFSET($DS$3,0,0,'Données projet'!$E$14+1,1))-AVERAGE(OFFSET($H$3,0,0,'Données projet'!$E$14+1,1))</f>
        <v>75.244137291704476</v>
      </c>
      <c r="DU99" s="62">
        <f t="shared" si="98"/>
        <v>366.065475656937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16.72318338695537</v>
      </c>
      <c r="EB99" s="23">
        <f>EXP(-LN(2)/25)*EB98+(1-EXP(-LN(2)/25))/(LN(2)/25)*Calculateur!DW99*Calculateur!DY99*VLOOKUP('Données projet'!$B$14,Paramètres!$A$1:$I$89,3,0)*0.475*44/12</f>
        <v>2.2271964259505159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18.950379812905886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4.8</v>
      </c>
      <c r="EJ99" s="13">
        <f>IF('Données projet'!$A$192&gt;35,EJ98+EI99-ER98,IF(A99&lt;'Données projet'!$A$192,$EG$205^A99,IF(A99='Données projet'!$A$192,'Données projet'!$B$192,EJ98+EI99-ER98)))</f>
        <v>262.80000000000007</v>
      </c>
      <c r="EK99" s="18">
        <f>EJ99*VLOOKUP('Données projet'!$B$15,Paramètres!$A$1:$I$89,3,0)*VLOOKUP('Données projet'!$B$15,Paramètres!$A$1:$I$89,5,0)</f>
        <v>254.18016000000006</v>
      </c>
      <c r="EL99" s="14">
        <f t="shared" si="99"/>
        <v>61.480193498274794</v>
      </c>
      <c r="EM99" s="22">
        <f t="shared" si="73"/>
        <v>549.77511567616205</v>
      </c>
      <c r="EN99" s="62">
        <f t="shared" si="74"/>
        <v>818.6505921338437</v>
      </c>
      <c r="EO99" s="62">
        <f ca="1">AVERAGE(OFFSET($EN$3,0,0,'Données projet'!$E$15+1,1))-AVERAGE(OFFSET($H$3,0,0,'Données projet'!$E$15+1,1))</f>
        <v>452.74627739105745</v>
      </c>
      <c r="EP99" s="62">
        <f t="shared" si="100"/>
        <v>281.80695725575106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4.8</v>
      </c>
      <c r="FE99" s="13">
        <f>IF('Données projet'!$A$218&gt;35,FE98+FD99-FM98,IF(A99&lt;'Données projet'!$A$218,$FB$205^A99,IF(A99='Données projet'!$A$218,'Données projet'!$B$218,FE98+FD99-FM98)))</f>
        <v>262.80000000000007</v>
      </c>
      <c r="FF99" s="18">
        <f>FE99*VLOOKUP('Données projet'!$B$16,Paramètres!$A$1:$I$89,3,0)*VLOOKUP('Données projet'!$B$16,Paramètres!$A$1:$I$89,5,0)</f>
        <v>282.87792000000002</v>
      </c>
      <c r="FG99" s="14">
        <f t="shared" si="101"/>
        <v>67.574833676246314</v>
      </c>
      <c r="FH99" s="22">
        <f t="shared" si="76"/>
        <v>610.37187931946244</v>
      </c>
      <c r="FI99" s="62">
        <f t="shared" si="77"/>
        <v>879.24735577714409</v>
      </c>
      <c r="FJ99" s="62">
        <f ca="1">AVERAGE(OFFSET($FI$3,0,0,'Données projet'!$E$16+1,1))-AVERAGE(OFFSET($H$3,0,0,'Données projet'!$E$16+1,1))</f>
        <v>492.72391755143508</v>
      </c>
      <c r="FK99" s="62">
        <f t="shared" si="102"/>
        <v>304.88554179994355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63.329675397549515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143.77000000000001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-5.6843418860808015E-14</v>
      </c>
      <c r="O100" s="14">
        <f>N100*VLOOKUP('Données projet'!$B$9,Paramètres!$A$1:$I$89,3,0)*VLOOKUP('Données projet'!$B$9,Paramètres!$A$1:$I$89,5,0)</f>
        <v>-5.1431925385259088E-14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388.8309693898596</v>
      </c>
      <c r="T100" s="62">
        <f t="shared" si="88"/>
        <v>549.06702041234382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2.8081941131484709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2.8081941131484709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>
        <f>AI100*VLOOKUP('Données projet'!$B$10,Paramètres!$A$1:$I$89,3,0)*VLOOKUP('Données projet'!$B$10,Paramètres!$A$1:$I$89,5,0)</f>
        <v>6.7984728957526396E-14</v>
      </c>
      <c r="AK100" s="14">
        <f t="shared" si="89"/>
        <v>1.0682447123141398E-12</v>
      </c>
      <c r="AL100" s="22">
        <f t="shared" si="58"/>
        <v>1.978932943548152E-12</v>
      </c>
      <c r="AM100" s="62">
        <f t="shared" si="59"/>
        <v>269.29976559489972</v>
      </c>
      <c r="AN100" s="62">
        <f ca="1">AVERAGE(OFFSET($AM$3,0,0,'Données projet'!$E$10+1,1))-AVERAGE(OFFSET($H$3,0,0,'Données projet'!$E$10+1,1))</f>
        <v>197.85998851681552</v>
      </c>
      <c r="AO100" s="62">
        <f t="shared" si="90"/>
        <v>474.54844785896239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14.146078190624692</v>
      </c>
      <c r="AV100" s="23">
        <f>EXP(-LN(2)/25)*AV99+(1-EXP(-LN(2)/25))/(LN(2)/25)*Calculateur!AQ100*Calculateur!AS100*VLOOKUP('Données projet'!$B$10,Paramètres!$A$1:$I$89,3,0)*0.475*44/12</f>
        <v>6.8578309999271543</v>
      </c>
      <c r="AW100" s="23">
        <f>EXP(-LN(2)/2)*AW99+(1-EXP(-LN(2)/2))/(LN(2)/2)*AQ100*AT100*VLOOKUP('Données projet'!$B$10,Paramètres!$A$1:$I$89,3,0)*0.475*44/12</f>
        <v>3.5863827481467509E-9</v>
      </c>
      <c r="AX100" s="23">
        <f t="shared" si="60"/>
        <v>21.003909194138227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1.1368683772161603E-13</v>
      </c>
      <c r="BE100" s="14">
        <f>BD100*VLOOKUP('Données projet'!$B$11,Paramètres!$A$1:$I$89,3,0)*VLOOKUP('Données projet'!$B$11,Paramètres!$A$1:$I$89,5,0)</f>
        <v>6.7984728957526396E-14</v>
      </c>
      <c r="BF100" s="14">
        <f t="shared" si="91"/>
        <v>1.0682447123141398E-12</v>
      </c>
      <c r="BG100" s="22">
        <f t="shared" si="61"/>
        <v>1.978932943548152E-12</v>
      </c>
      <c r="BH100" s="62">
        <f t="shared" si="62"/>
        <v>269.29976559489972</v>
      </c>
      <c r="BI100" s="62">
        <f ca="1">AVERAGE(OFFSET($BH$3,0,0,'Données projet'!$E$11+1,1))-AVERAGE(OFFSET($H$3,0,0,'Données projet'!$E$11+1,1))</f>
        <v>197.85998851681552</v>
      </c>
      <c r="BJ100" s="62">
        <f t="shared" si="92"/>
        <v>474.54844785896239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14.146078190624692</v>
      </c>
      <c r="BQ100" s="23">
        <f>EXP(-LN(2)/25)*BQ99+(1-EXP(-LN(2)/25))/(LN(2)/25)*Calculateur!BL100*Calculateur!BN100*VLOOKUP('Données projet'!$B$11,Paramètres!$A$1:$I$89,3,0)*0.475*44/12</f>
        <v>6.8578309999271543</v>
      </c>
      <c r="BR100" s="23">
        <f>EXP(-LN(2)/2)*BR99+(1-EXP(-LN(2)/2))/(LN(2)/2)*BL100*BO100*VLOOKUP('Données projet'!$B$11,Paramètres!$A$1:$I$89,3,0)*0.475*44/12</f>
        <v>3.5863827481467509E-9</v>
      </c>
      <c r="BS100" s="24">
        <f t="shared" si="63"/>
        <v>21.003909194138227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>
        <f>BY100*VLOOKUP('Données projet'!$B$12,Paramètres!$A$1:$I$89,3,0)*VLOOKUP('Données projet'!$B$12,Paramètres!$A$1:$I$89,5,0)</f>
        <v>0</v>
      </c>
      <c r="CA100" s="14" t="e">
        <f t="shared" si="93"/>
        <v>#NUM!</v>
      </c>
      <c r="CB100" s="22" t="e">
        <f t="shared" si="64"/>
        <v>#NUM!</v>
      </c>
      <c r="CC100" s="62" t="e">
        <f t="shared" si="65"/>
        <v>#NUM!</v>
      </c>
      <c r="CD100" s="62">
        <f ca="1">AVERAGE(OFFSET($CC$3,0,0,'Données projet'!$E$12+1,1))-AVERAGE(OFFSET($H$3,0,0,'Données projet'!$E$12+1,1))</f>
        <v>72.97248599808384</v>
      </c>
      <c r="CE100" s="62">
        <f t="shared" si="94"/>
        <v>346.88163654003574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15.419111691708272</v>
      </c>
      <c r="CL100" s="23">
        <f>EXP(-LN(2)/25)*CL99+(1-EXP(-LN(2)/25))/(LN(2)/25)*Calculateur!CG100*Calculateur!CI100*VLOOKUP('Données projet'!$B$12,Paramètres!$A$1:$I$89,3,0)*0.475*44/12</f>
        <v>2.0373168648460043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17.456428556554275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>
        <f>CT100*VLOOKUP('Données projet'!$B$13,Paramètres!$A$1:$I$89,3,0)*VLOOKUP('Données projet'!$B$13,Paramètres!$A$1:$I$89,5,0)</f>
        <v>0</v>
      </c>
      <c r="CV100" s="14" t="e">
        <f t="shared" si="95"/>
        <v>#NUM!</v>
      </c>
      <c r="CW100" s="22" t="e">
        <f t="shared" si="67"/>
        <v>#NUM!</v>
      </c>
      <c r="CX100" s="62" t="e">
        <f t="shared" si="68"/>
        <v>#NUM!</v>
      </c>
      <c r="CY100" s="62">
        <f ca="1">AVERAGE(OFFSET($CX$3,0,0,'Données projet'!$E$13+1,1))-AVERAGE(OFFSET($H$3,0,0,'Données projet'!$E$13+1,1))</f>
        <v>67.303283896086128</v>
      </c>
      <c r="CZ100" s="62">
        <f t="shared" si="96"/>
        <v>318.97925671653547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14.001756020882727</v>
      </c>
      <c r="DG100" s="23">
        <f>EXP(-LN(2)/25)*DG99+(1-EXP(-LN(2)/25))/(LN(2)/25)*Calculateur!DB100*Calculateur!DD100*VLOOKUP('Données projet'!$B$13,Paramètres!$A$1:$I$89,3,0)*0.475*44/12</f>
        <v>1.850042612645673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15.8517986335284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>
        <f>DO100*VLOOKUP('Données projet'!$B$14,Paramètres!$A$1:$I$89,3,0)*VLOOKUP('Données projet'!$B$14,Paramètres!$A$1:$I$89,5,0)</f>
        <v>0</v>
      </c>
      <c r="DQ100" s="14" t="e">
        <f t="shared" si="97"/>
        <v>#NUM!</v>
      </c>
      <c r="DR100" s="22" t="e">
        <f t="shared" si="70"/>
        <v>#NUM!</v>
      </c>
      <c r="DS100" s="62" t="e">
        <f t="shared" si="71"/>
        <v>#NUM!</v>
      </c>
      <c r="DT100" s="62">
        <f ca="1">AVERAGE(OFFSET($DS$3,0,0,'Données projet'!$E$14+1,1))-AVERAGE(OFFSET($H$3,0,0,'Données projet'!$E$14+1,1))</f>
        <v>75.244137291704476</v>
      </c>
      <c r="DU100" s="62">
        <f t="shared" si="98"/>
        <v>366.065475656937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16.39525196087186</v>
      </c>
      <c r="EB100" s="23">
        <f>EXP(-LN(2)/25)*EB99+(1-EXP(-LN(2)/25))/(LN(2)/25)*Calculateur!DW100*Calculateur!DY100*VLOOKUP('Données projet'!$B$14,Paramètres!$A$1:$I$89,3,0)*0.475*44/12</f>
        <v>2.1662936225597296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18.561545583431588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4.8</v>
      </c>
      <c r="EJ100" s="13">
        <f>IF('Données projet'!$A$192&gt;35,EJ99+EI100-ER99,IF(A100&lt;'Données projet'!$A$192,$EG$205^A100,IF(A100='Données projet'!$A$192,'Données projet'!$B$192,EJ99+EI100-ER99)))</f>
        <v>267.60000000000008</v>
      </c>
      <c r="EK100" s="18">
        <f>EJ100*VLOOKUP('Données projet'!$B$15,Paramètres!$A$1:$I$89,3,0)*VLOOKUP('Données projet'!$B$15,Paramètres!$A$1:$I$89,5,0)</f>
        <v>258.82272000000006</v>
      </c>
      <c r="EL100" s="14">
        <f t="shared" si="99"/>
        <v>62.471363191059453</v>
      </c>
      <c r="EM100" s="22">
        <f t="shared" si="73"/>
        <v>559.58719489109524</v>
      </c>
      <c r="EN100" s="62">
        <f t="shared" si="74"/>
        <v>828.88696048599297</v>
      </c>
      <c r="EO100" s="62">
        <f ca="1">AVERAGE(OFFSET($EN$3,0,0,'Données projet'!$E$15+1,1))-AVERAGE(OFFSET($H$3,0,0,'Données projet'!$E$15+1,1))</f>
        <v>452.74627739105745</v>
      </c>
      <c r="EP100" s="62">
        <f t="shared" si="100"/>
        <v>281.80695725575106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4.8</v>
      </c>
      <c r="FE100" s="13">
        <f>IF('Données projet'!$A$218&gt;35,FE99+FD100-FM99,IF(A100&lt;'Données projet'!$A$218,$FB$205^A100,IF(A100='Données projet'!$A$218,'Données projet'!$B$218,FE99+FD100-FM99)))</f>
        <v>267.60000000000008</v>
      </c>
      <c r="FF100" s="18">
        <f>FE100*VLOOKUP('Données projet'!$B$16,Paramètres!$A$1:$I$89,3,0)*VLOOKUP('Données projet'!$B$16,Paramètres!$A$1:$I$89,5,0)</f>
        <v>288.04464000000007</v>
      </c>
      <c r="FG100" s="14">
        <f t="shared" si="101"/>
        <v>68.664259771444577</v>
      </c>
      <c r="FH100" s="22">
        <f t="shared" si="76"/>
        <v>621.268000435266</v>
      </c>
      <c r="FI100" s="62">
        <f t="shared" si="77"/>
        <v>890.56776603016374</v>
      </c>
      <c r="FJ100" s="62">
        <f ca="1">AVERAGE(OFFSET($FI$3,0,0,'Données projet'!$E$16+1,1))-AVERAGE(OFFSET($H$3,0,0,'Données projet'!$E$16+1,1))</f>
        <v>492.72391755143508</v>
      </c>
      <c r="FK100" s="62">
        <f t="shared" si="102"/>
        <v>304.88554179994355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63.445390616790291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143.77000000000001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-5.6843418860808015E-14</v>
      </c>
      <c r="O101" s="14">
        <f>N101*VLOOKUP('Données projet'!$B$9,Paramètres!$A$1:$I$89,3,0)*VLOOKUP('Données projet'!$B$9,Paramètres!$A$1:$I$89,5,0)</f>
        <v>-5.1431925385259088E-14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388.8309693898596</v>
      </c>
      <c r="T101" s="62">
        <f t="shared" si="88"/>
        <v>549.06702041234382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2.7531271394189107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2.7531271394189107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>
        <f>AI101*VLOOKUP('Données projet'!$B$10,Paramètres!$A$1:$I$89,3,0)*VLOOKUP('Données projet'!$B$10,Paramètres!$A$1:$I$89,5,0)</f>
        <v>6.7984728957526396E-14</v>
      </c>
      <c r="AK101" s="14">
        <f t="shared" si="89"/>
        <v>1.0682447123141398E-12</v>
      </c>
      <c r="AL101" s="22">
        <f t="shared" si="58"/>
        <v>1.978932943548152E-12</v>
      </c>
      <c r="AM101" s="62">
        <f t="shared" si="59"/>
        <v>269.7166942641536</v>
      </c>
      <c r="AN101" s="62">
        <f ca="1">AVERAGE(OFFSET($AM$3,0,0,'Données projet'!$E$10+1,1))-AVERAGE(OFFSET($H$3,0,0,'Données projet'!$E$10+1,1))</f>
        <v>197.85998851681552</v>
      </c>
      <c r="AO101" s="62">
        <f t="shared" si="90"/>
        <v>474.54844785896239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13.868682225562269</v>
      </c>
      <c r="AV101" s="23">
        <f>EXP(-LN(2)/25)*AV100+(1-EXP(-LN(2)/25))/(LN(2)/25)*Calculateur!AQ101*Calculateur!AS101*VLOOKUP('Données projet'!$B$10,Paramètres!$A$1:$I$89,3,0)*0.475*44/12</f>
        <v>6.6703032505964881</v>
      </c>
      <c r="AW101" s="23">
        <f>EXP(-LN(2)/2)*AW100+(1-EXP(-LN(2)/2))/(LN(2)/2)*AQ101*AT101*VLOOKUP('Données projet'!$B$10,Paramètres!$A$1:$I$89,3,0)*0.475*44/12</f>
        <v>2.5359555611450137E-9</v>
      </c>
      <c r="AX101" s="23">
        <f t="shared" si="60"/>
        <v>20.538985478694713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1.1368683772161603E-13</v>
      </c>
      <c r="BE101" s="14">
        <f>BD101*VLOOKUP('Données projet'!$B$11,Paramètres!$A$1:$I$89,3,0)*VLOOKUP('Données projet'!$B$11,Paramètres!$A$1:$I$89,5,0)</f>
        <v>6.7984728957526396E-14</v>
      </c>
      <c r="BF101" s="14">
        <f t="shared" si="91"/>
        <v>1.0682447123141398E-12</v>
      </c>
      <c r="BG101" s="22">
        <f t="shared" si="61"/>
        <v>1.978932943548152E-12</v>
      </c>
      <c r="BH101" s="62">
        <f t="shared" si="62"/>
        <v>269.7166942641536</v>
      </c>
      <c r="BI101" s="62">
        <f ca="1">AVERAGE(OFFSET($BH$3,0,0,'Données projet'!$E$11+1,1))-AVERAGE(OFFSET($H$3,0,0,'Données projet'!$E$11+1,1))</f>
        <v>197.85998851681552</v>
      </c>
      <c r="BJ101" s="62">
        <f t="shared" si="92"/>
        <v>474.54844785896239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13.868682225562269</v>
      </c>
      <c r="BQ101" s="23">
        <f>EXP(-LN(2)/25)*BQ100+(1-EXP(-LN(2)/25))/(LN(2)/25)*Calculateur!BL101*Calculateur!BN101*VLOOKUP('Données projet'!$B$11,Paramètres!$A$1:$I$89,3,0)*0.475*44/12</f>
        <v>6.6703032505964881</v>
      </c>
      <c r="BR101" s="23">
        <f>EXP(-LN(2)/2)*BR100+(1-EXP(-LN(2)/2))/(LN(2)/2)*BL101*BO101*VLOOKUP('Données projet'!$B$11,Paramètres!$A$1:$I$89,3,0)*0.475*44/12</f>
        <v>2.5359555611450137E-9</v>
      </c>
      <c r="BS101" s="24">
        <f t="shared" si="63"/>
        <v>20.538985478694713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>
        <f>BY101*VLOOKUP('Données projet'!$B$12,Paramètres!$A$1:$I$89,3,0)*VLOOKUP('Données projet'!$B$12,Paramètres!$A$1:$I$89,5,0)</f>
        <v>0</v>
      </c>
      <c r="CA101" s="14" t="e">
        <f t="shared" si="93"/>
        <v>#NUM!</v>
      </c>
      <c r="CB101" s="22" t="e">
        <f t="shared" si="64"/>
        <v>#NUM!</v>
      </c>
      <c r="CC101" s="62" t="e">
        <f t="shared" si="65"/>
        <v>#NUM!</v>
      </c>
      <c r="CD101" s="62">
        <f ca="1">AVERAGE(OFFSET($CC$3,0,0,'Données projet'!$E$12+1,1))-AVERAGE(OFFSET($H$3,0,0,'Données projet'!$E$12+1,1))</f>
        <v>72.97248599808384</v>
      </c>
      <c r="CE101" s="62">
        <f t="shared" si="94"/>
        <v>346.88163654003574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15.116752316163366</v>
      </c>
      <c r="CL101" s="23">
        <f>EXP(-LN(2)/25)*CL100+(1-EXP(-LN(2)/25))/(LN(2)/25)*Calculateur!CG101*Calculateur!CI101*VLOOKUP('Données projet'!$B$12,Paramètres!$A$1:$I$89,3,0)*0.475*44/12</f>
        <v>1.9816063280389526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17.098358644202317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>
        <f>CT101*VLOOKUP('Données projet'!$B$13,Paramètres!$A$1:$I$89,3,0)*VLOOKUP('Données projet'!$B$13,Paramètres!$A$1:$I$89,5,0)</f>
        <v>0</v>
      </c>
      <c r="CV101" s="14" t="e">
        <f t="shared" si="95"/>
        <v>#NUM!</v>
      </c>
      <c r="CW101" s="22" t="e">
        <f t="shared" si="67"/>
        <v>#NUM!</v>
      </c>
      <c r="CX101" s="62" t="e">
        <f t="shared" si="68"/>
        <v>#NUM!</v>
      </c>
      <c r="CY101" s="62">
        <f ca="1">AVERAGE(OFFSET($CX$3,0,0,'Données projet'!$E$13+1,1))-AVERAGE(OFFSET($H$3,0,0,'Données projet'!$E$13+1,1))</f>
        <v>67.303283896086128</v>
      </c>
      <c r="CZ101" s="62">
        <f t="shared" si="96"/>
        <v>318.97925671653547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13.727190125541112</v>
      </c>
      <c r="DG101" s="23">
        <f>EXP(-LN(2)/25)*DG100+(1-EXP(-LN(2)/25))/(LN(2)/25)*Calculateur!DB101*Calculateur!DD101*VLOOKUP('Données projet'!$B$13,Paramètres!$A$1:$I$89,3,0)*0.475*44/12</f>
        <v>1.7994531001133645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15.526643225654476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>
        <f>DO101*VLOOKUP('Données projet'!$B$14,Paramètres!$A$1:$I$89,3,0)*VLOOKUP('Données projet'!$B$14,Paramètres!$A$1:$I$89,5,0)</f>
        <v>0</v>
      </c>
      <c r="DQ101" s="14" t="e">
        <f t="shared" si="97"/>
        <v>#NUM!</v>
      </c>
      <c r="DR101" s="22" t="e">
        <f t="shared" si="70"/>
        <v>#NUM!</v>
      </c>
      <c r="DS101" s="62" t="e">
        <f t="shared" si="71"/>
        <v>#NUM!</v>
      </c>
      <c r="DT101" s="62">
        <f ca="1">AVERAGE(OFFSET($DS$3,0,0,'Données projet'!$E$14+1,1))-AVERAGE(OFFSET($H$3,0,0,'Données projet'!$E$14+1,1))</f>
        <v>75.244137291704476</v>
      </c>
      <c r="DU101" s="62">
        <f t="shared" si="98"/>
        <v>366.065475656937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16.073751070035431</v>
      </c>
      <c r="EB101" s="23">
        <f>EXP(-LN(2)/25)*EB100+(1-EXP(-LN(2)/25))/(LN(2)/25)*Calculateur!DW101*Calculateur!DY101*VLOOKUP('Données projet'!$B$14,Paramètres!$A$1:$I$89,3,0)*0.475*44/12</f>
        <v>2.1070562095304033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18.180807279565833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4.8</v>
      </c>
      <c r="EJ101" s="13">
        <f>IF('Données projet'!$A$192&gt;35,EJ100+EI101-ER100,IF(A101&lt;'Données projet'!$A$192,$EG$205^A101,IF(A101='Données projet'!$A$192,'Données projet'!$B$192,EJ100+EI101-ER100)))</f>
        <v>272.40000000000009</v>
      </c>
      <c r="EK101" s="18">
        <f>EJ101*VLOOKUP('Données projet'!$B$15,Paramètres!$A$1:$I$89,3,0)*VLOOKUP('Données projet'!$B$15,Paramètres!$A$1:$I$89,5,0)</f>
        <v>263.46528000000012</v>
      </c>
      <c r="EL101" s="14">
        <f t="shared" si="99"/>
        <v>63.460465469894196</v>
      </c>
      <c r="EM101" s="22">
        <f t="shared" si="73"/>
        <v>569.39567336006587</v>
      </c>
      <c r="EN101" s="62">
        <f t="shared" si="74"/>
        <v>839.11236762421754</v>
      </c>
      <c r="EO101" s="62">
        <f ca="1">AVERAGE(OFFSET($EN$3,0,0,'Données projet'!$E$15+1,1))-AVERAGE(OFFSET($H$3,0,0,'Données projet'!$E$15+1,1))</f>
        <v>452.74627739105745</v>
      </c>
      <c r="EP101" s="62">
        <f t="shared" si="100"/>
        <v>281.80695725575106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4.8</v>
      </c>
      <c r="FE101" s="13">
        <f>IF('Données projet'!$A$218&gt;35,FE100+FD101-FM100,IF(A101&lt;'Données projet'!$A$218,$FB$205^A101,IF(A101='Données projet'!$A$218,'Données projet'!$B$218,FE100+FD101-FM100)))</f>
        <v>272.40000000000009</v>
      </c>
      <c r="FF101" s="18">
        <f>FE101*VLOOKUP('Données projet'!$B$16,Paramètres!$A$1:$I$89,3,0)*VLOOKUP('Données projet'!$B$16,Paramètres!$A$1:$I$89,5,0)</f>
        <v>293.21136000000007</v>
      </c>
      <c r="FG101" s="14">
        <f t="shared" si="101"/>
        <v>69.751413506296274</v>
      </c>
      <c r="FH101" s="22">
        <f t="shared" si="76"/>
        <v>632.16016385679939</v>
      </c>
      <c r="FI101" s="62">
        <f t="shared" si="77"/>
        <v>901.87685812095106</v>
      </c>
      <c r="FJ101" s="62">
        <f ca="1">AVERAGE(OFFSET($FI$3,0,0,'Données projet'!$E$16+1,1))-AVERAGE(OFFSET($H$3,0,0,'Données projet'!$E$16+1,1))</f>
        <v>492.72391755143508</v>
      </c>
      <c r="FK101" s="62">
        <f t="shared" si="102"/>
        <v>304.88554179994355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63.559098435677711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143.77000000000001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-5.6843418860808015E-14</v>
      </c>
      <c r="O102" s="14">
        <f>N102*VLOOKUP('Données projet'!$B$9,Paramètres!$A$1:$I$89,3,0)*VLOOKUP('Données projet'!$B$9,Paramètres!$A$1:$I$89,5,0)</f>
        <v>-5.1431925385259088E-14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388.8309693898596</v>
      </c>
      <c r="T102" s="62">
        <f t="shared" si="88"/>
        <v>549.06702041234382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2.6991399954566497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2.6991399954566497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>
        <f>AI102*VLOOKUP('Données projet'!$B$10,Paramètres!$A$1:$I$89,3,0)*VLOOKUP('Données projet'!$B$10,Paramètres!$A$1:$I$89,5,0)</f>
        <v>6.7984728957526396E-14</v>
      </c>
      <c r="AK102" s="14">
        <f t="shared" si="89"/>
        <v>1.0682447123141398E-12</v>
      </c>
      <c r="AL102" s="22">
        <f t="shared" si="58"/>
        <v>1.978932943548152E-12</v>
      </c>
      <c r="AM102" s="62">
        <f t="shared" si="59"/>
        <v>270.12639015310884</v>
      </c>
      <c r="AN102" s="62">
        <f ca="1">AVERAGE(OFFSET($AM$3,0,0,'Données projet'!$E$10+1,1))-AVERAGE(OFFSET($H$3,0,0,'Données projet'!$E$10+1,1))</f>
        <v>197.85998851681552</v>
      </c>
      <c r="AO102" s="62">
        <f t="shared" si="90"/>
        <v>474.54844785896239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13.596725826179888</v>
      </c>
      <c r="AV102" s="23">
        <f>EXP(-LN(2)/25)*AV101+(1-EXP(-LN(2)/25))/(LN(2)/25)*Calculateur!AQ102*Calculateur!AS102*VLOOKUP('Données projet'!$B$10,Paramètres!$A$1:$I$89,3,0)*0.475*44/12</f>
        <v>6.4879034574329246</v>
      </c>
      <c r="AW102" s="23">
        <f>EXP(-LN(2)/2)*AW101+(1-EXP(-LN(2)/2))/(LN(2)/2)*AQ102*AT102*VLOOKUP('Données projet'!$B$10,Paramètres!$A$1:$I$89,3,0)*0.475*44/12</f>
        <v>1.7931913740733756E-9</v>
      </c>
      <c r="AX102" s="23">
        <f t="shared" si="60"/>
        <v>20.084629285406006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1.1368683772161603E-13</v>
      </c>
      <c r="BE102" s="14">
        <f>BD102*VLOOKUP('Données projet'!$B$11,Paramètres!$A$1:$I$89,3,0)*VLOOKUP('Données projet'!$B$11,Paramètres!$A$1:$I$89,5,0)</f>
        <v>6.7984728957526396E-14</v>
      </c>
      <c r="BF102" s="14">
        <f t="shared" si="91"/>
        <v>1.0682447123141398E-12</v>
      </c>
      <c r="BG102" s="22">
        <f t="shared" si="61"/>
        <v>1.978932943548152E-12</v>
      </c>
      <c r="BH102" s="62">
        <f t="shared" si="62"/>
        <v>270.12639015310884</v>
      </c>
      <c r="BI102" s="62">
        <f ca="1">AVERAGE(OFFSET($BH$3,0,0,'Données projet'!$E$11+1,1))-AVERAGE(OFFSET($H$3,0,0,'Données projet'!$E$11+1,1))</f>
        <v>197.85998851681552</v>
      </c>
      <c r="BJ102" s="62">
        <f t="shared" si="92"/>
        <v>474.54844785896239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13.596725826179888</v>
      </c>
      <c r="BQ102" s="23">
        <f>EXP(-LN(2)/25)*BQ101+(1-EXP(-LN(2)/25))/(LN(2)/25)*Calculateur!BL102*Calculateur!BN102*VLOOKUP('Données projet'!$B$11,Paramètres!$A$1:$I$89,3,0)*0.475*44/12</f>
        <v>6.4879034574329246</v>
      </c>
      <c r="BR102" s="23">
        <f>EXP(-LN(2)/2)*BR101+(1-EXP(-LN(2)/2))/(LN(2)/2)*BL102*BO102*VLOOKUP('Données projet'!$B$11,Paramètres!$A$1:$I$89,3,0)*0.475*44/12</f>
        <v>1.7931913740733756E-9</v>
      </c>
      <c r="BS102" s="24">
        <f t="shared" si="63"/>
        <v>20.084629285406006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>
        <f>BY102*VLOOKUP('Données projet'!$B$12,Paramètres!$A$1:$I$89,3,0)*VLOOKUP('Données projet'!$B$12,Paramètres!$A$1:$I$89,5,0)</f>
        <v>0</v>
      </c>
      <c r="CA102" s="14" t="e">
        <f t="shared" si="93"/>
        <v>#NUM!</v>
      </c>
      <c r="CB102" s="22" t="e">
        <f t="shared" si="64"/>
        <v>#NUM!</v>
      </c>
      <c r="CC102" s="62" t="e">
        <f t="shared" si="65"/>
        <v>#NUM!</v>
      </c>
      <c r="CD102" s="62">
        <f ca="1">AVERAGE(OFFSET($CC$3,0,0,'Données projet'!$E$12+1,1))-AVERAGE(OFFSET($H$3,0,0,'Données projet'!$E$12+1,1))</f>
        <v>72.97248599808384</v>
      </c>
      <c r="CE102" s="62">
        <f t="shared" si="94"/>
        <v>346.88163654003574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14.820322023551885</v>
      </c>
      <c r="CL102" s="23">
        <f>EXP(-LN(2)/25)*CL101+(1-EXP(-LN(2)/25))/(LN(2)/25)*Calculateur!CG102*Calculateur!CI102*VLOOKUP('Données projet'!$B$12,Paramètres!$A$1:$I$89,3,0)*0.475*44/12</f>
        <v>1.9274191987905798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16.747741222342466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>
        <f>CT102*VLOOKUP('Données projet'!$B$13,Paramètres!$A$1:$I$89,3,0)*VLOOKUP('Données projet'!$B$13,Paramètres!$A$1:$I$89,5,0)</f>
        <v>0</v>
      </c>
      <c r="CV102" s="14" t="e">
        <f t="shared" si="95"/>
        <v>#NUM!</v>
      </c>
      <c r="CW102" s="22" t="e">
        <f t="shared" si="67"/>
        <v>#NUM!</v>
      </c>
      <c r="CX102" s="62" t="e">
        <f t="shared" si="68"/>
        <v>#NUM!</v>
      </c>
      <c r="CY102" s="62">
        <f ca="1">AVERAGE(OFFSET($CX$3,0,0,'Données projet'!$E$13+1,1))-AVERAGE(OFFSET($H$3,0,0,'Données projet'!$E$13+1,1))</f>
        <v>67.303283896086128</v>
      </c>
      <c r="CZ102" s="62">
        <f t="shared" si="96"/>
        <v>318.97925671653547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13.458008299938486</v>
      </c>
      <c r="DG102" s="23">
        <f>EXP(-LN(2)/25)*DG101+(1-EXP(-LN(2)/25))/(LN(2)/25)*Calculateur!DB102*Calculateur!DD102*VLOOKUP('Données projet'!$B$13,Paramètres!$A$1:$I$89,3,0)*0.475*44/12</f>
        <v>1.7502469604616386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15.208255260400124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>
        <f>DO102*VLOOKUP('Données projet'!$B$14,Paramètres!$A$1:$I$89,3,0)*VLOOKUP('Données projet'!$B$14,Paramètres!$A$1:$I$89,5,0)</f>
        <v>0</v>
      </c>
      <c r="DQ102" s="14" t="e">
        <f t="shared" si="97"/>
        <v>#NUM!</v>
      </c>
      <c r="DR102" s="22" t="e">
        <f t="shared" si="70"/>
        <v>#NUM!</v>
      </c>
      <c r="DS102" s="62" t="e">
        <f t="shared" si="71"/>
        <v>#NUM!</v>
      </c>
      <c r="DT102" s="62">
        <f ca="1">AVERAGE(OFFSET($DS$3,0,0,'Données projet'!$E$14+1,1))-AVERAGE(OFFSET($H$3,0,0,'Données projet'!$E$14+1,1))</f>
        <v>75.244137291704476</v>
      </c>
      <c r="DU102" s="62">
        <f t="shared" si="98"/>
        <v>366.065475656937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15.758554615572123</v>
      </c>
      <c r="EB102" s="23">
        <f>EXP(-LN(2)/25)*EB101+(1-EXP(-LN(2)/25))/(LN(2)/25)*Calculateur!DW102*Calculateur!DY102*VLOOKUP('Données projet'!$B$14,Paramètres!$A$1:$I$89,3,0)*0.475*44/12</f>
        <v>2.0494386466755241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17.807993262247649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4.8</v>
      </c>
      <c r="EJ102" s="13">
        <f>IF('Données projet'!$A$192&gt;35,EJ101+EI102-ER101,IF(A102&lt;'Données projet'!$A$192,$EG$205^A102,IF(A102='Données projet'!$A$192,'Données projet'!$B$192,EJ101+EI102-ER101)))</f>
        <v>277.2000000000001</v>
      </c>
      <c r="EK102" s="18">
        <f>EJ102*VLOOKUP('Données projet'!$B$15,Paramètres!$A$1:$I$89,3,0)*VLOOKUP('Données projet'!$B$15,Paramètres!$A$1:$I$89,5,0)</f>
        <v>268.10784000000012</v>
      </c>
      <c r="EL102" s="14">
        <f t="shared" si="99"/>
        <v>64.447540968014238</v>
      </c>
      <c r="EM102" s="22">
        <f t="shared" si="73"/>
        <v>579.20062185262486</v>
      </c>
      <c r="EN102" s="62">
        <f t="shared" si="74"/>
        <v>849.32701200573172</v>
      </c>
      <c r="EO102" s="62">
        <f ca="1">AVERAGE(OFFSET($EN$3,0,0,'Données projet'!$E$15+1,1))-AVERAGE(OFFSET($H$3,0,0,'Données projet'!$E$15+1,1))</f>
        <v>452.74627739105745</v>
      </c>
      <c r="EP102" s="62">
        <f t="shared" si="100"/>
        <v>281.80695725575106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4.8</v>
      </c>
      <c r="FE102" s="13">
        <f>IF('Données projet'!$A$218&gt;35,FE101+FD102-FM101,IF(A102&lt;'Données projet'!$A$218,$FB$205^A102,IF(A102='Données projet'!$A$218,'Données projet'!$B$218,FE101+FD102-FM101)))</f>
        <v>277.2000000000001</v>
      </c>
      <c r="FF102" s="18">
        <f>FE102*VLOOKUP('Données projet'!$B$16,Paramètres!$A$1:$I$89,3,0)*VLOOKUP('Données projet'!$B$16,Paramètres!$A$1:$I$89,5,0)</f>
        <v>298.37808000000012</v>
      </c>
      <c r="FG102" s="14">
        <f t="shared" si="101"/>
        <v>70.836339542080978</v>
      </c>
      <c r="FH102" s="22">
        <f t="shared" si="76"/>
        <v>643.04844736912457</v>
      </c>
      <c r="FI102" s="62">
        <f t="shared" si="77"/>
        <v>913.17483752223143</v>
      </c>
      <c r="FJ102" s="62">
        <f ca="1">AVERAGE(OFFSET($FI$3,0,0,'Données projet'!$E$16+1,1))-AVERAGE(OFFSET($H$3,0,0,'Données projet'!$E$16+1,1))</f>
        <v>492.72391755143508</v>
      </c>
      <c r="FK102" s="62">
        <f t="shared" si="102"/>
        <v>304.88554179994355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63.670833678120047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143.77000000000001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-5.6843418860808015E-14</v>
      </c>
      <c r="O103" s="14">
        <f>N103*VLOOKUP('Données projet'!$B$9,Paramètres!$A$1:$I$89,3,0)*VLOOKUP('Données projet'!$B$9,Paramètres!$A$1:$I$89,5,0)</f>
        <v>-5.1431925385259088E-14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388.8309693898596</v>
      </c>
      <c r="T103" s="62">
        <f t="shared" si="88"/>
        <v>549.06702041234382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2.6462115064585823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2.6462115064585823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>
        <f>AI103*VLOOKUP('Données projet'!$B$10,Paramètres!$A$1:$I$89,3,0)*VLOOKUP('Données projet'!$B$10,Paramètres!$A$1:$I$89,5,0)</f>
        <v>6.7984728957526396E-14</v>
      </c>
      <c r="AK103" s="14">
        <f t="shared" si="89"/>
        <v>1.0682447123141398E-12</v>
      </c>
      <c r="AL103" s="22">
        <f t="shared" si="58"/>
        <v>1.978932943548152E-12</v>
      </c>
      <c r="AM103" s="62">
        <f t="shared" si="59"/>
        <v>270.52897873433346</v>
      </c>
      <c r="AN103" s="62">
        <f ca="1">AVERAGE(OFFSET($AM$3,0,0,'Données projet'!$E$10+1,1))-AVERAGE(OFFSET($H$3,0,0,'Données projet'!$E$10+1,1))</f>
        <v>197.85998851681552</v>
      </c>
      <c r="AO103" s="62">
        <f t="shared" si="90"/>
        <v>474.54844785896239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13.330102325912371</v>
      </c>
      <c r="AV103" s="23">
        <f>EXP(-LN(2)/25)*AV102+(1-EXP(-LN(2)/25))/(LN(2)/25)*Calculateur!AQ103*Calculateur!AS103*VLOOKUP('Données projet'!$B$10,Paramètres!$A$1:$I$89,3,0)*0.475*44/12</f>
        <v>6.310491396205407</v>
      </c>
      <c r="AW103" s="23">
        <f>EXP(-LN(2)/2)*AW102+(1-EXP(-LN(2)/2))/(LN(2)/2)*AQ103*AT103*VLOOKUP('Données projet'!$B$10,Paramètres!$A$1:$I$89,3,0)*0.475*44/12</f>
        <v>1.267977780572507E-9</v>
      </c>
      <c r="AX103" s="23">
        <f t="shared" si="60"/>
        <v>19.640593723385756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1.1368683772161603E-13</v>
      </c>
      <c r="BE103" s="14">
        <f>BD103*VLOOKUP('Données projet'!$B$11,Paramètres!$A$1:$I$89,3,0)*VLOOKUP('Données projet'!$B$11,Paramètres!$A$1:$I$89,5,0)</f>
        <v>6.7984728957526396E-14</v>
      </c>
      <c r="BF103" s="14">
        <f t="shared" si="91"/>
        <v>1.0682447123141398E-12</v>
      </c>
      <c r="BG103" s="22">
        <f t="shared" si="61"/>
        <v>1.978932943548152E-12</v>
      </c>
      <c r="BH103" s="62">
        <f t="shared" si="62"/>
        <v>270.52897873433346</v>
      </c>
      <c r="BI103" s="62">
        <f ca="1">AVERAGE(OFFSET($BH$3,0,0,'Données projet'!$E$11+1,1))-AVERAGE(OFFSET($H$3,0,0,'Données projet'!$E$11+1,1))</f>
        <v>197.85998851681552</v>
      </c>
      <c r="BJ103" s="62">
        <f t="shared" si="92"/>
        <v>474.54844785896239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13.330102325912371</v>
      </c>
      <c r="BQ103" s="23">
        <f>EXP(-LN(2)/25)*BQ102+(1-EXP(-LN(2)/25))/(LN(2)/25)*Calculateur!BL103*Calculateur!BN103*VLOOKUP('Données projet'!$B$11,Paramètres!$A$1:$I$89,3,0)*0.475*44/12</f>
        <v>6.310491396205407</v>
      </c>
      <c r="BR103" s="23">
        <f>EXP(-LN(2)/2)*BR102+(1-EXP(-LN(2)/2))/(LN(2)/2)*BL103*BO103*VLOOKUP('Données projet'!$B$11,Paramètres!$A$1:$I$89,3,0)*0.475*44/12</f>
        <v>1.267977780572507E-9</v>
      </c>
      <c r="BS103" s="24">
        <f t="shared" si="63"/>
        <v>19.640593723385756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>
        <f>BY103*VLOOKUP('Données projet'!$B$12,Paramètres!$A$1:$I$89,3,0)*VLOOKUP('Données projet'!$B$12,Paramètres!$A$1:$I$89,5,0)</f>
        <v>0</v>
      </c>
      <c r="CA103" s="14" t="e">
        <f t="shared" si="93"/>
        <v>#NUM!</v>
      </c>
      <c r="CB103" s="22" t="e">
        <f t="shared" si="64"/>
        <v>#NUM!</v>
      </c>
      <c r="CC103" s="62" t="e">
        <f t="shared" si="65"/>
        <v>#NUM!</v>
      </c>
      <c r="CD103" s="62">
        <f ca="1">AVERAGE(OFFSET($CC$3,0,0,'Données projet'!$E$12+1,1))-AVERAGE(OFFSET($H$3,0,0,'Données projet'!$E$12+1,1))</f>
        <v>72.97248599808384</v>
      </c>
      <c r="CE103" s="62">
        <f t="shared" si="94"/>
        <v>346.88163654003574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14.529704548173889</v>
      </c>
      <c r="CL103" s="23">
        <f>EXP(-LN(2)/25)*CL102+(1-EXP(-LN(2)/25))/(LN(2)/25)*Calculateur!CG103*Calculateur!CI103*VLOOKUP('Données projet'!$B$12,Paramètres!$A$1:$I$89,3,0)*0.475*44/12</f>
        <v>1.8747138194410808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16.404418367614969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>
        <f>CT103*VLOOKUP('Données projet'!$B$13,Paramètres!$A$1:$I$89,3,0)*VLOOKUP('Données projet'!$B$13,Paramètres!$A$1:$I$89,5,0)</f>
        <v>0</v>
      </c>
      <c r="CV103" s="14" t="e">
        <f t="shared" si="95"/>
        <v>#NUM!</v>
      </c>
      <c r="CW103" s="22" t="e">
        <f t="shared" si="67"/>
        <v>#NUM!</v>
      </c>
      <c r="CX103" s="62" t="e">
        <f t="shared" si="68"/>
        <v>#NUM!</v>
      </c>
      <c r="CY103" s="62">
        <f ca="1">AVERAGE(OFFSET($CX$3,0,0,'Données projet'!$E$13+1,1))-AVERAGE(OFFSET($H$3,0,0,'Données projet'!$E$13+1,1))</f>
        <v>67.303283896086128</v>
      </c>
      <c r="CZ103" s="62">
        <f t="shared" si="96"/>
        <v>318.97925671653547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13.194104965751226</v>
      </c>
      <c r="DG103" s="23">
        <f>EXP(-LN(2)/25)*DG102+(1-EXP(-LN(2)/25))/(LN(2)/25)*Calculateur!DB103*Calculateur!DD103*VLOOKUP('Données projet'!$B$13,Paramètres!$A$1:$I$89,3,0)*0.475*44/12</f>
        <v>1.7023863652863278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14.896491331037554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>
        <f>DO103*VLOOKUP('Données projet'!$B$14,Paramètres!$A$1:$I$89,3,0)*VLOOKUP('Données projet'!$B$14,Paramètres!$A$1:$I$89,5,0)</f>
        <v>0</v>
      </c>
      <c r="DQ103" s="14" t="e">
        <f t="shared" si="97"/>
        <v>#NUM!</v>
      </c>
      <c r="DR103" s="22" t="e">
        <f t="shared" si="70"/>
        <v>#NUM!</v>
      </c>
      <c r="DS103" s="62" t="e">
        <f t="shared" si="71"/>
        <v>#NUM!</v>
      </c>
      <c r="DT103" s="62">
        <f ca="1">AVERAGE(OFFSET($DS$3,0,0,'Données projet'!$E$14+1,1))-AVERAGE(OFFSET($H$3,0,0,'Données projet'!$E$14+1,1))</f>
        <v>75.244137291704476</v>
      </c>
      <c r="DU103" s="62">
        <f t="shared" si="98"/>
        <v>366.065475656937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15.449538971329986</v>
      </c>
      <c r="EB103" s="23">
        <f>EXP(-LN(2)/25)*EB102+(1-EXP(-LN(2)/25))/(LN(2)/25)*Calculateur!DW103*Calculateur!DY103*VLOOKUP('Données projet'!$B$14,Paramètres!$A$1:$I$89,3,0)*0.475*44/12</f>
        <v>1.9933966391068876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17.442935610436873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282</v>
      </c>
      <c r="EH103" s="13">
        <f>VLOOKUP(A103,'Données projet'!$A$191:$I$211,9,0)</f>
        <v>4.8</v>
      </c>
      <c r="EI103" s="13">
        <f t="array" ref="EI103">INDEX(EH:EH,MIN(IF(ISNUMBER(EH103:EH299),ROW(EH103:EH299),"")))</f>
        <v>4.8</v>
      </c>
      <c r="EJ103" s="13">
        <f>IF('Données projet'!$A$192&gt;35,EJ102+EI103-ER102,IF(A103&lt;'Données projet'!$A$192,$EG$205^A103,IF(A103='Données projet'!$A$192,'Données projet'!$B$192,EJ102+EI103-ER102)))</f>
        <v>282.00000000000011</v>
      </c>
      <c r="EK103" s="18">
        <f>EJ103*VLOOKUP('Données projet'!$B$15,Paramètres!$A$1:$I$89,3,0)*VLOOKUP('Données projet'!$B$15,Paramètres!$A$1:$I$89,5,0)</f>
        <v>272.75040000000013</v>
      </c>
      <c r="EL103" s="14">
        <f t="shared" si="99"/>
        <v>65.43262883082069</v>
      </c>
      <c r="EM103" s="22">
        <f t="shared" si="73"/>
        <v>589.00210854701288</v>
      </c>
      <c r="EN103" s="62">
        <f t="shared" si="74"/>
        <v>859.5310872813443</v>
      </c>
      <c r="EO103" s="62">
        <f ca="1">AVERAGE(OFFSET($EN$3,0,0,'Données projet'!$E$15+1,1))-AVERAGE(OFFSET($H$3,0,0,'Données projet'!$E$15+1,1))</f>
        <v>452.74627739105745</v>
      </c>
      <c r="EP103" s="62">
        <f t="shared" si="100"/>
        <v>281.80695725575106</v>
      </c>
      <c r="EQ103" s="16">
        <f>IF(ISNA(VLOOKUP(A103,'Données projet'!$A$191:$I$211,3,0)),0,VLOOKUP(A103,'Données projet'!$A$191:$I$211,3,0))</f>
        <v>16</v>
      </c>
      <c r="ER103" s="16">
        <f>IF(ISNA(VLOOKUP(A103,'Données projet'!$A$191:$I$211,4,0)),0,VLOOKUP(A103,'Données projet'!$A$191:$I$211,4,0))</f>
        <v>21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>
        <f>VLOOKUP(A103,'Données projet'!$A$217:$I$237,2,0)</f>
        <v>282</v>
      </c>
      <c r="FC103" s="13">
        <f>VLOOKUP(A103,'Données projet'!$A$217:$I$237,9,0)</f>
        <v>4.8</v>
      </c>
      <c r="FD103" s="13">
        <f t="array" ref="FD103">INDEX(FC:FC,MIN(IF(ISNUMBER(FC103:FC299),ROW(FC103:FC299),"")))</f>
        <v>4.8</v>
      </c>
      <c r="FE103" s="13">
        <f>IF('Données projet'!$A$218&gt;35,FE102+FD103-FM102,IF(A103&lt;'Données projet'!$A$218,$FB$205^A103,IF(A103='Données projet'!$A$218,'Données projet'!$B$218,FE102+FD103-FM102)))</f>
        <v>282.00000000000011</v>
      </c>
      <c r="FF103" s="18">
        <f>FE103*VLOOKUP('Données projet'!$B$16,Paramètres!$A$1:$I$89,3,0)*VLOOKUP('Données projet'!$B$16,Paramètres!$A$1:$I$89,5,0)</f>
        <v>303.54480000000012</v>
      </c>
      <c r="FG103" s="14">
        <f t="shared" si="101"/>
        <v>71.919080904752576</v>
      </c>
      <c r="FH103" s="22">
        <f t="shared" si="76"/>
        <v>653.93292590911108</v>
      </c>
      <c r="FI103" s="62">
        <f t="shared" si="77"/>
        <v>924.46190464344249</v>
      </c>
      <c r="FJ103" s="62">
        <f ca="1">AVERAGE(OFFSET($FI$3,0,0,'Données projet'!$E$16+1,1))-AVERAGE(OFFSET($H$3,0,0,'Données projet'!$E$16+1,1))</f>
        <v>492.72391755143508</v>
      </c>
      <c r="FK103" s="62">
        <f t="shared" si="102"/>
        <v>304.88554179994355</v>
      </c>
      <c r="FL103" s="16">
        <f>IF(ISNA(VLOOKUP(A103,'Données projet'!$A$217:$I$237,3,0)),0,VLOOKUP(A103,'Données projet'!$A$217:$I$237,3,0))</f>
        <v>16</v>
      </c>
      <c r="FM103" s="16">
        <f>IF(ISNA(VLOOKUP(A103,'Données projet'!$A$217:$I$237,4,0)),0,VLOOKUP(A103,'Données projet'!$A$217:$I$237,4,0))</f>
        <v>21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63.780630563908574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143.77000000000001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-5.6843418860808015E-14</v>
      </c>
      <c r="O104" s="14">
        <f>N104*VLOOKUP('Données projet'!$B$9,Paramètres!$A$1:$I$89,3,0)*VLOOKUP('Données projet'!$B$9,Paramètres!$A$1:$I$89,5,0)</f>
        <v>-5.1431925385259088E-14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388.8309693898596</v>
      </c>
      <c r="T104" s="62">
        <f t="shared" si="88"/>
        <v>549.06702041234382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2.5943209128465763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2.5943209128465763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>
        <f>AI104*VLOOKUP('Données projet'!$B$10,Paramètres!$A$1:$I$89,3,0)*VLOOKUP('Données projet'!$B$10,Paramètres!$A$1:$I$89,5,0)</f>
        <v>6.7984728957526396E-14</v>
      </c>
      <c r="AK104" s="14">
        <f t="shared" si="89"/>
        <v>1.0682447123141398E-12</v>
      </c>
      <c r="AL104" s="22">
        <f t="shared" si="58"/>
        <v>1.978932943548152E-12</v>
      </c>
      <c r="AM104" s="62">
        <f t="shared" si="59"/>
        <v>270.92458330372699</v>
      </c>
      <c r="AN104" s="62">
        <f ca="1">AVERAGE(OFFSET($AM$3,0,0,'Données projet'!$E$10+1,1))-AVERAGE(OFFSET($H$3,0,0,'Données projet'!$E$10+1,1))</f>
        <v>197.85998851681552</v>
      </c>
      <c r="AO104" s="62">
        <f t="shared" si="90"/>
        <v>474.54844785896239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13.068707149860822</v>
      </c>
      <c r="AV104" s="23">
        <f>EXP(-LN(2)/25)*AV103+(1-EXP(-LN(2)/25))/(LN(2)/25)*Calculateur!AQ104*Calculateur!AS104*VLOOKUP('Données projet'!$B$10,Paramètres!$A$1:$I$89,3,0)*0.475*44/12</f>
        <v>6.13793067712185</v>
      </c>
      <c r="AW104" s="23">
        <f>EXP(-LN(2)/2)*AW103+(1-EXP(-LN(2)/2))/(LN(2)/2)*AQ104*AT104*VLOOKUP('Données projet'!$B$10,Paramètres!$A$1:$I$89,3,0)*0.475*44/12</f>
        <v>8.9659568703668793E-10</v>
      </c>
      <c r="AX104" s="23">
        <f t="shared" si="60"/>
        <v>19.206637827879266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1.1368683772161603E-13</v>
      </c>
      <c r="BE104" s="14">
        <f>BD104*VLOOKUP('Données projet'!$B$11,Paramètres!$A$1:$I$89,3,0)*VLOOKUP('Données projet'!$B$11,Paramètres!$A$1:$I$89,5,0)</f>
        <v>6.7984728957526396E-14</v>
      </c>
      <c r="BF104" s="14">
        <f t="shared" si="91"/>
        <v>1.0682447123141398E-12</v>
      </c>
      <c r="BG104" s="22">
        <f t="shared" si="61"/>
        <v>1.978932943548152E-12</v>
      </c>
      <c r="BH104" s="62">
        <f t="shared" si="62"/>
        <v>270.92458330372699</v>
      </c>
      <c r="BI104" s="62">
        <f ca="1">AVERAGE(OFFSET($BH$3,0,0,'Données projet'!$E$11+1,1))-AVERAGE(OFFSET($H$3,0,0,'Données projet'!$E$11+1,1))</f>
        <v>197.85998851681552</v>
      </c>
      <c r="BJ104" s="62">
        <f t="shared" si="92"/>
        <v>474.54844785896239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13.068707149860822</v>
      </c>
      <c r="BQ104" s="23">
        <f>EXP(-LN(2)/25)*BQ103+(1-EXP(-LN(2)/25))/(LN(2)/25)*Calculateur!BL104*Calculateur!BN104*VLOOKUP('Données projet'!$B$11,Paramètres!$A$1:$I$89,3,0)*0.475*44/12</f>
        <v>6.13793067712185</v>
      </c>
      <c r="BR104" s="23">
        <f>EXP(-LN(2)/2)*BR103+(1-EXP(-LN(2)/2))/(LN(2)/2)*BL104*BO104*VLOOKUP('Données projet'!$B$11,Paramètres!$A$1:$I$89,3,0)*0.475*44/12</f>
        <v>8.9659568703668793E-10</v>
      </c>
      <c r="BS104" s="24">
        <f t="shared" si="63"/>
        <v>19.206637827879266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>
        <f>BY104*VLOOKUP('Données projet'!$B$12,Paramètres!$A$1:$I$89,3,0)*VLOOKUP('Données projet'!$B$12,Paramètres!$A$1:$I$89,5,0)</f>
        <v>0</v>
      </c>
      <c r="CA104" s="14" t="e">
        <f t="shared" si="93"/>
        <v>#NUM!</v>
      </c>
      <c r="CB104" s="22" t="e">
        <f t="shared" si="64"/>
        <v>#NUM!</v>
      </c>
      <c r="CC104" s="62" t="e">
        <f t="shared" si="65"/>
        <v>#NUM!</v>
      </c>
      <c r="CD104" s="62">
        <f ca="1">AVERAGE(OFFSET($CC$3,0,0,'Données projet'!$E$12+1,1))-AVERAGE(OFFSET($H$3,0,0,'Données projet'!$E$12+1,1))</f>
        <v>72.97248599808384</v>
      </c>
      <c r="CE104" s="62">
        <f t="shared" si="94"/>
        <v>346.88163654003574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14.2447859042289</v>
      </c>
      <c r="CL104" s="23">
        <f>EXP(-LN(2)/25)*CL103+(1-EXP(-LN(2)/25))/(LN(2)/25)*Calculateur!CG104*Calculateur!CI104*VLOOKUP('Données projet'!$B$12,Paramètres!$A$1:$I$89,3,0)*0.475*44/12</f>
        <v>1.8234496714615493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16.068235575690448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>
        <f>CT104*VLOOKUP('Données projet'!$B$13,Paramètres!$A$1:$I$89,3,0)*VLOOKUP('Données projet'!$B$13,Paramètres!$A$1:$I$89,5,0)</f>
        <v>0</v>
      </c>
      <c r="CV104" s="14" t="e">
        <f t="shared" si="95"/>
        <v>#NUM!</v>
      </c>
      <c r="CW104" s="22" t="e">
        <f t="shared" si="67"/>
        <v>#NUM!</v>
      </c>
      <c r="CX104" s="62" t="e">
        <f t="shared" si="68"/>
        <v>#NUM!</v>
      </c>
      <c r="CY104" s="62">
        <f ca="1">AVERAGE(OFFSET($CX$3,0,0,'Données projet'!$E$13+1,1))-AVERAGE(OFFSET($H$3,0,0,'Données projet'!$E$13+1,1))</f>
        <v>67.303283896086128</v>
      </c>
      <c r="CZ104" s="62">
        <f t="shared" si="96"/>
        <v>318.97925671653547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12.935376614982237</v>
      </c>
      <c r="DG104" s="23">
        <f>EXP(-LN(2)/25)*DG103+(1-EXP(-LN(2)/25))/(LN(2)/25)*Calculateur!DB104*Calculateur!DD104*VLOOKUP('Données projet'!$B$13,Paramètres!$A$1:$I$89,3,0)*0.475*44/12</f>
        <v>1.655834520602965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14.591211135585203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>
        <f>DO104*VLOOKUP('Données projet'!$B$14,Paramètres!$A$1:$I$89,3,0)*VLOOKUP('Données projet'!$B$14,Paramètres!$A$1:$I$89,5,0)</f>
        <v>0</v>
      </c>
      <c r="DQ104" s="14" t="e">
        <f t="shared" si="97"/>
        <v>#NUM!</v>
      </c>
      <c r="DR104" s="22" t="e">
        <f t="shared" si="70"/>
        <v>#NUM!</v>
      </c>
      <c r="DS104" s="62" t="e">
        <f t="shared" si="71"/>
        <v>#NUM!</v>
      </c>
      <c r="DT104" s="62">
        <f ca="1">AVERAGE(OFFSET($DS$3,0,0,'Données projet'!$E$14+1,1))-AVERAGE(OFFSET($H$3,0,0,'Données projet'!$E$14+1,1))</f>
        <v>75.244137291704476</v>
      </c>
      <c r="DU104" s="62">
        <f t="shared" si="98"/>
        <v>366.065475656937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15.146582935390505</v>
      </c>
      <c r="EB104" s="23">
        <f>EXP(-LN(2)/25)*EB103+(1-EXP(-LN(2)/25))/(LN(2)/25)*Calculateur!DW104*Calculateur!DY104*VLOOKUP('Données projet'!$B$14,Paramètres!$A$1:$I$89,3,0)*0.475*44/12</f>
        <v>1.9388871031823365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17.08547003857284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4.4000000000000004</v>
      </c>
      <c r="EJ104" s="13">
        <f>IF('Données projet'!$A$192&gt;35,EJ103+EI104-ER103,IF(A104&lt;'Données projet'!$A$192,$EG$205^A104,IF(A104='Données projet'!$A$192,'Données projet'!$B$192,EJ103+EI104-ER103)))</f>
        <v>265.40000000000009</v>
      </c>
      <c r="EK104" s="18">
        <f>EJ104*VLOOKUP('Données projet'!$B$15,Paramètres!$A$1:$I$89,3,0)*VLOOKUP('Données projet'!$B$15,Paramètres!$A$1:$I$89,5,0)</f>
        <v>256.69488000000013</v>
      </c>
      <c r="EL104" s="14">
        <f t="shared" si="99"/>
        <v>62.017336223177551</v>
      </c>
      <c r="EM104" s="22">
        <f t="shared" si="73"/>
        <v>555.09044325536786</v>
      </c>
      <c r="EN104" s="62">
        <f t="shared" si="74"/>
        <v>826.0150265590928</v>
      </c>
      <c r="EO104" s="62">
        <f ca="1">AVERAGE(OFFSET($EN$3,0,0,'Données projet'!$E$15+1,1))-AVERAGE(OFFSET($H$3,0,0,'Données projet'!$E$15+1,1))</f>
        <v>452.74627739105745</v>
      </c>
      <c r="EP104" s="62">
        <f t="shared" si="100"/>
        <v>281.80695725575106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4.4000000000000004</v>
      </c>
      <c r="FE104" s="13">
        <f>IF('Données projet'!$A$218&gt;35,FE103+FD104-FM103,IF(A104&lt;'Données projet'!$A$218,$FB$205^A104,IF(A104='Données projet'!$A$218,'Données projet'!$B$218,FE103+FD104-FM103)))</f>
        <v>265.40000000000009</v>
      </c>
      <c r="FF104" s="18">
        <f>FE104*VLOOKUP('Données projet'!$B$16,Paramètres!$A$1:$I$89,3,0)*VLOOKUP('Données projet'!$B$16,Paramètres!$A$1:$I$89,5,0)</f>
        <v>285.67656000000011</v>
      </c>
      <c r="FG104" s="14">
        <f t="shared" si="101"/>
        <v>68.16522430825907</v>
      </c>
      <c r="FH104" s="22">
        <f t="shared" si="76"/>
        <v>616.27444100355149</v>
      </c>
      <c r="FI104" s="62">
        <f t="shared" si="77"/>
        <v>887.19902430727643</v>
      </c>
      <c r="FJ104" s="62">
        <f ca="1">AVERAGE(OFFSET($FI$3,0,0,'Données projet'!$E$16+1,1))-AVERAGE(OFFSET($H$3,0,0,'Données projet'!$E$16+1,1))</f>
        <v>492.72391755143508</v>
      </c>
      <c r="FK104" s="62">
        <f t="shared" si="102"/>
        <v>304.88554179994355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63.888522719197724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143.77000000000001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-5.6843418860808015E-14</v>
      </c>
      <c r="O105" s="14">
        <f>N105*VLOOKUP('Données projet'!$B$9,Paramètres!$A$1:$I$89,3,0)*VLOOKUP('Données projet'!$B$9,Paramètres!$A$1:$I$89,5,0)</f>
        <v>-5.1431925385259088E-14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388.8309693898596</v>
      </c>
      <c r="T105" s="62">
        <f t="shared" si="88"/>
        <v>549.06702041234382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2.5434478621251646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2.5434478621251646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>
        <f>AI105*VLOOKUP('Données projet'!$B$10,Paramètres!$A$1:$I$89,3,0)*VLOOKUP('Données projet'!$B$10,Paramètres!$A$1:$I$89,5,0)</f>
        <v>6.7984728957526396E-14</v>
      </c>
      <c r="AK105" s="14">
        <f t="shared" si="89"/>
        <v>1.0682447123141398E-12</v>
      </c>
      <c r="AL105" s="22">
        <f t="shared" si="58"/>
        <v>1.978932943548152E-12</v>
      </c>
      <c r="AM105" s="62">
        <f t="shared" si="59"/>
        <v>271.31332501828092</v>
      </c>
      <c r="AN105" s="62">
        <f ca="1">AVERAGE(OFFSET($AM$3,0,0,'Données projet'!$E$10+1,1))-AVERAGE(OFFSET($H$3,0,0,'Données projet'!$E$10+1,1))</f>
        <v>197.85998851681552</v>
      </c>
      <c r="AO105" s="62">
        <f t="shared" si="90"/>
        <v>474.54844785896239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12.812437773776329</v>
      </c>
      <c r="AV105" s="23">
        <f>EXP(-LN(2)/25)*AV104+(1-EXP(-LN(2)/25))/(LN(2)/25)*Calculateur!AQ105*Calculateur!AS105*VLOOKUP('Données projet'!$B$10,Paramètres!$A$1:$I$89,3,0)*0.475*44/12</f>
        <v>5.9700886399762068</v>
      </c>
      <c r="AW105" s="23">
        <f>EXP(-LN(2)/2)*AW104+(1-EXP(-LN(2)/2))/(LN(2)/2)*AQ105*AT105*VLOOKUP('Données projet'!$B$10,Paramètres!$A$1:$I$89,3,0)*0.475*44/12</f>
        <v>6.3398889028625362E-10</v>
      </c>
      <c r="AX105" s="23">
        <f t="shared" si="60"/>
        <v>18.782526414386524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1.1368683772161603E-13</v>
      </c>
      <c r="BE105" s="14">
        <f>BD105*VLOOKUP('Données projet'!$B$11,Paramètres!$A$1:$I$89,3,0)*VLOOKUP('Données projet'!$B$11,Paramètres!$A$1:$I$89,5,0)</f>
        <v>6.7984728957526396E-14</v>
      </c>
      <c r="BF105" s="14">
        <f t="shared" si="91"/>
        <v>1.0682447123141398E-12</v>
      </c>
      <c r="BG105" s="22">
        <f t="shared" si="61"/>
        <v>1.978932943548152E-12</v>
      </c>
      <c r="BH105" s="62">
        <f t="shared" si="62"/>
        <v>271.31332501828092</v>
      </c>
      <c r="BI105" s="62">
        <f ca="1">AVERAGE(OFFSET($BH$3,0,0,'Données projet'!$E$11+1,1))-AVERAGE(OFFSET($H$3,0,0,'Données projet'!$E$11+1,1))</f>
        <v>197.85998851681552</v>
      </c>
      <c r="BJ105" s="62">
        <f t="shared" si="92"/>
        <v>474.54844785896239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12.812437773776329</v>
      </c>
      <c r="BQ105" s="23">
        <f>EXP(-LN(2)/25)*BQ104+(1-EXP(-LN(2)/25))/(LN(2)/25)*Calculateur!BL105*Calculateur!BN105*VLOOKUP('Données projet'!$B$11,Paramètres!$A$1:$I$89,3,0)*0.475*44/12</f>
        <v>5.9700886399762068</v>
      </c>
      <c r="BR105" s="23">
        <f>EXP(-LN(2)/2)*BR104+(1-EXP(-LN(2)/2))/(LN(2)/2)*BL105*BO105*VLOOKUP('Données projet'!$B$11,Paramètres!$A$1:$I$89,3,0)*0.475*44/12</f>
        <v>6.3398889028625362E-10</v>
      </c>
      <c r="BS105" s="24">
        <f t="shared" si="63"/>
        <v>18.782526414386524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>
        <f>BY105*VLOOKUP('Données projet'!$B$12,Paramètres!$A$1:$I$89,3,0)*VLOOKUP('Données projet'!$B$12,Paramètres!$A$1:$I$89,5,0)</f>
        <v>0</v>
      </c>
      <c r="CA105" s="14" t="e">
        <f t="shared" si="93"/>
        <v>#NUM!</v>
      </c>
      <c r="CB105" s="22" t="e">
        <f t="shared" si="64"/>
        <v>#NUM!</v>
      </c>
      <c r="CC105" s="62" t="e">
        <f t="shared" si="65"/>
        <v>#NUM!</v>
      </c>
      <c r="CD105" s="62">
        <f ca="1">AVERAGE(OFFSET($CC$3,0,0,'Données projet'!$E$12+1,1))-AVERAGE(OFFSET($H$3,0,0,'Données projet'!$E$12+1,1))</f>
        <v>72.97248599808384</v>
      </c>
      <c r="CE105" s="62">
        <f t="shared" si="94"/>
        <v>346.88163654003574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13.965454341108458</v>
      </c>
      <c r="CL105" s="23">
        <f>EXP(-LN(2)/25)*CL104+(1-EXP(-LN(2)/25))/(LN(2)/25)*Calculateur!CG105*Calculateur!CI105*VLOOKUP('Données projet'!$B$12,Paramètres!$A$1:$I$89,3,0)*0.475*44/12</f>
        <v>1.7735873443043826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15.739041685412841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>
        <f>CT105*VLOOKUP('Données projet'!$B$13,Paramètres!$A$1:$I$89,3,0)*VLOOKUP('Données projet'!$B$13,Paramètres!$A$1:$I$89,5,0)</f>
        <v>0</v>
      </c>
      <c r="CV105" s="14" t="e">
        <f t="shared" si="95"/>
        <v>#NUM!</v>
      </c>
      <c r="CW105" s="22" t="e">
        <f t="shared" si="67"/>
        <v>#NUM!</v>
      </c>
      <c r="CX105" s="62" t="e">
        <f t="shared" si="68"/>
        <v>#NUM!</v>
      </c>
      <c r="CY105" s="62">
        <f ca="1">AVERAGE(OFFSET($CX$3,0,0,'Données projet'!$E$13+1,1))-AVERAGE(OFFSET($H$3,0,0,'Données projet'!$E$13+1,1))</f>
        <v>67.303283896086128</v>
      </c>
      <c r="CZ105" s="62">
        <f t="shared" si="96"/>
        <v>318.97925671653547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12.681721769363119</v>
      </c>
      <c r="DG105" s="23">
        <f>EXP(-LN(2)/25)*DG104+(1-EXP(-LN(2)/25))/(LN(2)/25)*Calculateur!DB105*Calculateur!DD105*VLOOKUP('Données projet'!$B$13,Paramètres!$A$1:$I$89,3,0)*0.475*44/12</f>
        <v>1.610555638560524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14.292277407923642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>
        <f>DO105*VLOOKUP('Données projet'!$B$14,Paramètres!$A$1:$I$89,3,0)*VLOOKUP('Données projet'!$B$14,Paramètres!$A$1:$I$89,5,0)</f>
        <v>0</v>
      </c>
      <c r="DQ105" s="14" t="e">
        <f t="shared" si="97"/>
        <v>#NUM!</v>
      </c>
      <c r="DR105" s="22" t="e">
        <f t="shared" si="70"/>
        <v>#NUM!</v>
      </c>
      <c r="DS105" s="62" t="e">
        <f t="shared" si="71"/>
        <v>#NUM!</v>
      </c>
      <c r="DT105" s="62">
        <f ca="1">AVERAGE(OFFSET($DS$3,0,0,'Données projet'!$E$14+1,1))-AVERAGE(OFFSET($H$3,0,0,'Données projet'!$E$14+1,1))</f>
        <v>75.244137291704476</v>
      </c>
      <c r="DU105" s="62">
        <f t="shared" si="98"/>
        <v>366.065475656937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14.849567682530861</v>
      </c>
      <c r="EB105" s="23">
        <f>EXP(-LN(2)/25)*EB104+(1-EXP(-LN(2)/25))/(LN(2)/25)*Calculateur!DW105*Calculateur!DY105*VLOOKUP('Données projet'!$B$14,Paramètres!$A$1:$I$89,3,0)*0.475*44/12</f>
        <v>1.885868133384174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16.735435815915036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4.4000000000000004</v>
      </c>
      <c r="EJ105" s="13">
        <f>IF('Données projet'!$A$192&gt;35,EJ104+EI105-ER104,IF(A105&lt;'Données projet'!$A$192,$EG$205^A105,IF(A105='Données projet'!$A$192,'Données projet'!$B$192,EJ104+EI105-ER104)))</f>
        <v>269.80000000000007</v>
      </c>
      <c r="EK105" s="18">
        <f>EJ105*VLOOKUP('Données projet'!$B$15,Paramètres!$A$1:$I$89,3,0)*VLOOKUP('Données projet'!$B$15,Paramètres!$A$1:$I$89,5,0)</f>
        <v>260.95056000000005</v>
      </c>
      <c r="EL105" s="14">
        <f t="shared" si="99"/>
        <v>62.924955880176938</v>
      </c>
      <c r="EM105" s="22">
        <f t="shared" si="73"/>
        <v>564.08319015797485</v>
      </c>
      <c r="EN105" s="62">
        <f t="shared" si="74"/>
        <v>835.39651517625384</v>
      </c>
      <c r="EO105" s="62">
        <f ca="1">AVERAGE(OFFSET($EN$3,0,0,'Données projet'!$E$15+1,1))-AVERAGE(OFFSET($H$3,0,0,'Données projet'!$E$15+1,1))</f>
        <v>452.74627739105745</v>
      </c>
      <c r="EP105" s="62">
        <f t="shared" si="100"/>
        <v>281.80695725575106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4.4000000000000004</v>
      </c>
      <c r="FE105" s="13">
        <f>IF('Données projet'!$A$218&gt;35,FE104+FD105-FM104,IF(A105&lt;'Données projet'!$A$218,$FB$205^A105,IF(A105='Données projet'!$A$218,'Données projet'!$B$218,FE104+FD105-FM104)))</f>
        <v>269.80000000000007</v>
      </c>
      <c r="FF105" s="18">
        <f>FE105*VLOOKUP('Données projet'!$B$16,Paramètres!$A$1:$I$89,3,0)*VLOOKUP('Données projet'!$B$16,Paramètres!$A$1:$I$89,5,0)</f>
        <v>290.41272000000004</v>
      </c>
      <c r="FG105" s="14">
        <f t="shared" si="101"/>
        <v>69.16281790504479</v>
      </c>
      <c r="FH105" s="22">
        <f t="shared" si="76"/>
        <v>626.260728517953</v>
      </c>
      <c r="FI105" s="62">
        <f t="shared" si="77"/>
        <v>897.57405353623199</v>
      </c>
      <c r="FJ105" s="62">
        <f ca="1">AVERAGE(OFFSET($FI$3,0,0,'Données projet'!$E$16+1,1))-AVERAGE(OFFSET($H$3,0,0,'Données projet'!$E$16+1,1))</f>
        <v>492.72391755143508</v>
      </c>
      <c r="FK105" s="62">
        <f t="shared" si="102"/>
        <v>304.88554179994355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63.994543186803348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143.77000000000001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-5.6843418860808015E-14</v>
      </c>
      <c r="O106" s="14">
        <f>N106*VLOOKUP('Données projet'!$B$9,Paramètres!$A$1:$I$89,3,0)*VLOOKUP('Données projet'!$B$9,Paramètres!$A$1:$I$89,5,0)</f>
        <v>-5.1431925385259088E-14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388.8309693898596</v>
      </c>
      <c r="T106" s="62">
        <f t="shared" si="88"/>
        <v>549.06702041234382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2.4935724008989029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2.4935724008989029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>
        <f>AI106*VLOOKUP('Données projet'!$B$10,Paramètres!$A$1:$I$89,3,0)*VLOOKUP('Données projet'!$B$10,Paramètres!$A$1:$I$89,5,0)</f>
        <v>6.7984728957526396E-14</v>
      </c>
      <c r="AK106" s="14">
        <f t="shared" si="89"/>
        <v>1.0682447123141398E-12</v>
      </c>
      <c r="AL106" s="22">
        <f t="shared" si="58"/>
        <v>1.978932943548152E-12</v>
      </c>
      <c r="AM106" s="62">
        <f t="shared" si="59"/>
        <v>271.69532293318366</v>
      </c>
      <c r="AN106" s="62">
        <f ca="1">AVERAGE(OFFSET($AM$3,0,0,'Données projet'!$E$10+1,1))-AVERAGE(OFFSET($H$3,0,0,'Données projet'!$E$10+1,1))</f>
        <v>197.85998851681552</v>
      </c>
      <c r="AO106" s="62">
        <f t="shared" si="90"/>
        <v>474.54844785896239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12.561193683847968</v>
      </c>
      <c r="AV106" s="23">
        <f>EXP(-LN(2)/25)*AV105+(1-EXP(-LN(2)/25))/(LN(2)/25)*Calculateur!AQ106*Calculateur!AS106*VLOOKUP('Données projet'!$B$10,Paramètres!$A$1:$I$89,3,0)*0.475*44/12</f>
        <v>5.806836252162741</v>
      </c>
      <c r="AW106" s="23">
        <f>EXP(-LN(2)/2)*AW105+(1-EXP(-LN(2)/2))/(LN(2)/2)*AQ106*AT106*VLOOKUP('Données projet'!$B$10,Paramètres!$A$1:$I$89,3,0)*0.475*44/12</f>
        <v>4.4829784351834407E-10</v>
      </c>
      <c r="AX106" s="23">
        <f t="shared" si="60"/>
        <v>18.368029936459006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1.1368683772161603E-13</v>
      </c>
      <c r="BE106" s="14">
        <f>BD106*VLOOKUP('Données projet'!$B$11,Paramètres!$A$1:$I$89,3,0)*VLOOKUP('Données projet'!$B$11,Paramètres!$A$1:$I$89,5,0)</f>
        <v>6.7984728957526396E-14</v>
      </c>
      <c r="BF106" s="14">
        <f t="shared" si="91"/>
        <v>1.0682447123141398E-12</v>
      </c>
      <c r="BG106" s="22">
        <f t="shared" si="61"/>
        <v>1.978932943548152E-12</v>
      </c>
      <c r="BH106" s="62">
        <f t="shared" si="62"/>
        <v>271.69532293318366</v>
      </c>
      <c r="BI106" s="62">
        <f ca="1">AVERAGE(OFFSET($BH$3,0,0,'Données projet'!$E$11+1,1))-AVERAGE(OFFSET($H$3,0,0,'Données projet'!$E$11+1,1))</f>
        <v>197.85998851681552</v>
      </c>
      <c r="BJ106" s="62">
        <f t="shared" si="92"/>
        <v>474.54844785896239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12.561193683847968</v>
      </c>
      <c r="BQ106" s="23">
        <f>EXP(-LN(2)/25)*BQ105+(1-EXP(-LN(2)/25))/(LN(2)/25)*Calculateur!BL106*Calculateur!BN106*VLOOKUP('Données projet'!$B$11,Paramètres!$A$1:$I$89,3,0)*0.475*44/12</f>
        <v>5.806836252162741</v>
      </c>
      <c r="BR106" s="23">
        <f>EXP(-LN(2)/2)*BR105+(1-EXP(-LN(2)/2))/(LN(2)/2)*BL106*BO106*VLOOKUP('Données projet'!$B$11,Paramètres!$A$1:$I$89,3,0)*0.475*44/12</f>
        <v>4.4829784351834407E-10</v>
      </c>
      <c r="BS106" s="24">
        <f t="shared" si="63"/>
        <v>18.368029936459006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>
        <f>BY106*VLOOKUP('Données projet'!$B$12,Paramètres!$A$1:$I$89,3,0)*VLOOKUP('Données projet'!$B$12,Paramètres!$A$1:$I$89,5,0)</f>
        <v>0</v>
      </c>
      <c r="CA106" s="14" t="e">
        <f t="shared" si="93"/>
        <v>#NUM!</v>
      </c>
      <c r="CB106" s="22" t="e">
        <f t="shared" si="64"/>
        <v>#NUM!</v>
      </c>
      <c r="CC106" s="62" t="e">
        <f t="shared" si="65"/>
        <v>#NUM!</v>
      </c>
      <c r="CD106" s="62">
        <f ca="1">AVERAGE(OFFSET($CC$3,0,0,'Données projet'!$E$12+1,1))-AVERAGE(OFFSET($H$3,0,0,'Données projet'!$E$12+1,1))</f>
        <v>72.97248599808384</v>
      </c>
      <c r="CE106" s="62">
        <f t="shared" si="94"/>
        <v>346.88163654003574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13.691600299565378</v>
      </c>
      <c r="CL106" s="23">
        <f>EXP(-LN(2)/25)*CL105+(1-EXP(-LN(2)/25))/(LN(2)/25)*Calculateur!CG106*Calculateur!CI106*VLOOKUP('Données projet'!$B$12,Paramètres!$A$1:$I$89,3,0)*0.475*44/12</f>
        <v>1.7250885051054743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15.416688804670851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>
        <f>CT106*VLOOKUP('Données projet'!$B$13,Paramètres!$A$1:$I$89,3,0)*VLOOKUP('Données projet'!$B$13,Paramètres!$A$1:$I$89,5,0)</f>
        <v>0</v>
      </c>
      <c r="CV106" s="14" t="e">
        <f t="shared" si="95"/>
        <v>#NUM!</v>
      </c>
      <c r="CW106" s="22" t="e">
        <f t="shared" si="67"/>
        <v>#NUM!</v>
      </c>
      <c r="CX106" s="62" t="e">
        <f t="shared" si="68"/>
        <v>#NUM!</v>
      </c>
      <c r="CY106" s="62">
        <f ca="1">AVERAGE(OFFSET($CX$3,0,0,'Données projet'!$E$13+1,1))-AVERAGE(OFFSET($H$3,0,0,'Données projet'!$E$13+1,1))</f>
        <v>67.303283896086128</v>
      </c>
      <c r="CZ106" s="62">
        <f t="shared" si="96"/>
        <v>318.97925671653547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12.433040940552411</v>
      </c>
      <c r="DG106" s="23">
        <f>EXP(-LN(2)/25)*DG105+(1-EXP(-LN(2)/25))/(LN(2)/25)*Calculateur!DB106*Calculateur!DD106*VLOOKUP('Données projet'!$B$13,Paramètres!$A$1:$I$89,3,0)*0.475*44/12</f>
        <v>1.5665149099286464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13.999555850481057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>
        <f>DO106*VLOOKUP('Données projet'!$B$14,Paramètres!$A$1:$I$89,3,0)*VLOOKUP('Données projet'!$B$14,Paramètres!$A$1:$I$89,5,0)</f>
        <v>0</v>
      </c>
      <c r="DQ106" s="14" t="e">
        <f t="shared" si="97"/>
        <v>#NUM!</v>
      </c>
      <c r="DR106" s="22" t="e">
        <f t="shared" si="70"/>
        <v>#NUM!</v>
      </c>
      <c r="DS106" s="62" t="e">
        <f t="shared" si="71"/>
        <v>#NUM!</v>
      </c>
      <c r="DT106" s="62">
        <f ca="1">AVERAGE(OFFSET($DS$3,0,0,'Données projet'!$E$14+1,1))-AVERAGE(OFFSET($H$3,0,0,'Données projet'!$E$14+1,1))</f>
        <v>75.244137291704476</v>
      </c>
      <c r="DU106" s="62">
        <f t="shared" si="98"/>
        <v>366.065475656937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14.558376717618378</v>
      </c>
      <c r="EB106" s="23">
        <f>EXP(-LN(2)/25)*EB105+(1-EXP(-LN(2)/25))/(LN(2)/25)*Calculateur!DW106*Calculateur!DY106*VLOOKUP('Données projet'!$B$14,Paramètres!$A$1:$I$89,3,0)*0.475*44/12</f>
        <v>1.8342989701032888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16.392675687721667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4.4000000000000004</v>
      </c>
      <c r="EJ106" s="13">
        <f>IF('Données projet'!$A$192&gt;35,EJ105+EI106-ER105,IF(A106&lt;'Données projet'!$A$192,$EG$205^A106,IF(A106='Données projet'!$A$192,'Données projet'!$B$192,EJ105+EI106-ER105)))</f>
        <v>274.20000000000005</v>
      </c>
      <c r="EK106" s="18">
        <f>EJ106*VLOOKUP('Données projet'!$B$15,Paramètres!$A$1:$I$89,3,0)*VLOOKUP('Données projet'!$B$15,Paramètres!$A$1:$I$89,5,0)</f>
        <v>265.20624000000004</v>
      </c>
      <c r="EL106" s="14">
        <f t="shared" si="99"/>
        <v>63.830854160896443</v>
      </c>
      <c r="EM106" s="22">
        <f t="shared" si="73"/>
        <v>573.07293899689466</v>
      </c>
      <c r="EN106" s="62">
        <f t="shared" si="74"/>
        <v>844.76826193007628</v>
      </c>
      <c r="EO106" s="62">
        <f ca="1">AVERAGE(OFFSET($EN$3,0,0,'Données projet'!$E$15+1,1))-AVERAGE(OFFSET($H$3,0,0,'Données projet'!$E$15+1,1))</f>
        <v>452.74627739105745</v>
      </c>
      <c r="EP106" s="62">
        <f t="shared" si="100"/>
        <v>281.80695725575106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4.4000000000000004</v>
      </c>
      <c r="FE106" s="13">
        <f>IF('Données projet'!$A$218&gt;35,FE105+FD106-FM105,IF(A106&lt;'Données projet'!$A$218,$FB$205^A106,IF(A106='Données projet'!$A$218,'Données projet'!$B$218,FE105+FD106-FM105)))</f>
        <v>274.20000000000005</v>
      </c>
      <c r="FF106" s="18">
        <f>FE106*VLOOKUP('Données projet'!$B$16,Paramètres!$A$1:$I$89,3,0)*VLOOKUP('Données projet'!$B$16,Paramètres!$A$1:$I$89,5,0)</f>
        <v>295.14888000000002</v>
      </c>
      <c r="FG106" s="14">
        <f t="shared" si="101"/>
        <v>70.158519482479406</v>
      </c>
      <c r="FH106" s="22">
        <f t="shared" si="76"/>
        <v>636.24372076531824</v>
      </c>
      <c r="FI106" s="62">
        <f t="shared" si="77"/>
        <v>907.93904369849997</v>
      </c>
      <c r="FJ106" s="62">
        <f ca="1">AVERAGE(OFFSET($FI$3,0,0,'Données projet'!$E$16+1,1))-AVERAGE(OFFSET($H$3,0,0,'Données projet'!$E$16+1,1))</f>
        <v>492.72391755143508</v>
      </c>
      <c r="FK106" s="62">
        <f t="shared" si="102"/>
        <v>304.88554179994355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64.098724436322271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143.77000000000001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-5.6843418860808015E-14</v>
      </c>
      <c r="O107" s="14">
        <f>N107*VLOOKUP('Données projet'!$B$9,Paramètres!$A$1:$I$89,3,0)*VLOOKUP('Données projet'!$B$9,Paramètres!$A$1:$I$89,5,0)</f>
        <v>-5.1431925385259088E-14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388.8309693898596</v>
      </c>
      <c r="T107" s="62">
        <f t="shared" si="88"/>
        <v>549.06702041234382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2.4446749670462609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2.4446749670462609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>
        <f>AI107*VLOOKUP('Données projet'!$B$10,Paramètres!$A$1:$I$89,3,0)*VLOOKUP('Données projet'!$B$10,Paramètres!$A$1:$I$89,5,0)</f>
        <v>6.7984728957526396E-14</v>
      </c>
      <c r="AK107" s="14">
        <f t="shared" si="89"/>
        <v>1.0682447123141398E-12</v>
      </c>
      <c r="AL107" s="22">
        <f t="shared" si="58"/>
        <v>1.978932943548152E-12</v>
      </c>
      <c r="AM107" s="62">
        <f t="shared" si="59"/>
        <v>272.07069403828217</v>
      </c>
      <c r="AN107" s="62">
        <f ca="1">AVERAGE(OFFSET($AM$3,0,0,'Données projet'!$E$10+1,1))-AVERAGE(OFFSET($H$3,0,0,'Données projet'!$E$10+1,1))</f>
        <v>197.85998851681552</v>
      </c>
      <c r="AO107" s="62">
        <f t="shared" si="90"/>
        <v>474.54844785896239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12.314876337279339</v>
      </c>
      <c r="AV107" s="23">
        <f>EXP(-LN(2)/25)*AV106+(1-EXP(-LN(2)/25))/(LN(2)/25)*Calculateur!AQ107*Calculateur!AS107*VLOOKUP('Données projet'!$B$10,Paramètres!$A$1:$I$89,3,0)*0.475*44/12</f>
        <v>5.6480480094791039</v>
      </c>
      <c r="AW107" s="23">
        <f>EXP(-LN(2)/2)*AW106+(1-EXP(-LN(2)/2))/(LN(2)/2)*AQ107*AT107*VLOOKUP('Données projet'!$B$10,Paramètres!$A$1:$I$89,3,0)*0.475*44/12</f>
        <v>3.1699444514312686E-10</v>
      </c>
      <c r="AX107" s="23">
        <f t="shared" si="60"/>
        <v>17.962924347075436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1.1368683772161603E-13</v>
      </c>
      <c r="BE107" s="14">
        <f>BD107*VLOOKUP('Données projet'!$B$11,Paramètres!$A$1:$I$89,3,0)*VLOOKUP('Données projet'!$B$11,Paramètres!$A$1:$I$89,5,0)</f>
        <v>6.7984728957526396E-14</v>
      </c>
      <c r="BF107" s="14">
        <f t="shared" si="91"/>
        <v>1.0682447123141398E-12</v>
      </c>
      <c r="BG107" s="22">
        <f t="shared" si="61"/>
        <v>1.978932943548152E-12</v>
      </c>
      <c r="BH107" s="62">
        <f t="shared" si="62"/>
        <v>272.07069403828217</v>
      </c>
      <c r="BI107" s="62">
        <f ca="1">AVERAGE(OFFSET($BH$3,0,0,'Données projet'!$E$11+1,1))-AVERAGE(OFFSET($H$3,0,0,'Données projet'!$E$11+1,1))</f>
        <v>197.85998851681552</v>
      </c>
      <c r="BJ107" s="62">
        <f t="shared" si="92"/>
        <v>474.54844785896239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12.314876337279339</v>
      </c>
      <c r="BQ107" s="23">
        <f>EXP(-LN(2)/25)*BQ106+(1-EXP(-LN(2)/25))/(LN(2)/25)*Calculateur!BL107*Calculateur!BN107*VLOOKUP('Données projet'!$B$11,Paramètres!$A$1:$I$89,3,0)*0.475*44/12</f>
        <v>5.6480480094791039</v>
      </c>
      <c r="BR107" s="23">
        <f>EXP(-LN(2)/2)*BR106+(1-EXP(-LN(2)/2))/(LN(2)/2)*BL107*BO107*VLOOKUP('Données projet'!$B$11,Paramètres!$A$1:$I$89,3,0)*0.475*44/12</f>
        <v>3.1699444514312686E-10</v>
      </c>
      <c r="BS107" s="24">
        <f t="shared" si="63"/>
        <v>17.962924347075436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>
        <f>BY107*VLOOKUP('Données projet'!$B$12,Paramètres!$A$1:$I$89,3,0)*VLOOKUP('Données projet'!$B$12,Paramètres!$A$1:$I$89,5,0)</f>
        <v>0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72.97248599808384</v>
      </c>
      <c r="CE107" s="62">
        <f t="shared" si="94"/>
        <v>346.88163654003574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13.423116368742486</v>
      </c>
      <c r="CL107" s="23">
        <f>EXP(-LN(2)/25)*CL106+(1-EXP(-LN(2)/25))/(LN(2)/25)*Calculateur!CG107*Calculateur!CI107*VLOOKUP('Données projet'!$B$12,Paramètres!$A$1:$I$89,3,0)*0.475*44/12</f>
        <v>1.6779158692149034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15.101032237957389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>
        <f>CT107*VLOOKUP('Données projet'!$B$13,Paramètres!$A$1:$I$89,3,0)*VLOOKUP('Données projet'!$B$13,Paramètres!$A$1:$I$89,5,0)</f>
        <v>0</v>
      </c>
      <c r="CV107" s="14" t="e">
        <f t="shared" si="95"/>
        <v>#NUM!</v>
      </c>
      <c r="CW107" s="22" t="e">
        <f t="shared" si="67"/>
        <v>#NUM!</v>
      </c>
      <c r="CX107" s="62" t="e">
        <f t="shared" si="68"/>
        <v>#NUM!</v>
      </c>
      <c r="CY107" s="62">
        <f ca="1">AVERAGE(OFFSET($CX$3,0,0,'Données projet'!$E$13+1,1))-AVERAGE(OFFSET($H$3,0,0,'Données projet'!$E$13+1,1))</f>
        <v>67.303283896086128</v>
      </c>
      <c r="CZ107" s="62">
        <f t="shared" si="96"/>
        <v>318.97925671653547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12.189236591114353</v>
      </c>
      <c r="DG107" s="23">
        <f>EXP(-LN(2)/25)*DG106+(1-EXP(-LN(2)/25))/(LN(2)/25)*Calculateur!DB107*Calculateur!DD107*VLOOKUP('Données projet'!$B$13,Paramètres!$A$1:$I$89,3,0)*0.475*44/12</f>
        <v>1.5236784773372087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13.712915068451561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>
        <f>DO107*VLOOKUP('Données projet'!$B$14,Paramètres!$A$1:$I$89,3,0)*VLOOKUP('Données projet'!$B$14,Paramètres!$A$1:$I$89,5,0)</f>
        <v>0</v>
      </c>
      <c r="DQ107" s="14" t="e">
        <f t="shared" si="97"/>
        <v>#NUM!</v>
      </c>
      <c r="DR107" s="22" t="e">
        <f t="shared" si="70"/>
        <v>#NUM!</v>
      </c>
      <c r="DS107" s="62" t="e">
        <f t="shared" si="71"/>
        <v>#NUM!</v>
      </c>
      <c r="DT107" s="62">
        <f ca="1">AVERAGE(OFFSET($DS$3,0,0,'Données projet'!$E$14+1,1))-AVERAGE(OFFSET($H$3,0,0,'Données projet'!$E$14+1,1))</f>
        <v>75.244137291704476</v>
      </c>
      <c r="DU107" s="62">
        <f t="shared" si="98"/>
        <v>366.065475656937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14.272895829918879</v>
      </c>
      <c r="EB107" s="23">
        <f>EXP(-LN(2)/25)*EB106+(1-EXP(-LN(2)/25))/(LN(2)/25)*Calculateur!DW107*Calculateur!DY107*VLOOKUP('Données projet'!$B$14,Paramètres!$A$1:$I$89,3,0)*0.475*44/12</f>
        <v>1.7841399683042238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16.057035798223101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4.4000000000000004</v>
      </c>
      <c r="EJ107" s="13">
        <f>IF('Données projet'!$A$192&gt;35,EJ106+EI107-ER106,IF(A107&lt;'Données projet'!$A$192,$EG$205^A107,IF(A107='Données projet'!$A$192,'Données projet'!$B$192,EJ106+EI107-ER106)))</f>
        <v>278.60000000000002</v>
      </c>
      <c r="EK107" s="18">
        <f>EJ107*VLOOKUP('Données projet'!$B$15,Paramètres!$A$1:$I$89,3,0)*VLOOKUP('Données projet'!$B$15,Paramètres!$A$1:$I$89,5,0)</f>
        <v>269.46192000000002</v>
      </c>
      <c r="EL107" s="14">
        <f t="shared" si="99"/>
        <v>64.735061876839112</v>
      </c>
      <c r="EM107" s="22">
        <f t="shared" si="73"/>
        <v>582.05974343549485</v>
      </c>
      <c r="EN107" s="62">
        <f t="shared" si="74"/>
        <v>854.13043747377503</v>
      </c>
      <c r="EO107" s="62">
        <f ca="1">AVERAGE(OFFSET($EN$3,0,0,'Données projet'!$E$15+1,1))-AVERAGE(OFFSET($H$3,0,0,'Données projet'!$E$15+1,1))</f>
        <v>452.74627739105745</v>
      </c>
      <c r="EP107" s="62">
        <f t="shared" si="100"/>
        <v>281.80695725575106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4.4000000000000004</v>
      </c>
      <c r="FE107" s="13">
        <f>IF('Données projet'!$A$218&gt;35,FE106+FD107-FM106,IF(A107&lt;'Données projet'!$A$218,$FB$205^A107,IF(A107='Données projet'!$A$218,'Données projet'!$B$218,FE106+FD107-FM106)))</f>
        <v>278.60000000000002</v>
      </c>
      <c r="FF107" s="18">
        <f>FE107*VLOOKUP('Données projet'!$B$16,Paramètres!$A$1:$I$89,3,0)*VLOOKUP('Données projet'!$B$16,Paramètres!$A$1:$I$89,5,0)</f>
        <v>299.88504</v>
      </c>
      <c r="FG107" s="14">
        <f t="shared" si="101"/>
        <v>71.152362906464646</v>
      </c>
      <c r="FH107" s="22">
        <f t="shared" si="76"/>
        <v>646.22347672875924</v>
      </c>
      <c r="FI107" s="62">
        <f t="shared" si="77"/>
        <v>918.29417076703942</v>
      </c>
      <c r="FJ107" s="62">
        <f ca="1">AVERAGE(OFFSET($FI$3,0,0,'Données projet'!$E$16+1,1))-AVERAGE(OFFSET($H$3,0,0,'Données projet'!$E$16+1,1))</f>
        <v>492.72391755143508</v>
      </c>
      <c r="FK107" s="62">
        <f t="shared" si="102"/>
        <v>304.88554179994355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64.201098374076409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143.77000000000001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-5.6843418860808015E-14</v>
      </c>
      <c r="O108" s="14">
        <f>N108*VLOOKUP('Données projet'!$B$9,Paramètres!$A$1:$I$89,3,0)*VLOOKUP('Données projet'!$B$9,Paramètres!$A$1:$I$89,5,0)</f>
        <v>-5.1431925385259088E-14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388.8309693898596</v>
      </c>
      <c r="T108" s="62">
        <f t="shared" si="88"/>
        <v>549.06702041234382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2.3967363820469791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2.3967363820469791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>
        <f>AI108*VLOOKUP('Données projet'!$B$10,Paramètres!$A$1:$I$89,3,0)*VLOOKUP('Données projet'!$B$10,Paramètres!$A$1:$I$89,5,0)</f>
        <v>6.7984728957526396E-14</v>
      </c>
      <c r="AK108" s="14">
        <f t="shared" si="89"/>
        <v>1.0682447123141398E-12</v>
      </c>
      <c r="AL108" s="22">
        <f t="shared" si="58"/>
        <v>1.978932943548152E-12</v>
      </c>
      <c r="AM108" s="62">
        <f t="shared" si="59"/>
        <v>272.43955329391127</v>
      </c>
      <c r="AN108" s="62">
        <f ca="1">AVERAGE(OFFSET($AM$3,0,0,'Données projet'!$E$10+1,1))-AVERAGE(OFFSET($H$3,0,0,'Données projet'!$E$10+1,1))</f>
        <v>197.85998851681552</v>
      </c>
      <c r="AO108" s="62">
        <f t="shared" si="90"/>
        <v>474.54844785896239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12.073389123638174</v>
      </c>
      <c r="AV108" s="23">
        <f>EXP(-LN(2)/25)*AV107+(1-EXP(-LN(2)/25))/(LN(2)/25)*Calculateur!AQ108*Calculateur!AS108*VLOOKUP('Données projet'!$B$10,Paramètres!$A$1:$I$89,3,0)*0.475*44/12</f>
        <v>5.4936018396419621</v>
      </c>
      <c r="AW108" s="23">
        <f>EXP(-LN(2)/2)*AW107+(1-EXP(-LN(2)/2))/(LN(2)/2)*AQ108*AT108*VLOOKUP('Données projet'!$B$10,Paramètres!$A$1:$I$89,3,0)*0.475*44/12</f>
        <v>2.2414892175917206E-10</v>
      </c>
      <c r="AX108" s="23">
        <f t="shared" si="60"/>
        <v>17.566990963504285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1.1368683772161603E-13</v>
      </c>
      <c r="BE108" s="14">
        <f>BD108*VLOOKUP('Données projet'!$B$11,Paramètres!$A$1:$I$89,3,0)*VLOOKUP('Données projet'!$B$11,Paramètres!$A$1:$I$89,5,0)</f>
        <v>6.7984728957526396E-14</v>
      </c>
      <c r="BF108" s="14">
        <f t="shared" si="91"/>
        <v>1.0682447123141398E-12</v>
      </c>
      <c r="BG108" s="22">
        <f t="shared" si="61"/>
        <v>1.978932943548152E-12</v>
      </c>
      <c r="BH108" s="62">
        <f t="shared" si="62"/>
        <v>272.43955329391127</v>
      </c>
      <c r="BI108" s="62">
        <f ca="1">AVERAGE(OFFSET($BH$3,0,0,'Données projet'!$E$11+1,1))-AVERAGE(OFFSET($H$3,0,0,'Données projet'!$E$11+1,1))</f>
        <v>197.85998851681552</v>
      </c>
      <c r="BJ108" s="62">
        <f t="shared" si="92"/>
        <v>474.54844785896239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12.073389123638174</v>
      </c>
      <c r="BQ108" s="23">
        <f>EXP(-LN(2)/25)*BQ107+(1-EXP(-LN(2)/25))/(LN(2)/25)*Calculateur!BL108*Calculateur!BN108*VLOOKUP('Données projet'!$B$11,Paramètres!$A$1:$I$89,3,0)*0.475*44/12</f>
        <v>5.4936018396419621</v>
      </c>
      <c r="BR108" s="23">
        <f>EXP(-LN(2)/2)*BR107+(1-EXP(-LN(2)/2))/(LN(2)/2)*BL108*BO108*VLOOKUP('Données projet'!$B$11,Paramètres!$A$1:$I$89,3,0)*0.475*44/12</f>
        <v>2.2414892175917206E-10</v>
      </c>
      <c r="BS108" s="24">
        <f t="shared" si="63"/>
        <v>17.566990963504285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>
        <f>BY108*VLOOKUP('Données projet'!$B$12,Paramètres!$A$1:$I$89,3,0)*VLOOKUP('Données projet'!$B$12,Paramètres!$A$1:$I$89,5,0)</f>
        <v>0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72.97248599808384</v>
      </c>
      <c r="CE108" s="62">
        <f t="shared" si="94"/>
        <v>346.88163654003574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13.159897244044002</v>
      </c>
      <c r="CL108" s="23">
        <f>EXP(-LN(2)/25)*CL107+(1-EXP(-LN(2)/25))/(LN(2)/25)*Calculateur!CG108*Calculateur!CI108*VLOOKUP('Données projet'!$B$12,Paramètres!$A$1:$I$89,3,0)*0.475*44/12</f>
        <v>1.6320331715334613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14.791930415577463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>
        <f>CT108*VLOOKUP('Données projet'!$B$13,Paramètres!$A$1:$I$89,3,0)*VLOOKUP('Données projet'!$B$13,Paramètres!$A$1:$I$89,5,0)</f>
        <v>0</v>
      </c>
      <c r="CV108" s="14" t="e">
        <f t="shared" si="95"/>
        <v>#NUM!</v>
      </c>
      <c r="CW108" s="22" t="e">
        <f t="shared" si="67"/>
        <v>#NUM!</v>
      </c>
      <c r="CX108" s="62" t="e">
        <f t="shared" si="68"/>
        <v>#NUM!</v>
      </c>
      <c r="CY108" s="62">
        <f ca="1">AVERAGE(OFFSET($CX$3,0,0,'Données projet'!$E$13+1,1))-AVERAGE(OFFSET($H$3,0,0,'Données projet'!$E$13+1,1))</f>
        <v>67.303283896086128</v>
      </c>
      <c r="CZ108" s="62">
        <f t="shared" si="96"/>
        <v>318.97925671653547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11.950213096262805</v>
      </c>
      <c r="DG108" s="23">
        <f>EXP(-LN(2)/25)*DG107+(1-EXP(-LN(2)/25))/(LN(2)/25)*Calculateur!DB108*Calculateur!DD108*VLOOKUP('Données projet'!$B$13,Paramètres!$A$1:$I$89,3,0)*0.475*44/12</f>
        <v>1.482013409247654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13.43222650551046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>
        <f>DO108*VLOOKUP('Données projet'!$B$14,Paramètres!$A$1:$I$89,3,0)*VLOOKUP('Données projet'!$B$14,Paramètres!$A$1:$I$89,5,0)</f>
        <v>0</v>
      </c>
      <c r="DQ108" s="14" t="e">
        <f t="shared" si="97"/>
        <v>#NUM!</v>
      </c>
      <c r="DR108" s="22" t="e">
        <f t="shared" si="70"/>
        <v>#NUM!</v>
      </c>
      <c r="DS108" s="62" t="e">
        <f t="shared" si="71"/>
        <v>#NUM!</v>
      </c>
      <c r="DT108" s="62">
        <f ca="1">AVERAGE(OFFSET($DS$3,0,0,'Données projet'!$E$14+1,1))-AVERAGE(OFFSET($H$3,0,0,'Données projet'!$E$14+1,1))</f>
        <v>75.244137291704476</v>
      </c>
      <c r="DU108" s="62">
        <f t="shared" si="98"/>
        <v>366.065475656937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13.993013048301018</v>
      </c>
      <c r="EB108" s="23">
        <f>EXP(-LN(2)/25)*EB107+(1-EXP(-LN(2)/25))/(LN(2)/25)*Calculateur!DW108*Calculateur!DY108*VLOOKUP('Données projet'!$B$14,Paramètres!$A$1:$I$89,3,0)*0.475*44/12</f>
        <v>1.7353525670471015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15.728365615348119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>
        <f>VLOOKUP(A108,'Données projet'!$A$191:$I$211,2,0)</f>
        <v>283</v>
      </c>
      <c r="EH108" s="13">
        <f>VLOOKUP(A108,'Données projet'!$A$191:$I$211,9,0)</f>
        <v>4.4000000000000004</v>
      </c>
      <c r="EI108" s="13">
        <f t="array" ref="EI108">INDEX(EH:EH,MIN(IF(ISNUMBER(EH108:EH304),ROW(EH108:EH304),"")))</f>
        <v>4.4000000000000004</v>
      </c>
      <c r="EJ108" s="13">
        <f>IF('Données projet'!$A$192&gt;35,EJ107+EI108-ER107,IF(A108&lt;'Données projet'!$A$192,$EG$205^A108,IF(A108='Données projet'!$A$192,'Données projet'!$B$192,EJ107+EI108-ER107)))</f>
        <v>283</v>
      </c>
      <c r="EK108" s="18">
        <f>EJ108*VLOOKUP('Données projet'!$B$15,Paramètres!$A$1:$I$89,3,0)*VLOOKUP('Données projet'!$B$15,Paramètres!$A$1:$I$89,5,0)</f>
        <v>273.7176</v>
      </c>
      <c r="EL108" s="14">
        <f t="shared" si="99"/>
        <v>65.637608810456669</v>
      </c>
      <c r="EM108" s="22">
        <f t="shared" si="73"/>
        <v>591.04365534487874</v>
      </c>
      <c r="EN108" s="62">
        <f t="shared" si="74"/>
        <v>863.48320863878803</v>
      </c>
      <c r="EO108" s="62">
        <f ca="1">AVERAGE(OFFSET($EN$3,0,0,'Données projet'!$E$15+1,1))-AVERAGE(OFFSET($H$3,0,0,'Données projet'!$E$15+1,1))</f>
        <v>452.74627739105745</v>
      </c>
      <c r="EP108" s="62">
        <f t="shared" si="100"/>
        <v>281.80695725575106</v>
      </c>
      <c r="EQ108" s="16">
        <f>IF(ISNA(VLOOKUP(A108,'Données projet'!$A$191:$I$211,3,0)),0,VLOOKUP(A108,'Données projet'!$A$191:$I$211,3,0))</f>
        <v>17</v>
      </c>
      <c r="ER108" s="16">
        <f>IF(ISNA(VLOOKUP(A108,'Données projet'!$A$191:$I$211,4,0)),0,VLOOKUP(A108,'Données projet'!$A$191:$I$211,4,0))</f>
        <v>20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>
        <f>VLOOKUP(A108,'Données projet'!$A$217:$I$237,2,0)</f>
        <v>283</v>
      </c>
      <c r="FC108" s="13">
        <f>VLOOKUP(A108,'Données projet'!$A$217:$I$237,9,0)</f>
        <v>4.4000000000000004</v>
      </c>
      <c r="FD108" s="13">
        <f t="array" ref="FD108">INDEX(FC:FC,MIN(IF(ISNUMBER(FC108:FC304),ROW(FC108:FC304),"")))</f>
        <v>4.4000000000000004</v>
      </c>
      <c r="FE108" s="13">
        <f>IF('Données projet'!$A$218&gt;35,FE107+FD108-FM107,IF(A108&lt;'Données projet'!$A$218,$FB$205^A108,IF(A108='Données projet'!$A$218,'Données projet'!$B$218,FE107+FD108-FM107)))</f>
        <v>283</v>
      </c>
      <c r="FF108" s="18">
        <f>FE108*VLOOKUP('Données projet'!$B$16,Paramètres!$A$1:$I$89,3,0)*VLOOKUP('Données projet'!$B$16,Paramètres!$A$1:$I$89,5,0)</f>
        <v>304.62119999999999</v>
      </c>
      <c r="FG108" s="14">
        <f t="shared" si="101"/>
        <v>72.144380911839406</v>
      </c>
      <c r="FH108" s="22">
        <f t="shared" si="76"/>
        <v>656.2000534214535</v>
      </c>
      <c r="FI108" s="62">
        <f t="shared" si="77"/>
        <v>928.63960671536279</v>
      </c>
      <c r="FJ108" s="62">
        <f ca="1">AVERAGE(OFFSET($FI$3,0,0,'Données projet'!$E$16+1,1))-AVERAGE(OFFSET($H$3,0,0,'Données projet'!$E$16+1,1))</f>
        <v>492.72391755143508</v>
      </c>
      <c r="FK108" s="62">
        <f t="shared" si="102"/>
        <v>304.88554179994355</v>
      </c>
      <c r="FL108" s="16">
        <f>IF(ISNA(VLOOKUP(A108,'Données projet'!$A$217:$I$237,3,0)),0,VLOOKUP(A108,'Données projet'!$A$217:$I$237,3,0))</f>
        <v>17</v>
      </c>
      <c r="FM108" s="16">
        <f>IF(ISNA(VLOOKUP(A108,'Données projet'!$A$217:$I$237,4,0)),0,VLOOKUP(A108,'Données projet'!$A$217:$I$237,4,0))</f>
        <v>20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64.301696352884349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143.77000000000001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-5.6843418860808015E-14</v>
      </c>
      <c r="O109" s="14">
        <f>N109*VLOOKUP('Données projet'!$B$9,Paramètres!$A$1:$I$89,3,0)*VLOOKUP('Données projet'!$B$9,Paramètres!$A$1:$I$89,5,0)</f>
        <v>-5.1431925385259088E-14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388.8309693898596</v>
      </c>
      <c r="T109" s="62">
        <f t="shared" si="88"/>
        <v>549.06702041234382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2.3497378434598839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2.3497378434598839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>
        <f>AI109*VLOOKUP('Données projet'!$B$10,Paramètres!$A$1:$I$89,3,0)*VLOOKUP('Données projet'!$B$10,Paramètres!$A$1:$I$89,5,0)</f>
        <v>6.7984728957526396E-14</v>
      </c>
      <c r="AK109" s="14">
        <f t="shared" si="89"/>
        <v>1.0682447123141398E-12</v>
      </c>
      <c r="AL109" s="22">
        <f t="shared" si="58"/>
        <v>1.978932943548152E-12</v>
      </c>
      <c r="AM109" s="62">
        <f t="shared" si="59"/>
        <v>272.802013666101</v>
      </c>
      <c r="AN109" s="62">
        <f ca="1">AVERAGE(OFFSET($AM$3,0,0,'Données projet'!$E$10+1,1))-AVERAGE(OFFSET($H$3,0,0,'Données projet'!$E$10+1,1))</f>
        <v>197.85998851681552</v>
      </c>
      <c r="AO109" s="62">
        <f t="shared" si="90"/>
        <v>474.54844785896239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11.836637326963857</v>
      </c>
      <c r="AV109" s="23">
        <f>EXP(-LN(2)/25)*AV108+(1-EXP(-LN(2)/25))/(LN(2)/25)*Calculateur!AQ109*Calculateur!AS109*VLOOKUP('Données projet'!$B$10,Paramètres!$A$1:$I$89,3,0)*0.475*44/12</f>
        <v>5.343379008440988</v>
      </c>
      <c r="AW109" s="23">
        <f>EXP(-LN(2)/2)*AW108+(1-EXP(-LN(2)/2))/(LN(2)/2)*AQ109*AT109*VLOOKUP('Données projet'!$B$10,Paramètres!$A$1:$I$89,3,0)*0.475*44/12</f>
        <v>1.5849722257156346E-10</v>
      </c>
      <c r="AX109" s="23">
        <f t="shared" si="60"/>
        <v>17.180016335563341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1.1368683772161603E-13</v>
      </c>
      <c r="BE109" s="14">
        <f>BD109*VLOOKUP('Données projet'!$B$11,Paramètres!$A$1:$I$89,3,0)*VLOOKUP('Données projet'!$B$11,Paramètres!$A$1:$I$89,5,0)</f>
        <v>6.7984728957526396E-14</v>
      </c>
      <c r="BF109" s="14">
        <f t="shared" si="91"/>
        <v>1.0682447123141398E-12</v>
      </c>
      <c r="BG109" s="22">
        <f t="shared" si="61"/>
        <v>1.978932943548152E-12</v>
      </c>
      <c r="BH109" s="62">
        <f t="shared" si="62"/>
        <v>272.802013666101</v>
      </c>
      <c r="BI109" s="62">
        <f ca="1">AVERAGE(OFFSET($BH$3,0,0,'Données projet'!$E$11+1,1))-AVERAGE(OFFSET($H$3,0,0,'Données projet'!$E$11+1,1))</f>
        <v>197.85998851681552</v>
      </c>
      <c r="BJ109" s="62">
        <f t="shared" si="92"/>
        <v>474.54844785896239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11.836637326963857</v>
      </c>
      <c r="BQ109" s="23">
        <f>EXP(-LN(2)/25)*BQ108+(1-EXP(-LN(2)/25))/(LN(2)/25)*Calculateur!BL109*Calculateur!BN109*VLOOKUP('Données projet'!$B$11,Paramètres!$A$1:$I$89,3,0)*0.475*44/12</f>
        <v>5.343379008440988</v>
      </c>
      <c r="BR109" s="23">
        <f>EXP(-LN(2)/2)*BR108+(1-EXP(-LN(2)/2))/(LN(2)/2)*BL109*BO109*VLOOKUP('Données projet'!$B$11,Paramètres!$A$1:$I$89,3,0)*0.475*44/12</f>
        <v>1.5849722257156346E-10</v>
      </c>
      <c r="BS109" s="24">
        <f t="shared" si="63"/>
        <v>17.180016335563341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>
        <f>BY109*VLOOKUP('Données projet'!$B$12,Paramètres!$A$1:$I$89,3,0)*VLOOKUP('Données projet'!$B$12,Paramètres!$A$1:$I$89,5,0)</f>
        <v>0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72.97248599808384</v>
      </c>
      <c r="CE109" s="62">
        <f t="shared" si="94"/>
        <v>346.88163654003574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12.901839685833043</v>
      </c>
      <c r="CL109" s="23">
        <f>EXP(-LN(2)/25)*CL108+(1-EXP(-LN(2)/25))/(LN(2)/25)*Calculateur!CG109*Calculateur!CI109*VLOOKUP('Données projet'!$B$12,Paramètres!$A$1:$I$89,3,0)*0.475*44/12</f>
        <v>1.5874051386329844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14.489244824466027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>
        <f>CT109*VLOOKUP('Données projet'!$B$13,Paramètres!$A$1:$I$89,3,0)*VLOOKUP('Données projet'!$B$13,Paramètres!$A$1:$I$89,5,0)</f>
        <v>0</v>
      </c>
      <c r="CV109" s="14" t="e">
        <f t="shared" si="95"/>
        <v>#NUM!</v>
      </c>
      <c r="CW109" s="22" t="e">
        <f t="shared" si="67"/>
        <v>#NUM!</v>
      </c>
      <c r="CX109" s="62" t="e">
        <f t="shared" si="68"/>
        <v>#NUM!</v>
      </c>
      <c r="CY109" s="62">
        <f ca="1">AVERAGE(OFFSET($CX$3,0,0,'Données projet'!$E$13+1,1))-AVERAGE(OFFSET($H$3,0,0,'Données projet'!$E$13+1,1))</f>
        <v>67.303283896086128</v>
      </c>
      <c r="CZ109" s="62">
        <f t="shared" si="96"/>
        <v>318.97925671653547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11.71587670635536</v>
      </c>
      <c r="DG109" s="23">
        <f>EXP(-LN(2)/25)*DG108+(1-EXP(-LN(2)/25))/(LN(2)/25)*Calculateur!DB109*Calculateur!DD109*VLOOKUP('Données projet'!$B$13,Paramètres!$A$1:$I$89,3,0)*0.475*44/12</f>
        <v>1.441487674636079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13.157364380991439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>
        <f>DO109*VLOOKUP('Données projet'!$B$14,Paramètres!$A$1:$I$89,3,0)*VLOOKUP('Données projet'!$B$14,Paramètres!$A$1:$I$89,5,0)</f>
        <v>0</v>
      </c>
      <c r="DQ109" s="14" t="e">
        <f t="shared" si="97"/>
        <v>#NUM!</v>
      </c>
      <c r="DR109" s="22" t="e">
        <f t="shared" si="70"/>
        <v>#NUM!</v>
      </c>
      <c r="DS109" s="62" t="e">
        <f t="shared" si="71"/>
        <v>#NUM!</v>
      </c>
      <c r="DT109" s="62">
        <f ca="1">AVERAGE(OFFSET($DS$3,0,0,'Données projet'!$E$14+1,1))-AVERAGE(OFFSET($H$3,0,0,'Données projet'!$E$14+1,1))</f>
        <v>75.244137291704476</v>
      </c>
      <c r="DU109" s="62">
        <f t="shared" si="98"/>
        <v>366.065475656937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13.718618597319043</v>
      </c>
      <c r="EB109" s="23">
        <f>EXP(-LN(2)/25)*EB108+(1-EXP(-LN(2)/25))/(LN(2)/25)*Calculateur!DW109*Calculateur!DY109*VLOOKUP('Données projet'!$B$14,Paramètres!$A$1:$I$89,3,0)*0.475*44/12</f>
        <v>1.6878992598429732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15.406517857162017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4.2</v>
      </c>
      <c r="EJ109" s="13">
        <f>IF('Données projet'!$A$192&gt;35,EJ108+EI109-ER108,IF(A109&lt;'Données projet'!$A$192,$EG$205^A109,IF(A109='Données projet'!$A$192,'Données projet'!$B$192,EJ108+EI109-ER108)))</f>
        <v>267.2</v>
      </c>
      <c r="EK109" s="18">
        <f>EJ109*VLOOKUP('Données projet'!$B$15,Paramètres!$A$1:$I$89,3,0)*VLOOKUP('Données projet'!$B$15,Paramètres!$A$1:$I$89,5,0)</f>
        <v>258.43583999999998</v>
      </c>
      <c r="EL109" s="14">
        <f t="shared" si="99"/>
        <v>62.388845251874031</v>
      </c>
      <c r="EM109" s="22">
        <f t="shared" si="73"/>
        <v>558.76966014701395</v>
      </c>
      <c r="EN109" s="62">
        <f t="shared" si="74"/>
        <v>831.57167381311297</v>
      </c>
      <c r="EO109" s="62">
        <f ca="1">AVERAGE(OFFSET($EN$3,0,0,'Données projet'!$E$15+1,1))-AVERAGE(OFFSET($H$3,0,0,'Données projet'!$E$15+1,1))</f>
        <v>452.74627739105745</v>
      </c>
      <c r="EP109" s="62">
        <f t="shared" si="100"/>
        <v>281.80695725575106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4.2</v>
      </c>
      <c r="FE109" s="13">
        <f>IF('Données projet'!$A$218&gt;35,FE108+FD109-FM108,IF(A109&lt;'Données projet'!$A$218,$FB$205^A109,IF(A109='Données projet'!$A$218,'Données projet'!$B$218,FE108+FD109-FM108)))</f>
        <v>267.2</v>
      </c>
      <c r="FF109" s="18">
        <f>FE109*VLOOKUP('Données projet'!$B$16,Paramètres!$A$1:$I$89,3,0)*VLOOKUP('Données projet'!$B$16,Paramètres!$A$1:$I$89,5,0)</f>
        <v>287.61407999999994</v>
      </c>
      <c r="FG109" s="14">
        <f t="shared" si="101"/>
        <v>68.573561683190945</v>
      </c>
      <c r="FH109" s="22">
        <f t="shared" si="76"/>
        <v>620.36014259822412</v>
      </c>
      <c r="FI109" s="62">
        <f t="shared" si="77"/>
        <v>893.16215626432313</v>
      </c>
      <c r="FJ109" s="62">
        <f ca="1">AVERAGE(OFFSET($FI$3,0,0,'Données projet'!$E$16+1,1))-AVERAGE(OFFSET($H$3,0,0,'Données projet'!$E$16+1,1))</f>
        <v>492.72391755143508</v>
      </c>
      <c r="FK109" s="62">
        <f t="shared" si="102"/>
        <v>304.88554179994355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64.400549181663365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143.77000000000001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-5.6843418860808015E-14</v>
      </c>
      <c r="O110" s="14">
        <f>N110*VLOOKUP('Données projet'!$B$9,Paramètres!$A$1:$I$89,3,0)*VLOOKUP('Données projet'!$B$9,Paramètres!$A$1:$I$89,5,0)</f>
        <v>-5.1431925385259088E-14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388.8309693898596</v>
      </c>
      <c r="T110" s="62">
        <f t="shared" si="88"/>
        <v>549.06702041234382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2.3036609175482035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2.3036609175482035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>
        <f>AI110*VLOOKUP('Données projet'!$B$10,Paramètres!$A$1:$I$89,3,0)*VLOOKUP('Données projet'!$B$10,Paramètres!$A$1:$I$89,5,0)</f>
        <v>6.7984728957526396E-14</v>
      </c>
      <c r="AK110" s="14">
        <f t="shared" si="89"/>
        <v>1.0682447123141398E-12</v>
      </c>
      <c r="AL110" s="22">
        <f t="shared" si="58"/>
        <v>1.978932943548152E-12</v>
      </c>
      <c r="AM110" s="62">
        <f t="shared" si="59"/>
        <v>273.15818616117326</v>
      </c>
      <c r="AN110" s="62">
        <f ca="1">AVERAGE(OFFSET($AM$3,0,0,'Données projet'!$E$10+1,1))-AVERAGE(OFFSET($H$3,0,0,'Données projet'!$E$10+1,1))</f>
        <v>197.85998851681552</v>
      </c>
      <c r="AO110" s="62">
        <f t="shared" si="90"/>
        <v>474.54844785896239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11.604528088617984</v>
      </c>
      <c r="AV110" s="23">
        <f>EXP(-LN(2)/25)*AV109+(1-EXP(-LN(2)/25))/(LN(2)/25)*Calculateur!AQ110*Calculateur!AS110*VLOOKUP('Données projet'!$B$10,Paramètres!$A$1:$I$89,3,0)*0.475*44/12</f>
        <v>5.1972640284590792</v>
      </c>
      <c r="AW110" s="23">
        <f>EXP(-LN(2)/2)*AW109+(1-EXP(-LN(2)/2))/(LN(2)/2)*AQ110*AT110*VLOOKUP('Données projet'!$B$10,Paramètres!$A$1:$I$89,3,0)*0.475*44/12</f>
        <v>1.1207446087958606E-10</v>
      </c>
      <c r="AX110" s="23">
        <f t="shared" si="60"/>
        <v>16.801792117189137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1.1368683772161603E-13</v>
      </c>
      <c r="BE110" s="14">
        <f>BD110*VLOOKUP('Données projet'!$B$11,Paramètres!$A$1:$I$89,3,0)*VLOOKUP('Données projet'!$B$11,Paramètres!$A$1:$I$89,5,0)</f>
        <v>6.7984728957526396E-14</v>
      </c>
      <c r="BF110" s="14">
        <f t="shared" si="91"/>
        <v>1.0682447123141398E-12</v>
      </c>
      <c r="BG110" s="22">
        <f t="shared" si="61"/>
        <v>1.978932943548152E-12</v>
      </c>
      <c r="BH110" s="62">
        <f t="shared" si="62"/>
        <v>273.15818616117326</v>
      </c>
      <c r="BI110" s="62">
        <f ca="1">AVERAGE(OFFSET($BH$3,0,0,'Données projet'!$E$11+1,1))-AVERAGE(OFFSET($H$3,0,0,'Données projet'!$E$11+1,1))</f>
        <v>197.85998851681552</v>
      </c>
      <c r="BJ110" s="62">
        <f t="shared" si="92"/>
        <v>474.54844785896239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11.604528088617984</v>
      </c>
      <c r="BQ110" s="23">
        <f>EXP(-LN(2)/25)*BQ109+(1-EXP(-LN(2)/25))/(LN(2)/25)*Calculateur!BL110*Calculateur!BN110*VLOOKUP('Données projet'!$B$11,Paramètres!$A$1:$I$89,3,0)*0.475*44/12</f>
        <v>5.1972640284590792</v>
      </c>
      <c r="BR110" s="23">
        <f>EXP(-LN(2)/2)*BR109+(1-EXP(-LN(2)/2))/(LN(2)/2)*BL110*BO110*VLOOKUP('Données projet'!$B$11,Paramètres!$A$1:$I$89,3,0)*0.475*44/12</f>
        <v>1.1207446087958606E-10</v>
      </c>
      <c r="BS110" s="24">
        <f t="shared" si="63"/>
        <v>16.801792117189137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>
        <f>BY110*VLOOKUP('Données projet'!$B$12,Paramètres!$A$1:$I$89,3,0)*VLOOKUP('Données projet'!$B$12,Paramètres!$A$1:$I$89,5,0)</f>
        <v>0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72.97248599808384</v>
      </c>
      <c r="CE110" s="62">
        <f t="shared" si="94"/>
        <v>346.88163654003574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12.648842478939033</v>
      </c>
      <c r="CL110" s="23">
        <f>EXP(-LN(2)/25)*CL109+(1-EXP(-LN(2)/25))/(LN(2)/25)*Calculateur!CG110*Calculateur!CI110*VLOOKUP('Données projet'!$B$12,Paramètres!$A$1:$I$89,3,0)*0.475*44/12</f>
        <v>1.5439974616390573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14.192839940578089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>
        <f>CT110*VLOOKUP('Données projet'!$B$13,Paramètres!$A$1:$I$89,3,0)*VLOOKUP('Données projet'!$B$13,Paramètres!$A$1:$I$89,5,0)</f>
        <v>0</v>
      </c>
      <c r="CV110" s="14" t="e">
        <f t="shared" si="95"/>
        <v>#NUM!</v>
      </c>
      <c r="CW110" s="22" t="e">
        <f t="shared" si="67"/>
        <v>#NUM!</v>
      </c>
      <c r="CX110" s="62" t="e">
        <f t="shared" si="68"/>
        <v>#NUM!</v>
      </c>
      <c r="CY110" s="62">
        <f ca="1">AVERAGE(OFFSET($CX$3,0,0,'Données projet'!$E$13+1,1))-AVERAGE(OFFSET($H$3,0,0,'Données projet'!$E$13+1,1))</f>
        <v>67.303283896086128</v>
      </c>
      <c r="CZ110" s="62">
        <f t="shared" si="96"/>
        <v>318.97925671653547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11.486135510122915</v>
      </c>
      <c r="DG110" s="23">
        <f>EXP(-LN(2)/25)*DG109+(1-EXP(-LN(2)/25))/(LN(2)/25)*Calculateur!DB110*Calculateur!DD110*VLOOKUP('Données projet'!$B$13,Paramètres!$A$1:$I$89,3,0)*0.475*44/12</f>
        <v>1.4020701183686131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12.888205628491528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>
        <f>DO110*VLOOKUP('Données projet'!$B$14,Paramètres!$A$1:$I$89,3,0)*VLOOKUP('Données projet'!$B$14,Paramètres!$A$1:$I$89,5,0)</f>
        <v>0</v>
      </c>
      <c r="DQ110" s="14" t="e">
        <f t="shared" si="97"/>
        <v>#NUM!</v>
      </c>
      <c r="DR110" s="22" t="e">
        <f t="shared" si="70"/>
        <v>#NUM!</v>
      </c>
      <c r="DS110" s="62" t="e">
        <f t="shared" si="71"/>
        <v>#NUM!</v>
      </c>
      <c r="DT110" s="62">
        <f ca="1">AVERAGE(OFFSET($DS$3,0,0,'Données projet'!$E$14+1,1))-AVERAGE(OFFSET($H$3,0,0,'Données projet'!$E$14+1,1))</f>
        <v>75.244137291704476</v>
      </c>
      <c r="DU110" s="62">
        <f t="shared" si="98"/>
        <v>366.065475656937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13.449604854156735</v>
      </c>
      <c r="EB110" s="23">
        <f>EXP(-LN(2)/25)*EB109+(1-EXP(-LN(2)/25))/(LN(2)/25)*Calculateur!DW110*Calculateur!DY110*VLOOKUP('Données projet'!$B$14,Paramètres!$A$1:$I$89,3,0)*0.475*44/12</f>
        <v>1.6417435658198027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15.091348419976539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4.2</v>
      </c>
      <c r="EJ110" s="13">
        <f>IF('Données projet'!$A$192&gt;35,EJ109+EI110-ER109,IF(A110&lt;'Données projet'!$A$192,$EG$205^A110,IF(A110='Données projet'!$A$192,'Données projet'!$B$192,EJ109+EI110-ER109)))</f>
        <v>271.39999999999998</v>
      </c>
      <c r="EK110" s="18">
        <f>EJ110*VLOOKUP('Données projet'!$B$15,Paramètres!$A$1:$I$89,3,0)*VLOOKUP('Données projet'!$B$15,Paramètres!$A$1:$I$89,5,0)</f>
        <v>262.49807999999996</v>
      </c>
      <c r="EL110" s="14">
        <f t="shared" si="99"/>
        <v>63.254570961138086</v>
      </c>
      <c r="EM110" s="22">
        <f t="shared" si="73"/>
        <v>567.35253375731543</v>
      </c>
      <c r="EN110" s="62">
        <f t="shared" si="74"/>
        <v>840.51071991848676</v>
      </c>
      <c r="EO110" s="62">
        <f ca="1">AVERAGE(OFFSET($EN$3,0,0,'Données projet'!$E$15+1,1))-AVERAGE(OFFSET($H$3,0,0,'Données projet'!$E$15+1,1))</f>
        <v>452.74627739105745</v>
      </c>
      <c r="EP110" s="62">
        <f t="shared" si="100"/>
        <v>281.80695725575106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4.2</v>
      </c>
      <c r="FE110" s="13">
        <f>IF('Données projet'!$A$218&gt;35,FE109+FD110-FM109,IF(A110&lt;'Données projet'!$A$218,$FB$205^A110,IF(A110='Données projet'!$A$218,'Données projet'!$B$218,FE109+FD110-FM109)))</f>
        <v>271.39999999999998</v>
      </c>
      <c r="FF110" s="18">
        <f>FE110*VLOOKUP('Données projet'!$B$16,Paramètres!$A$1:$I$89,3,0)*VLOOKUP('Données projet'!$B$16,Paramètres!$A$1:$I$89,5,0)</f>
        <v>292.13495999999998</v>
      </c>
      <c r="FG110" s="14">
        <f t="shared" si="101"/>
        <v>69.525108311202231</v>
      </c>
      <c r="FH110" s="22">
        <f t="shared" si="76"/>
        <v>629.89128564201053</v>
      </c>
      <c r="FI110" s="62">
        <f t="shared" si="77"/>
        <v>903.04947180318186</v>
      </c>
      <c r="FJ110" s="62">
        <f ca="1">AVERAGE(OFFSET($FI$3,0,0,'Données projet'!$E$16+1,1))-AVERAGE(OFFSET($H$3,0,0,'Données projet'!$E$16+1,1))</f>
        <v>492.72391755143508</v>
      </c>
      <c r="FK110" s="62">
        <f t="shared" si="102"/>
        <v>304.88554179994355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64.49768713486489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143.77000000000001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-5.6843418860808015E-14</v>
      </c>
      <c r="O111" s="14">
        <f>N111*VLOOKUP('Données projet'!$B$9,Paramètres!$A$1:$I$89,3,0)*VLOOKUP('Données projet'!$B$9,Paramètres!$A$1:$I$89,5,0)</f>
        <v>-5.1431925385259088E-14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388.8309693898596</v>
      </c>
      <c r="T111" s="62">
        <f t="shared" si="88"/>
        <v>549.06702041234382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2.2584875320495015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2.2584875320495015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>
        <f>AI111*VLOOKUP('Données projet'!$B$10,Paramètres!$A$1:$I$89,3,0)*VLOOKUP('Données projet'!$B$10,Paramètres!$A$1:$I$89,5,0)</f>
        <v>6.7984728957526396E-14</v>
      </c>
      <c r="AK111" s="14">
        <f t="shared" si="89"/>
        <v>1.0682447123141398E-12</v>
      </c>
      <c r="AL111" s="22">
        <f t="shared" si="58"/>
        <v>1.978932943548152E-12</v>
      </c>
      <c r="AM111" s="62">
        <f t="shared" si="59"/>
        <v>273.50817985973839</v>
      </c>
      <c r="AN111" s="62">
        <f ca="1">AVERAGE(OFFSET($AM$3,0,0,'Données projet'!$E$10+1,1))-AVERAGE(OFFSET($H$3,0,0,'Données projet'!$E$10+1,1))</f>
        <v>197.85998851681552</v>
      </c>
      <c r="AO111" s="62">
        <f t="shared" si="90"/>
        <v>474.54844785896239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11.376970370863418</v>
      </c>
      <c r="AV111" s="23">
        <f>EXP(-LN(2)/25)*AV110+(1-EXP(-LN(2)/25))/(LN(2)/25)*Calculateur!AQ111*Calculateur!AS111*VLOOKUP('Données projet'!$B$10,Paramètres!$A$1:$I$89,3,0)*0.475*44/12</f>
        <v>5.0551445702886291</v>
      </c>
      <c r="AW111" s="23">
        <f>EXP(-LN(2)/2)*AW110+(1-EXP(-LN(2)/2))/(LN(2)/2)*AQ111*AT111*VLOOKUP('Données projet'!$B$10,Paramètres!$A$1:$I$89,3,0)*0.475*44/12</f>
        <v>7.9248611285781742E-11</v>
      </c>
      <c r="AX111" s="23">
        <f t="shared" si="60"/>
        <v>16.432114941231298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1.1368683772161603E-13</v>
      </c>
      <c r="BE111" s="14">
        <f>BD111*VLOOKUP('Données projet'!$B$11,Paramètres!$A$1:$I$89,3,0)*VLOOKUP('Données projet'!$B$11,Paramètres!$A$1:$I$89,5,0)</f>
        <v>6.7984728957526396E-14</v>
      </c>
      <c r="BF111" s="14">
        <f t="shared" si="91"/>
        <v>1.0682447123141398E-12</v>
      </c>
      <c r="BG111" s="22">
        <f t="shared" si="61"/>
        <v>1.978932943548152E-12</v>
      </c>
      <c r="BH111" s="62">
        <f t="shared" si="62"/>
        <v>273.50817985973839</v>
      </c>
      <c r="BI111" s="62">
        <f ca="1">AVERAGE(OFFSET($BH$3,0,0,'Données projet'!$E$11+1,1))-AVERAGE(OFFSET($H$3,0,0,'Données projet'!$E$11+1,1))</f>
        <v>197.85998851681552</v>
      </c>
      <c r="BJ111" s="62">
        <f t="shared" si="92"/>
        <v>474.54844785896239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11.376970370863418</v>
      </c>
      <c r="BQ111" s="23">
        <f>EXP(-LN(2)/25)*BQ110+(1-EXP(-LN(2)/25))/(LN(2)/25)*Calculateur!BL111*Calculateur!BN111*VLOOKUP('Données projet'!$B$11,Paramètres!$A$1:$I$89,3,0)*0.475*44/12</f>
        <v>5.0551445702886291</v>
      </c>
      <c r="BR111" s="23">
        <f>EXP(-LN(2)/2)*BR110+(1-EXP(-LN(2)/2))/(LN(2)/2)*BL111*BO111*VLOOKUP('Données projet'!$B$11,Paramètres!$A$1:$I$89,3,0)*0.475*44/12</f>
        <v>7.9248611285781742E-11</v>
      </c>
      <c r="BS111" s="24">
        <f t="shared" si="63"/>
        <v>16.432114941231298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>
        <f>BY111*VLOOKUP('Données projet'!$B$12,Paramètres!$A$1:$I$89,3,0)*VLOOKUP('Données projet'!$B$12,Paramètres!$A$1:$I$89,5,0)</f>
        <v>0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72.97248599808384</v>
      </c>
      <c r="CE111" s="62">
        <f t="shared" si="94"/>
        <v>346.88163654003574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12.400806392959154</v>
      </c>
      <c r="CL111" s="23">
        <f>EXP(-LN(2)/25)*CL110+(1-EXP(-LN(2)/25))/(LN(2)/25)*Calculateur!CG111*Calculateur!CI111*VLOOKUP('Données projet'!$B$12,Paramètres!$A$1:$I$89,3,0)*0.475*44/12</f>
        <v>1.5017767698552396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13.902583162814395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>
        <f>CT111*VLOOKUP('Données projet'!$B$13,Paramètres!$A$1:$I$89,3,0)*VLOOKUP('Données projet'!$B$13,Paramètres!$A$1:$I$89,5,0)</f>
        <v>0</v>
      </c>
      <c r="CV111" s="14" t="e">
        <f t="shared" si="95"/>
        <v>#NUM!</v>
      </c>
      <c r="CW111" s="22" t="e">
        <f t="shared" si="67"/>
        <v>#NUM!</v>
      </c>
      <c r="CX111" s="62" t="e">
        <f t="shared" si="68"/>
        <v>#NUM!</v>
      </c>
      <c r="CY111" s="62">
        <f ca="1">AVERAGE(OFFSET($CX$3,0,0,'Données projet'!$E$13+1,1))-AVERAGE(OFFSET($H$3,0,0,'Données projet'!$E$13+1,1))</f>
        <v>67.303283896086128</v>
      </c>
      <c r="CZ111" s="62">
        <f t="shared" si="96"/>
        <v>318.97925671653547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11.260899398620296</v>
      </c>
      <c r="DG111" s="23">
        <f>EXP(-LN(2)/25)*DG110+(1-EXP(-LN(2)/25))/(LN(2)/25)*Calculateur!DB111*Calculateur!DD111*VLOOKUP('Données projet'!$B$13,Paramètres!$A$1:$I$89,3,0)*0.475*44/12</f>
        <v>1.3637304372501602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12.624629835870456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>
        <f>DO111*VLOOKUP('Données projet'!$B$14,Paramètres!$A$1:$I$89,3,0)*VLOOKUP('Données projet'!$B$14,Paramètres!$A$1:$I$89,5,0)</f>
        <v>0</v>
      </c>
      <c r="DQ111" s="14" t="e">
        <f t="shared" si="97"/>
        <v>#NUM!</v>
      </c>
      <c r="DR111" s="22" t="e">
        <f t="shared" si="70"/>
        <v>#NUM!</v>
      </c>
      <c r="DS111" s="62" t="e">
        <f t="shared" si="71"/>
        <v>#NUM!</v>
      </c>
      <c r="DT111" s="62">
        <f ca="1">AVERAGE(OFFSET($DS$3,0,0,'Données projet'!$E$14+1,1))-AVERAGE(OFFSET($H$3,0,0,'Données projet'!$E$14+1,1))</f>
        <v>75.244137291704476</v>
      </c>
      <c r="DU111" s="62">
        <f t="shared" si="98"/>
        <v>366.065475656937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13.18586630641566</v>
      </c>
      <c r="EB111" s="23">
        <f>EXP(-LN(2)/25)*EB110+(1-EXP(-LN(2)/25))/(LN(2)/25)*Calculateur!DW111*Calculateur!DY111*VLOOKUP('Données projet'!$B$14,Paramètres!$A$1:$I$89,3,0)*0.475*44/12</f>
        <v>1.5968500016769183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14.782716308092578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4.2</v>
      </c>
      <c r="EJ111" s="13">
        <f>IF('Données projet'!$A$192&gt;35,EJ110+EI111-ER110,IF(A111&lt;'Données projet'!$A$192,$EG$205^A111,IF(A111='Données projet'!$A$192,'Données projet'!$B$192,EJ110+EI111-ER110)))</f>
        <v>275.59999999999997</v>
      </c>
      <c r="EK111" s="18">
        <f>EJ111*VLOOKUP('Données projet'!$B$15,Paramètres!$A$1:$I$89,3,0)*VLOOKUP('Données projet'!$B$15,Paramètres!$A$1:$I$89,5,0)</f>
        <v>266.56031999999999</v>
      </c>
      <c r="EL111" s="14">
        <f t="shared" si="99"/>
        <v>64.11873855372427</v>
      </c>
      <c r="EM111" s="22">
        <f t="shared" si="73"/>
        <v>575.9326936477363</v>
      </c>
      <c r="EN111" s="62">
        <f t="shared" si="74"/>
        <v>849.4408735074727</v>
      </c>
      <c r="EO111" s="62">
        <f ca="1">AVERAGE(OFFSET($EN$3,0,0,'Données projet'!$E$15+1,1))-AVERAGE(OFFSET($H$3,0,0,'Données projet'!$E$15+1,1))</f>
        <v>452.74627739105745</v>
      </c>
      <c r="EP111" s="62">
        <f t="shared" si="100"/>
        <v>281.80695725575106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4.2</v>
      </c>
      <c r="FE111" s="13">
        <f>IF('Données projet'!$A$218&gt;35,FE110+FD111-FM110,IF(A111&lt;'Données projet'!$A$218,$FB$205^A111,IF(A111='Données projet'!$A$218,'Données projet'!$B$218,FE110+FD111-FM110)))</f>
        <v>275.59999999999997</v>
      </c>
      <c r="FF111" s="18">
        <f>FE111*VLOOKUP('Données projet'!$B$16,Paramètres!$A$1:$I$89,3,0)*VLOOKUP('Données projet'!$B$16,Paramètres!$A$1:$I$89,5,0)</f>
        <v>296.65583999999996</v>
      </c>
      <c r="FG111" s="14">
        <f t="shared" si="101"/>
        <v>70.474942363677229</v>
      </c>
      <c r="FH111" s="22">
        <f t="shared" si="76"/>
        <v>639.41944595007112</v>
      </c>
      <c r="FI111" s="62">
        <f t="shared" si="77"/>
        <v>912.92762580980752</v>
      </c>
      <c r="FJ111" s="62">
        <f ca="1">AVERAGE(OFFSET($FI$3,0,0,'Données projet'!$E$16+1,1))-AVERAGE(OFFSET($H$3,0,0,'Données projet'!$E$16+1,1))</f>
        <v>492.72391755143508</v>
      </c>
      <c r="FK111" s="62">
        <f t="shared" si="102"/>
        <v>304.88554179994355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64.593139961746289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143.77000000000001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-5.6843418860808015E-14</v>
      </c>
      <c r="O112" s="14">
        <f>N112*VLOOKUP('Données projet'!$B$9,Paramètres!$A$1:$I$89,3,0)*VLOOKUP('Données projet'!$B$9,Paramètres!$A$1:$I$89,5,0)</f>
        <v>-5.1431925385259088E-14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388.8309693898596</v>
      </c>
      <c r="T112" s="62">
        <f t="shared" si="88"/>
        <v>549.06702041234382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2.2141999690873844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2.2141999690873844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>
        <f>AI112*VLOOKUP('Données projet'!$B$10,Paramètres!$A$1:$I$89,3,0)*VLOOKUP('Données projet'!$B$10,Paramètres!$A$1:$I$89,5,0)</f>
        <v>6.7984728957526396E-14</v>
      </c>
      <c r="AK112" s="14">
        <f t="shared" si="89"/>
        <v>1.0682447123141398E-12</v>
      </c>
      <c r="AL112" s="22">
        <f t="shared" si="58"/>
        <v>1.978932943548152E-12</v>
      </c>
      <c r="AM112" s="62">
        <f t="shared" si="59"/>
        <v>273.85210195010211</v>
      </c>
      <c r="AN112" s="62">
        <f ca="1">AVERAGE(OFFSET($AM$3,0,0,'Données projet'!$E$10+1,1))-AVERAGE(OFFSET($H$3,0,0,'Données projet'!$E$10+1,1))</f>
        <v>197.85998851681552</v>
      </c>
      <c r="AO112" s="62">
        <f t="shared" si="90"/>
        <v>474.54844785896239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11.153874921157517</v>
      </c>
      <c r="AV112" s="23">
        <f>EXP(-LN(2)/25)*AV111+(1-EXP(-LN(2)/25))/(LN(2)/25)*Calculateur!AQ112*Calculateur!AS112*VLOOKUP('Données projet'!$B$10,Paramètres!$A$1:$I$89,3,0)*0.475*44/12</f>
        <v>4.9169113761755874</v>
      </c>
      <c r="AW112" s="23">
        <f>EXP(-LN(2)/2)*AW111+(1-EXP(-LN(2)/2))/(LN(2)/2)*AQ112*AT112*VLOOKUP('Données projet'!$B$10,Paramètres!$A$1:$I$89,3,0)*0.475*44/12</f>
        <v>5.6037230439793034E-11</v>
      </c>
      <c r="AX112" s="23">
        <f t="shared" si="60"/>
        <v>16.070786297389141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1.1368683772161603E-13</v>
      </c>
      <c r="BE112" s="14">
        <f>BD112*VLOOKUP('Données projet'!$B$11,Paramètres!$A$1:$I$89,3,0)*VLOOKUP('Données projet'!$B$11,Paramètres!$A$1:$I$89,5,0)</f>
        <v>6.7984728957526396E-14</v>
      </c>
      <c r="BF112" s="14">
        <f t="shared" si="91"/>
        <v>1.0682447123141398E-12</v>
      </c>
      <c r="BG112" s="22">
        <f t="shared" si="61"/>
        <v>1.978932943548152E-12</v>
      </c>
      <c r="BH112" s="62">
        <f t="shared" si="62"/>
        <v>273.85210195010211</v>
      </c>
      <c r="BI112" s="62">
        <f ca="1">AVERAGE(OFFSET($BH$3,0,0,'Données projet'!$E$11+1,1))-AVERAGE(OFFSET($H$3,0,0,'Données projet'!$E$11+1,1))</f>
        <v>197.85998851681552</v>
      </c>
      <c r="BJ112" s="62">
        <f t="shared" si="92"/>
        <v>474.54844785896239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11.153874921157517</v>
      </c>
      <c r="BQ112" s="23">
        <f>EXP(-LN(2)/25)*BQ111+(1-EXP(-LN(2)/25))/(LN(2)/25)*Calculateur!BL112*Calculateur!BN112*VLOOKUP('Données projet'!$B$11,Paramètres!$A$1:$I$89,3,0)*0.475*44/12</f>
        <v>4.9169113761755874</v>
      </c>
      <c r="BR112" s="23">
        <f>EXP(-LN(2)/2)*BR111+(1-EXP(-LN(2)/2))/(LN(2)/2)*BL112*BO112*VLOOKUP('Données projet'!$B$11,Paramètres!$A$1:$I$89,3,0)*0.475*44/12</f>
        <v>5.6037230439793034E-11</v>
      </c>
      <c r="BS112" s="24">
        <f t="shared" si="63"/>
        <v>16.070786297389141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>
        <f>BY112*VLOOKUP('Données projet'!$B$12,Paramètres!$A$1:$I$89,3,0)*VLOOKUP('Données projet'!$B$12,Paramètres!$A$1:$I$89,5,0)</f>
        <v>0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72.97248599808384</v>
      </c>
      <c r="CE112" s="62">
        <f t="shared" si="94"/>
        <v>346.88163654003574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12.157634143338267</v>
      </c>
      <c r="CL112" s="23">
        <f>EXP(-LN(2)/25)*CL111+(1-EXP(-LN(2)/25))/(LN(2)/25)*Calculateur!CG112*Calculateur!CI112*VLOOKUP('Données projet'!$B$12,Paramètres!$A$1:$I$89,3,0)*0.475*44/12</f>
        <v>1.4607106051085401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13.618344748446807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>
        <f>CT112*VLOOKUP('Données projet'!$B$13,Paramètres!$A$1:$I$89,3,0)*VLOOKUP('Données projet'!$B$13,Paramètres!$A$1:$I$89,5,0)</f>
        <v>0</v>
      </c>
      <c r="CV112" s="14" t="e">
        <f t="shared" si="95"/>
        <v>#NUM!</v>
      </c>
      <c r="CW112" s="22" t="e">
        <f t="shared" si="67"/>
        <v>#NUM!</v>
      </c>
      <c r="CX112" s="62" t="e">
        <f t="shared" si="68"/>
        <v>#NUM!</v>
      </c>
      <c r="CY112" s="62">
        <f ca="1">AVERAGE(OFFSET($CX$3,0,0,'Données projet'!$E$13+1,1))-AVERAGE(OFFSET($H$3,0,0,'Données projet'!$E$13+1,1))</f>
        <v>67.303283896086128</v>
      </c>
      <c r="CZ112" s="62">
        <f t="shared" si="96"/>
        <v>318.97925671653547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11.04008002988378</v>
      </c>
      <c r="DG112" s="23">
        <f>EXP(-LN(2)/25)*DG111+(1-EXP(-LN(2)/25))/(LN(2)/25)*Calculateur!DB112*Calculateur!DD112*VLOOKUP('Données projet'!$B$13,Paramètres!$A$1:$I$89,3,0)*0.475*44/12</f>
        <v>1.3264391567280878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12.366519186611868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>
        <f>DO112*VLOOKUP('Données projet'!$B$14,Paramètres!$A$1:$I$89,3,0)*VLOOKUP('Données projet'!$B$14,Paramètres!$A$1:$I$89,5,0)</f>
        <v>0</v>
      </c>
      <c r="DQ112" s="14" t="e">
        <f t="shared" si="97"/>
        <v>#NUM!</v>
      </c>
      <c r="DR112" s="22" t="e">
        <f t="shared" si="70"/>
        <v>#NUM!</v>
      </c>
      <c r="DS112" s="62" t="e">
        <f t="shared" si="71"/>
        <v>#NUM!</v>
      </c>
      <c r="DT112" s="62">
        <f ca="1">AVERAGE(OFFSET($DS$3,0,0,'Données projet'!$E$14+1,1))-AVERAGE(OFFSET($H$3,0,0,'Données projet'!$E$14+1,1))</f>
        <v>75.244137291704476</v>
      </c>
      <c r="DU112" s="62">
        <f t="shared" si="98"/>
        <v>366.065475656937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12.927299510731157</v>
      </c>
      <c r="EB112" s="23">
        <f>EXP(-LN(2)/25)*EB111+(1-EXP(-LN(2)/25))/(LN(2)/25)*Calculateur!DW112*Calculateur!DY112*VLOOKUP('Données projet'!$B$14,Paramètres!$A$1:$I$89,3,0)*0.475*44/12</f>
        <v>1.5531840544063711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14.480483565137527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4.2</v>
      </c>
      <c r="EJ112" s="13">
        <f>IF('Données projet'!$A$192&gt;35,EJ111+EI112-ER111,IF(A112&lt;'Données projet'!$A$192,$EG$205^A112,IF(A112='Données projet'!$A$192,'Données projet'!$B$192,EJ111+EI112-ER111)))</f>
        <v>279.79999999999995</v>
      </c>
      <c r="EK112" s="18">
        <f>EJ112*VLOOKUP('Données projet'!$B$15,Paramètres!$A$1:$I$89,3,0)*VLOOKUP('Données projet'!$B$15,Paramètres!$A$1:$I$89,5,0)</f>
        <v>270.62255999999996</v>
      </c>
      <c r="EL112" s="14">
        <f t="shared" si="99"/>
        <v>64.981374516988026</v>
      </c>
      <c r="EM112" s="22">
        <f t="shared" si="73"/>
        <v>584.51018595042069</v>
      </c>
      <c r="EN112" s="62">
        <f t="shared" si="74"/>
        <v>858.36228790052087</v>
      </c>
      <c r="EO112" s="62">
        <f ca="1">AVERAGE(OFFSET($EN$3,0,0,'Données projet'!$E$15+1,1))-AVERAGE(OFFSET($H$3,0,0,'Données projet'!$E$15+1,1))</f>
        <v>452.74627739105745</v>
      </c>
      <c r="EP112" s="62">
        <f t="shared" si="100"/>
        <v>281.80695725575106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4.2</v>
      </c>
      <c r="FE112" s="13">
        <f>IF('Données projet'!$A$218&gt;35,FE111+FD112-FM111,IF(A112&lt;'Données projet'!$A$218,$FB$205^A112,IF(A112='Données projet'!$A$218,'Données projet'!$B$218,FE111+FD112-FM111)))</f>
        <v>279.79999999999995</v>
      </c>
      <c r="FF112" s="18">
        <f>FE112*VLOOKUP('Données projet'!$B$16,Paramètres!$A$1:$I$89,3,0)*VLOOKUP('Données projet'!$B$16,Paramètres!$A$1:$I$89,5,0)</f>
        <v>301.17671999999993</v>
      </c>
      <c r="FG112" s="14">
        <f t="shared" si="101"/>
        <v>71.423092953709713</v>
      </c>
      <c r="FH112" s="22">
        <f t="shared" si="76"/>
        <v>648.94467422771106</v>
      </c>
      <c r="FI112" s="62">
        <f t="shared" si="77"/>
        <v>922.79677617781113</v>
      </c>
      <c r="FJ112" s="62">
        <f ca="1">AVERAGE(OFFSET($FI$3,0,0,'Données projet'!$E$16+1,1))-AVERAGE(OFFSET($H$3,0,0,'Données projet'!$E$16+1,1))</f>
        <v>492.72391755143508</v>
      </c>
      <c r="FK112" s="62">
        <f t="shared" si="102"/>
        <v>304.88554179994355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64.68693689548185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143.77000000000001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-5.6843418860808015E-14</v>
      </c>
      <c r="O113" s="14">
        <f>N113*VLOOKUP('Données projet'!$B$9,Paramètres!$A$1:$I$89,3,0)*VLOOKUP('Données projet'!$B$9,Paramètres!$A$1:$I$89,5,0)</f>
        <v>-5.1431925385259088E-14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388.8309693898596</v>
      </c>
      <c r="T113" s="62">
        <f t="shared" si="88"/>
        <v>549.06702041234382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2.1707808582222081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2.1707808582222081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>
        <f>AI113*VLOOKUP('Données projet'!$B$10,Paramètres!$A$1:$I$89,3,0)*VLOOKUP('Données projet'!$B$10,Paramètres!$A$1:$I$89,5,0)</f>
        <v>6.7984728957526396E-14</v>
      </c>
      <c r="AK113" s="14">
        <f t="shared" si="89"/>
        <v>1.0682447123141398E-12</v>
      </c>
      <c r="AL113" s="22">
        <f t="shared" si="58"/>
        <v>1.978932943548152E-12</v>
      </c>
      <c r="AM113" s="62">
        <f t="shared" si="59"/>
        <v>274.19005776109259</v>
      </c>
      <c r="AN113" s="62">
        <f ca="1">AVERAGE(OFFSET($AM$3,0,0,'Données projet'!$E$10+1,1))-AVERAGE(OFFSET($H$3,0,0,'Données projet'!$E$10+1,1))</f>
        <v>197.85998851681552</v>
      </c>
      <c r="AO113" s="62">
        <f t="shared" si="90"/>
        <v>474.54844785896239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10.935154237145561</v>
      </c>
      <c r="AV113" s="23">
        <f>EXP(-LN(2)/25)*AV112+(1-EXP(-LN(2)/25))/(LN(2)/25)*Calculateur!AQ113*Calculateur!AS113*VLOOKUP('Données projet'!$B$10,Paramètres!$A$1:$I$89,3,0)*0.475*44/12</f>
        <v>4.7824581760249343</v>
      </c>
      <c r="AW113" s="23">
        <f>EXP(-LN(2)/2)*AW112+(1-EXP(-LN(2)/2))/(LN(2)/2)*AQ113*AT113*VLOOKUP('Données projet'!$B$10,Paramètres!$A$1:$I$89,3,0)*0.475*44/12</f>
        <v>3.9624305642890877E-11</v>
      </c>
      <c r="AX113" s="23">
        <f t="shared" si="60"/>
        <v>15.717612413210121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1.1368683772161603E-13</v>
      </c>
      <c r="BE113" s="14">
        <f>BD113*VLOOKUP('Données projet'!$B$11,Paramètres!$A$1:$I$89,3,0)*VLOOKUP('Données projet'!$B$11,Paramètres!$A$1:$I$89,5,0)</f>
        <v>6.7984728957526396E-14</v>
      </c>
      <c r="BF113" s="14">
        <f t="shared" si="91"/>
        <v>1.0682447123141398E-12</v>
      </c>
      <c r="BG113" s="22">
        <f t="shared" si="61"/>
        <v>1.978932943548152E-12</v>
      </c>
      <c r="BH113" s="62">
        <f t="shared" si="62"/>
        <v>274.19005776109259</v>
      </c>
      <c r="BI113" s="62">
        <f ca="1">AVERAGE(OFFSET($BH$3,0,0,'Données projet'!$E$11+1,1))-AVERAGE(OFFSET($H$3,0,0,'Données projet'!$E$11+1,1))</f>
        <v>197.85998851681552</v>
      </c>
      <c r="BJ113" s="62">
        <f t="shared" si="92"/>
        <v>474.54844785896239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10.935154237145561</v>
      </c>
      <c r="BQ113" s="23">
        <f>EXP(-LN(2)/25)*BQ112+(1-EXP(-LN(2)/25))/(LN(2)/25)*Calculateur!BL113*Calculateur!BN113*VLOOKUP('Données projet'!$B$11,Paramètres!$A$1:$I$89,3,0)*0.475*44/12</f>
        <v>4.7824581760249343</v>
      </c>
      <c r="BR113" s="23">
        <f>EXP(-LN(2)/2)*BR112+(1-EXP(-LN(2)/2))/(LN(2)/2)*BL113*BO113*VLOOKUP('Données projet'!$B$11,Paramètres!$A$1:$I$89,3,0)*0.475*44/12</f>
        <v>3.9624305642890877E-11</v>
      </c>
      <c r="BS113" s="24">
        <f t="shared" si="63"/>
        <v>15.717612413210121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>
        <f>BY113*VLOOKUP('Données projet'!$B$12,Paramètres!$A$1:$I$89,3,0)*VLOOKUP('Données projet'!$B$12,Paramètres!$A$1:$I$89,5,0)</f>
        <v>0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72.97248599808384</v>
      </c>
      <c r="CE113" s="62">
        <f t="shared" si="94"/>
        <v>346.88163654003574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11.919230353212019</v>
      </c>
      <c r="CL113" s="23">
        <f>EXP(-LN(2)/25)*CL112+(1-EXP(-LN(2)/25))/(LN(2)/25)*Calculateur!CG113*Calculateur!CI113*VLOOKUP('Données projet'!$B$12,Paramètres!$A$1:$I$89,3,0)*0.475*44/12</f>
        <v>1.4207673967964149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13.339997750008433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>
        <f>CT113*VLOOKUP('Données projet'!$B$13,Paramètres!$A$1:$I$89,3,0)*VLOOKUP('Données projet'!$B$13,Paramètres!$A$1:$I$89,5,0)</f>
        <v>0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67.303283896086128</v>
      </c>
      <c r="CZ113" s="62">
        <f t="shared" si="96"/>
        <v>318.97925671653547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10.823590794281673</v>
      </c>
      <c r="DG113" s="23">
        <f>EXP(-LN(2)/25)*DG112+(1-EXP(-LN(2)/25))/(LN(2)/25)*Calculateur!DB113*Calculateur!DD113*VLOOKUP('Données projet'!$B$13,Paramètres!$A$1:$I$89,3,0)*0.475*44/12</f>
        <v>1.2901676082329545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12.113758402514627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>
        <f>DO113*VLOOKUP('Données projet'!$B$14,Paramètres!$A$1:$I$89,3,0)*VLOOKUP('Données projet'!$B$14,Paramètres!$A$1:$I$89,5,0)</f>
        <v>0</v>
      </c>
      <c r="DQ113" s="14" t="e">
        <f t="shared" si="97"/>
        <v>#NUM!</v>
      </c>
      <c r="DR113" s="22" t="e">
        <f t="shared" si="70"/>
        <v>#NUM!</v>
      </c>
      <c r="DS113" s="62" t="e">
        <f t="shared" si="71"/>
        <v>#NUM!</v>
      </c>
      <c r="DT113" s="62">
        <f ca="1">AVERAGE(OFFSET($DS$3,0,0,'Données projet'!$E$14+1,1))-AVERAGE(OFFSET($H$3,0,0,'Données projet'!$E$14+1,1))</f>
        <v>75.244137291704476</v>
      </c>
      <c r="DU113" s="62">
        <f t="shared" si="98"/>
        <v>366.065475656937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12.673803052199853</v>
      </c>
      <c r="EB113" s="23">
        <f>EXP(-LN(2)/25)*EB112+(1-EXP(-LN(2)/25))/(LN(2)/25)*Calculateur!DW113*Calculateur!DY113*VLOOKUP('Données projet'!$B$14,Paramètres!$A$1:$I$89,3,0)*0.475*44/12</f>
        <v>1.5107121547602294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14.184515206960082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284</v>
      </c>
      <c r="EH113" s="13">
        <f>VLOOKUP(A113,'Données projet'!$A$191:$I$211,9,0)</f>
        <v>4.2</v>
      </c>
      <c r="EI113" s="13">
        <f t="array" ref="EI113">INDEX(EH:EH,MIN(IF(ISNUMBER(EH113:EH309),ROW(EH113:EH309),"")))</f>
        <v>4.2</v>
      </c>
      <c r="EJ113" s="13">
        <f>IF('Données projet'!$A$192&gt;35,EJ112+EI113-ER112,IF(A113&lt;'Données projet'!$A$192,$EG$205^A113,IF(A113='Données projet'!$A$192,'Données projet'!$B$192,EJ112+EI113-ER112)))</f>
        <v>283.99999999999994</v>
      </c>
      <c r="EK113" s="18">
        <f>EJ113*VLOOKUP('Données projet'!$B$15,Paramètres!$A$1:$I$89,3,0)*VLOOKUP('Données projet'!$B$15,Paramètres!$A$1:$I$89,5,0)</f>
        <v>274.68479999999994</v>
      </c>
      <c r="EL113" s="14">
        <f t="shared" si="99"/>
        <v>65.842504497456659</v>
      </c>
      <c r="EM113" s="22">
        <f t="shared" si="73"/>
        <v>593.08505533307027</v>
      </c>
      <c r="EN113" s="62">
        <f t="shared" si="74"/>
        <v>867.27511309416082</v>
      </c>
      <c r="EO113" s="62">
        <f ca="1">AVERAGE(OFFSET($EN$3,0,0,'Données projet'!$E$15+1,1))-AVERAGE(OFFSET($H$3,0,0,'Données projet'!$E$15+1,1))</f>
        <v>452.74627739105745</v>
      </c>
      <c r="EP113" s="62">
        <f t="shared" si="100"/>
        <v>281.80695725575106</v>
      </c>
      <c r="EQ113" s="16">
        <f>IF(ISNA(VLOOKUP(A113,'Données projet'!$A$191:$I$211,3,0)),0,VLOOKUP(A113,'Données projet'!$A$191:$I$211,3,0))</f>
        <v>18</v>
      </c>
      <c r="ER113" s="16">
        <f>IF(ISNA(VLOOKUP(A113,'Données projet'!$A$191:$I$211,4,0)),0,VLOOKUP(A113,'Données projet'!$A$191:$I$211,4,0))</f>
        <v>19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>
        <f>VLOOKUP(A113,'Données projet'!$A$217:$I$237,2,0)</f>
        <v>284</v>
      </c>
      <c r="FC113" s="13">
        <f>VLOOKUP(A113,'Données projet'!$A$217:$I$237,9,0)</f>
        <v>4.2</v>
      </c>
      <c r="FD113" s="13">
        <f t="array" ref="FD113">INDEX(FC:FC,MIN(IF(ISNUMBER(FC113:FC309),ROW(FC113:FC309),"")))</f>
        <v>4.2</v>
      </c>
      <c r="FE113" s="13">
        <f>IF('Données projet'!$A$218&gt;35,FE112+FD113-FM112,IF(A113&lt;'Données projet'!$A$218,$FB$205^A113,IF(A113='Données projet'!$A$218,'Données projet'!$B$218,FE112+FD113-FM112)))</f>
        <v>283.99999999999994</v>
      </c>
      <c r="FF113" s="18">
        <f>FE113*VLOOKUP('Données projet'!$B$16,Paramètres!$A$1:$I$89,3,0)*VLOOKUP('Données projet'!$B$16,Paramètres!$A$1:$I$89,5,0)</f>
        <v>305.69759999999991</v>
      </c>
      <c r="FG113" s="14">
        <f t="shared" si="101"/>
        <v>72.369588270212361</v>
      </c>
      <c r="FH113" s="22">
        <f t="shared" si="76"/>
        <v>658.46701957061964</v>
      </c>
      <c r="FI113" s="62">
        <f t="shared" si="77"/>
        <v>932.6570773317103</v>
      </c>
      <c r="FJ113" s="62">
        <f ca="1">AVERAGE(OFFSET($FI$3,0,0,'Données projet'!$E$16+1,1))-AVERAGE(OFFSET($H$3,0,0,'Données projet'!$E$16+1,1))</f>
        <v>492.72391755143508</v>
      </c>
      <c r="FK113" s="62">
        <f t="shared" si="102"/>
        <v>304.88554179994355</v>
      </c>
      <c r="FL113" s="16">
        <f>IF(ISNA(VLOOKUP(A113,'Données projet'!$A$217:$I$237,3,0)),0,VLOOKUP(A113,'Données projet'!$A$217:$I$237,3,0))</f>
        <v>18</v>
      </c>
      <c r="FM113" s="16">
        <f>IF(ISNA(VLOOKUP(A113,'Données projet'!$A$217:$I$237,4,0)),0,VLOOKUP(A113,'Données projet'!$A$217:$I$237,4,0))</f>
        <v>19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64.779106662115623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143.77000000000001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-5.6843418860808015E-14</v>
      </c>
      <c r="O114" s="14">
        <f>N114*VLOOKUP('Données projet'!$B$9,Paramètres!$A$1:$I$89,3,0)*VLOOKUP('Données projet'!$B$9,Paramètres!$A$1:$I$89,5,0)</f>
        <v>-5.1431925385259088E-14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388.8309693898596</v>
      </c>
      <c r="T114" s="62">
        <f t="shared" si="88"/>
        <v>549.06702041234382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2.1282131696380553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2.1282131696380553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>
        <f>AI114*VLOOKUP('Données projet'!$B$10,Paramètres!$A$1:$I$89,3,0)*VLOOKUP('Données projet'!$B$10,Paramètres!$A$1:$I$89,5,0)</f>
        <v>6.7984728957526396E-14</v>
      </c>
      <c r="AK114" s="14">
        <f t="shared" si="89"/>
        <v>1.0682447123141398E-12</v>
      </c>
      <c r="AL114" s="22">
        <f t="shared" si="58"/>
        <v>1.978932943548152E-12</v>
      </c>
      <c r="AM114" s="62">
        <f t="shared" si="59"/>
        <v>274.52215079431841</v>
      </c>
      <c r="AN114" s="62">
        <f ca="1">AVERAGE(OFFSET($AM$3,0,0,'Données projet'!$E$10+1,1))-AVERAGE(OFFSET($H$3,0,0,'Données projet'!$E$10+1,1))</f>
        <v>197.85998851681552</v>
      </c>
      <c r="AO114" s="62">
        <f t="shared" si="90"/>
        <v>474.54844785896239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10.720722532340634</v>
      </c>
      <c r="AV114" s="23">
        <f>EXP(-LN(2)/25)*AV113+(1-EXP(-LN(2)/25))/(LN(2)/25)*Calculateur!AQ114*Calculateur!AS114*VLOOKUP('Données projet'!$B$10,Paramètres!$A$1:$I$89,3,0)*0.475*44/12</f>
        <v>4.6516816057029873</v>
      </c>
      <c r="AW114" s="23">
        <f>EXP(-LN(2)/2)*AW113+(1-EXP(-LN(2)/2))/(LN(2)/2)*AQ114*AT114*VLOOKUP('Données projet'!$B$10,Paramètres!$A$1:$I$89,3,0)*0.475*44/12</f>
        <v>2.801861521989652E-11</v>
      </c>
      <c r="AX114" s="23">
        <f t="shared" si="60"/>
        <v>15.372404138071639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1.1368683772161603E-13</v>
      </c>
      <c r="BE114" s="14">
        <f>BD114*VLOOKUP('Données projet'!$B$11,Paramètres!$A$1:$I$89,3,0)*VLOOKUP('Données projet'!$B$11,Paramètres!$A$1:$I$89,5,0)</f>
        <v>6.7984728957526396E-14</v>
      </c>
      <c r="BF114" s="14">
        <f t="shared" si="91"/>
        <v>1.0682447123141398E-12</v>
      </c>
      <c r="BG114" s="22">
        <f t="shared" si="61"/>
        <v>1.978932943548152E-12</v>
      </c>
      <c r="BH114" s="62">
        <f t="shared" si="62"/>
        <v>274.52215079431841</v>
      </c>
      <c r="BI114" s="62">
        <f ca="1">AVERAGE(OFFSET($BH$3,0,0,'Données projet'!$E$11+1,1))-AVERAGE(OFFSET($H$3,0,0,'Données projet'!$E$11+1,1))</f>
        <v>197.85998851681552</v>
      </c>
      <c r="BJ114" s="62">
        <f t="shared" si="92"/>
        <v>474.54844785896239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10.720722532340634</v>
      </c>
      <c r="BQ114" s="23">
        <f>EXP(-LN(2)/25)*BQ113+(1-EXP(-LN(2)/25))/(LN(2)/25)*Calculateur!BL114*Calculateur!BN114*VLOOKUP('Données projet'!$B$11,Paramètres!$A$1:$I$89,3,0)*0.475*44/12</f>
        <v>4.6516816057029873</v>
      </c>
      <c r="BR114" s="23">
        <f>EXP(-LN(2)/2)*BR113+(1-EXP(-LN(2)/2))/(LN(2)/2)*BL114*BO114*VLOOKUP('Données projet'!$B$11,Paramètres!$A$1:$I$89,3,0)*0.475*44/12</f>
        <v>2.801861521989652E-11</v>
      </c>
      <c r="BS114" s="24">
        <f t="shared" si="63"/>
        <v>15.372404138071639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>
        <f>BY114*VLOOKUP('Données projet'!$B$12,Paramètres!$A$1:$I$89,3,0)*VLOOKUP('Données projet'!$B$12,Paramètres!$A$1:$I$89,5,0)</f>
        <v>0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72.97248599808384</v>
      </c>
      <c r="CE114" s="62">
        <f t="shared" si="94"/>
        <v>346.88163654003574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11.685501515998192</v>
      </c>
      <c r="CL114" s="23">
        <f>EXP(-LN(2)/25)*CL113+(1-EXP(-LN(2)/25))/(LN(2)/25)*Calculateur!CG114*Calculateur!CI114*VLOOKUP('Données projet'!$B$12,Paramètres!$A$1:$I$89,3,0)*0.475*44/12</f>
        <v>1.3819164376161068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13.067417953614299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>
        <f>CT114*VLOOKUP('Données projet'!$B$13,Paramètres!$A$1:$I$89,3,0)*VLOOKUP('Données projet'!$B$13,Paramètres!$A$1:$I$89,5,0)</f>
        <v>0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67.303283896086128</v>
      </c>
      <c r="CZ114" s="62">
        <f t="shared" si="96"/>
        <v>318.97925671653547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10.611346780544325</v>
      </c>
      <c r="DG114" s="23">
        <f>EXP(-LN(2)/25)*DG113+(1-EXP(-LN(2)/25))/(LN(2)/25)*Calculateur!DB114*Calculateur!DD114*VLOOKUP('Données projet'!$B$13,Paramètres!$A$1:$I$89,3,0)*0.475*44/12</f>
        <v>1.2548879071388586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11.866234687683184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>
        <f>DO114*VLOOKUP('Données projet'!$B$14,Paramètres!$A$1:$I$89,3,0)*VLOOKUP('Données projet'!$B$14,Paramètres!$A$1:$I$89,5,0)</f>
        <v>0</v>
      </c>
      <c r="DQ114" s="14" t="e">
        <f t="shared" si="97"/>
        <v>#NUM!</v>
      </c>
      <c r="DR114" s="22" t="e">
        <f t="shared" si="70"/>
        <v>#NUM!</v>
      </c>
      <c r="DS114" s="62" t="e">
        <f t="shared" si="71"/>
        <v>#NUM!</v>
      </c>
      <c r="DT114" s="62">
        <f ca="1">AVERAGE(OFFSET($DS$3,0,0,'Données projet'!$E$14+1,1))-AVERAGE(OFFSET($H$3,0,0,'Données projet'!$E$14+1,1))</f>
        <v>75.244137291704476</v>
      </c>
      <c r="DU114" s="62">
        <f t="shared" si="98"/>
        <v>366.065475656937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12.425277504602777</v>
      </c>
      <c r="EB114" s="23">
        <f>EXP(-LN(2)/25)*EB113+(1-EXP(-LN(2)/25))/(LN(2)/25)*Calculateur!DW114*Calculateur!DY114*VLOOKUP('Données projet'!$B$14,Paramètres!$A$1:$I$89,3,0)*0.475*44/12</f>
        <v>1.4694016514434114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13.894679156046188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3.8</v>
      </c>
      <c r="EJ114" s="13">
        <f>IF('Données projet'!$A$192&gt;35,EJ113+EI114-ER113,IF(A114&lt;'Données projet'!$A$192,$EG$205^A114,IF(A114='Données projet'!$A$192,'Données projet'!$B$192,EJ113+EI114-ER113)))</f>
        <v>268.79999999999995</v>
      </c>
      <c r="EK114" s="18">
        <f>EJ114*VLOOKUP('Données projet'!$B$15,Paramètres!$A$1:$I$89,3,0)*VLOOKUP('Données projet'!$B$15,Paramètres!$A$1:$I$89,5,0)</f>
        <v>259.98335999999995</v>
      </c>
      <c r="EL114" s="14">
        <f t="shared" si="99"/>
        <v>62.718830967388243</v>
      </c>
      <c r="EM114" s="22">
        <f t="shared" si="73"/>
        <v>562.03964926820106</v>
      </c>
      <c r="EN114" s="62">
        <f t="shared" si="74"/>
        <v>836.56180006251748</v>
      </c>
      <c r="EO114" s="62">
        <f ca="1">AVERAGE(OFFSET($EN$3,0,0,'Données projet'!$E$15+1,1))-AVERAGE(OFFSET($H$3,0,0,'Données projet'!$E$15+1,1))</f>
        <v>452.74627739105745</v>
      </c>
      <c r="EP114" s="62">
        <f t="shared" si="100"/>
        <v>281.80695725575106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3.8</v>
      </c>
      <c r="FE114" s="13">
        <f>IF('Données projet'!$A$218&gt;35,FE113+FD114-FM113,IF(A114&lt;'Données projet'!$A$218,$FB$205^A114,IF(A114='Données projet'!$A$218,'Données projet'!$B$218,FE113+FD114-FM113)))</f>
        <v>268.79999999999995</v>
      </c>
      <c r="FF114" s="18">
        <f>FE114*VLOOKUP('Données projet'!$B$16,Paramètres!$A$1:$I$89,3,0)*VLOOKUP('Données projet'!$B$16,Paramètres!$A$1:$I$89,5,0)</f>
        <v>289.33631999999994</v>
      </c>
      <c r="FG114" s="14">
        <f t="shared" si="101"/>
        <v>68.936259465559303</v>
      </c>
      <c r="FH114" s="22">
        <f t="shared" si="76"/>
        <v>623.99140923584901</v>
      </c>
      <c r="FI114" s="62">
        <f t="shared" si="77"/>
        <v>898.51356003016542</v>
      </c>
      <c r="FJ114" s="62">
        <f ca="1">AVERAGE(OFFSET($FI$3,0,0,'Données projet'!$E$16+1,1))-AVERAGE(OFFSET($H$3,0,0,'Données projet'!$E$16+1,1))</f>
        <v>492.72391755143508</v>
      </c>
      <c r="FK114" s="62">
        <f t="shared" si="102"/>
        <v>304.88554179994355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64.86967748935902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143.77000000000001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-5.6843418860808015E-14</v>
      </c>
      <c r="O115" s="14">
        <f>N115*VLOOKUP('Données projet'!$B$9,Paramètres!$A$1:$I$89,3,0)*VLOOKUP('Données projet'!$B$9,Paramètres!$A$1:$I$89,5,0)</f>
        <v>-5.1431925385259088E-14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388.8309693898596</v>
      </c>
      <c r="T115" s="62">
        <f t="shared" si="88"/>
        <v>549.06702041234382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2.0864802074633118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2.0864802074633118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>
        <f>AI115*VLOOKUP('Données projet'!$B$10,Paramètres!$A$1:$I$89,3,0)*VLOOKUP('Données projet'!$B$10,Paramètres!$A$1:$I$89,5,0)</f>
        <v>6.7984728957526396E-14</v>
      </c>
      <c r="AK115" s="14">
        <f t="shared" si="89"/>
        <v>1.0682447123141398E-12</v>
      </c>
      <c r="AL115" s="22">
        <f t="shared" si="58"/>
        <v>1.978932943548152E-12</v>
      </c>
      <c r="AM115" s="62">
        <f t="shared" si="59"/>
        <v>274.8484827558666</v>
      </c>
      <c r="AN115" s="62">
        <f ca="1">AVERAGE(OFFSET($AM$3,0,0,'Données projet'!$E$10+1,1))-AVERAGE(OFFSET($H$3,0,0,'Données projet'!$E$10+1,1))</f>
        <v>197.85998851681552</v>
      </c>
      <c r="AO115" s="62">
        <f t="shared" si="90"/>
        <v>474.54844785896239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10.510495702476506</v>
      </c>
      <c r="AV115" s="23">
        <f>EXP(-LN(2)/25)*AV114+(1-EXP(-LN(2)/25))/(LN(2)/25)*Calculateur!AQ115*Calculateur!AS115*VLOOKUP('Données projet'!$B$10,Paramètres!$A$1:$I$89,3,0)*0.475*44/12</f>
        <v>4.5244811275737353</v>
      </c>
      <c r="AW115" s="23">
        <f>EXP(-LN(2)/2)*AW114+(1-EXP(-LN(2)/2))/(LN(2)/2)*AQ115*AT115*VLOOKUP('Données projet'!$B$10,Paramètres!$A$1:$I$89,3,0)*0.475*44/12</f>
        <v>1.9812152821445439E-11</v>
      </c>
      <c r="AX115" s="23">
        <f t="shared" si="60"/>
        <v>15.034976830070052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1.1368683772161603E-13</v>
      </c>
      <c r="BE115" s="14">
        <f>BD115*VLOOKUP('Données projet'!$B$11,Paramètres!$A$1:$I$89,3,0)*VLOOKUP('Données projet'!$B$11,Paramètres!$A$1:$I$89,5,0)</f>
        <v>6.7984728957526396E-14</v>
      </c>
      <c r="BF115" s="14">
        <f t="shared" si="91"/>
        <v>1.0682447123141398E-12</v>
      </c>
      <c r="BG115" s="22">
        <f t="shared" si="61"/>
        <v>1.978932943548152E-12</v>
      </c>
      <c r="BH115" s="62">
        <f t="shared" si="62"/>
        <v>274.8484827558666</v>
      </c>
      <c r="BI115" s="62">
        <f ca="1">AVERAGE(OFFSET($BH$3,0,0,'Données projet'!$E$11+1,1))-AVERAGE(OFFSET($H$3,0,0,'Données projet'!$E$11+1,1))</f>
        <v>197.85998851681552</v>
      </c>
      <c r="BJ115" s="62">
        <f t="shared" si="92"/>
        <v>474.54844785896239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10.510495702476506</v>
      </c>
      <c r="BQ115" s="23">
        <f>EXP(-LN(2)/25)*BQ114+(1-EXP(-LN(2)/25))/(LN(2)/25)*Calculateur!BL115*Calculateur!BN115*VLOOKUP('Données projet'!$B$11,Paramètres!$A$1:$I$89,3,0)*0.475*44/12</f>
        <v>4.5244811275737353</v>
      </c>
      <c r="BR115" s="23">
        <f>EXP(-LN(2)/2)*BR114+(1-EXP(-LN(2)/2))/(LN(2)/2)*BL115*BO115*VLOOKUP('Données projet'!$B$11,Paramètres!$A$1:$I$89,3,0)*0.475*44/12</f>
        <v>1.9812152821445439E-11</v>
      </c>
      <c r="BS115" s="24">
        <f t="shared" si="63"/>
        <v>15.034976830070052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>
        <f>BY115*VLOOKUP('Données projet'!$B$12,Paramètres!$A$1:$I$89,3,0)*VLOOKUP('Données projet'!$B$12,Paramètres!$A$1:$I$89,5,0)</f>
        <v>0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72.97248599808384</v>
      </c>
      <c r="CE115" s="62">
        <f t="shared" si="94"/>
        <v>346.88163654003574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11.456355958721614</v>
      </c>
      <c r="CL115" s="23">
        <f>EXP(-LN(2)/25)*CL114+(1-EXP(-LN(2)/25))/(LN(2)/25)*Calculateur!CG115*Calculateur!CI115*VLOOKUP('Données projet'!$B$12,Paramètres!$A$1:$I$89,3,0)*0.475*44/12</f>
        <v>1.3441278599576674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12.800483818679282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>
        <f>CT115*VLOOKUP('Données projet'!$B$13,Paramètres!$A$1:$I$89,3,0)*VLOOKUP('Données projet'!$B$13,Paramètres!$A$1:$I$89,5,0)</f>
        <v>0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67.303283896086128</v>
      </c>
      <c r="CZ115" s="62">
        <f t="shared" si="96"/>
        <v>318.97925671653547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10.403264742460303</v>
      </c>
      <c r="DG115" s="23">
        <f>EXP(-LN(2)/25)*DG114+(1-EXP(-LN(2)/25))/(LN(2)/25)*Calculateur!DB115*Calculateur!DD115*VLOOKUP('Données projet'!$B$13,Paramètres!$A$1:$I$89,3,0)*0.475*44/12</f>
        <v>1.2205729313264595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11.623837673786763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>
        <f>DO115*VLOOKUP('Données projet'!$B$14,Paramètres!$A$1:$I$89,3,0)*VLOOKUP('Données projet'!$B$14,Paramètres!$A$1:$I$89,5,0)</f>
        <v>0</v>
      </c>
      <c r="DQ115" s="14" t="e">
        <f t="shared" si="97"/>
        <v>#NUM!</v>
      </c>
      <c r="DR115" s="22" t="e">
        <f t="shared" si="70"/>
        <v>#NUM!</v>
      </c>
      <c r="DS115" s="62" t="e">
        <f t="shared" si="71"/>
        <v>#NUM!</v>
      </c>
      <c r="DT115" s="62">
        <f ca="1">AVERAGE(OFFSET($DS$3,0,0,'Données projet'!$E$14+1,1))-AVERAGE(OFFSET($H$3,0,0,'Données projet'!$E$14+1,1))</f>
        <v>75.244137291704476</v>
      </c>
      <c r="DU115" s="62">
        <f t="shared" si="98"/>
        <v>366.065475656937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12.181625391408463</v>
      </c>
      <c r="EB115" s="23">
        <f>EXP(-LN(2)/25)*EB114+(1-EXP(-LN(2)/25))/(LN(2)/25)*Calculateur!DW115*Calculateur!DY115*VLOOKUP('Données projet'!$B$14,Paramètres!$A$1:$I$89,3,0)*0.475*44/12</f>
        <v>1.4292207860122168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13.610846177420679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3.8</v>
      </c>
      <c r="EJ115" s="13">
        <f>IF('Données projet'!$A$192&gt;35,EJ114+EI115-ER114,IF(A115&lt;'Données projet'!$A$192,$EG$205^A115,IF(A115='Données projet'!$A$192,'Données projet'!$B$192,EJ114+EI115-ER114)))</f>
        <v>272.59999999999997</v>
      </c>
      <c r="EK115" s="18">
        <f>EJ115*VLOOKUP('Données projet'!$B$15,Paramètres!$A$1:$I$89,3,0)*VLOOKUP('Données projet'!$B$15,Paramètres!$A$1:$I$89,5,0)</f>
        <v>263.65871999999996</v>
      </c>
      <c r="EL115" s="14">
        <f t="shared" si="99"/>
        <v>63.501633804581523</v>
      </c>
      <c r="EM115" s="22">
        <f t="shared" si="73"/>
        <v>569.80428287631264</v>
      </c>
      <c r="EN115" s="62">
        <f t="shared" si="74"/>
        <v>844.65276563217731</v>
      </c>
      <c r="EO115" s="62">
        <f ca="1">AVERAGE(OFFSET($EN$3,0,0,'Données projet'!$E$15+1,1))-AVERAGE(OFFSET($H$3,0,0,'Données projet'!$E$15+1,1))</f>
        <v>452.74627739105745</v>
      </c>
      <c r="EP115" s="62">
        <f t="shared" si="100"/>
        <v>281.80695725575106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3.8</v>
      </c>
      <c r="FE115" s="13">
        <f>IF('Données projet'!$A$218&gt;35,FE114+FD115-FM114,IF(A115&lt;'Données projet'!$A$218,$FB$205^A115,IF(A115='Données projet'!$A$218,'Données projet'!$B$218,FE114+FD115-FM114)))</f>
        <v>272.59999999999997</v>
      </c>
      <c r="FF115" s="18">
        <f>FE115*VLOOKUP('Données projet'!$B$16,Paramètres!$A$1:$I$89,3,0)*VLOOKUP('Données projet'!$B$16,Paramètres!$A$1:$I$89,5,0)</f>
        <v>293.42663999999996</v>
      </c>
      <c r="FG115" s="14">
        <f t="shared" si="101"/>
        <v>69.796662930719478</v>
      </c>
      <c r="FH115" s="22">
        <f t="shared" si="76"/>
        <v>632.61391927100306</v>
      </c>
      <c r="FI115" s="62">
        <f t="shared" si="77"/>
        <v>907.46240202686772</v>
      </c>
      <c r="FJ115" s="62">
        <f ca="1">AVERAGE(OFFSET($FI$3,0,0,'Données projet'!$E$16+1,1))-AVERAGE(OFFSET($H$3,0,0,'Données projet'!$E$16+1,1))</f>
        <v>492.72391755143508</v>
      </c>
      <c r="FK115" s="62">
        <f t="shared" si="102"/>
        <v>304.88554179994355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64.958677115235801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143.77000000000001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-5.6843418860808015E-14</v>
      </c>
      <c r="O116" s="14">
        <f>N116*VLOOKUP('Données projet'!$B$9,Paramètres!$A$1:$I$89,3,0)*VLOOKUP('Données projet'!$B$9,Paramètres!$A$1:$I$89,5,0)</f>
        <v>-5.1431925385259088E-14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388.8309693898596</v>
      </c>
      <c r="T116" s="62">
        <f t="shared" si="88"/>
        <v>549.06702041234382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2.0455656032222214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2.0455656032222214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>
        <f>AI116*VLOOKUP('Données projet'!$B$10,Paramètres!$A$1:$I$89,3,0)*VLOOKUP('Données projet'!$B$10,Paramètres!$A$1:$I$89,5,0)</f>
        <v>6.7984728957526396E-14</v>
      </c>
      <c r="AK116" s="14">
        <f t="shared" si="89"/>
        <v>1.0682447123141398E-12</v>
      </c>
      <c r="AL116" s="22">
        <f t="shared" si="58"/>
        <v>1.978932943548152E-12</v>
      </c>
      <c r="AM116" s="62">
        <f t="shared" si="59"/>
        <v>275.16915358745081</v>
      </c>
      <c r="AN116" s="62">
        <f ca="1">AVERAGE(OFFSET($AM$3,0,0,'Données projet'!$E$10+1,1))-AVERAGE(OFFSET($H$3,0,0,'Données projet'!$E$10+1,1))</f>
        <v>197.85998851681552</v>
      </c>
      <c r="AO116" s="62">
        <f t="shared" si="90"/>
        <v>474.54844785896239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10.304391292520309</v>
      </c>
      <c r="AV116" s="23">
        <f>EXP(-LN(2)/25)*AV115+(1-EXP(-LN(2)/25))/(LN(2)/25)*Calculateur!AQ116*Calculateur!AS116*VLOOKUP('Données projet'!$B$10,Paramètres!$A$1:$I$89,3,0)*0.475*44/12</f>
        <v>4.4007589532081095</v>
      </c>
      <c r="AW116" s="23">
        <f>EXP(-LN(2)/2)*AW115+(1-EXP(-LN(2)/2))/(LN(2)/2)*AQ116*AT116*VLOOKUP('Données projet'!$B$10,Paramètres!$A$1:$I$89,3,0)*0.475*44/12</f>
        <v>1.400930760994826E-11</v>
      </c>
      <c r="AX116" s="23">
        <f t="shared" si="60"/>
        <v>14.705150245742429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1.1368683772161603E-13</v>
      </c>
      <c r="BE116" s="14">
        <f>BD116*VLOOKUP('Données projet'!$B$11,Paramètres!$A$1:$I$89,3,0)*VLOOKUP('Données projet'!$B$11,Paramètres!$A$1:$I$89,5,0)</f>
        <v>6.7984728957526396E-14</v>
      </c>
      <c r="BF116" s="14">
        <f t="shared" si="91"/>
        <v>1.0682447123141398E-12</v>
      </c>
      <c r="BG116" s="22">
        <f t="shared" si="61"/>
        <v>1.978932943548152E-12</v>
      </c>
      <c r="BH116" s="62">
        <f t="shared" si="62"/>
        <v>275.16915358745081</v>
      </c>
      <c r="BI116" s="62">
        <f ca="1">AVERAGE(OFFSET($BH$3,0,0,'Données projet'!$E$11+1,1))-AVERAGE(OFFSET($H$3,0,0,'Données projet'!$E$11+1,1))</f>
        <v>197.85998851681552</v>
      </c>
      <c r="BJ116" s="62">
        <f t="shared" si="92"/>
        <v>474.54844785896239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10.304391292520309</v>
      </c>
      <c r="BQ116" s="23">
        <f>EXP(-LN(2)/25)*BQ115+(1-EXP(-LN(2)/25))/(LN(2)/25)*Calculateur!BL116*Calculateur!BN116*VLOOKUP('Données projet'!$B$11,Paramètres!$A$1:$I$89,3,0)*0.475*44/12</f>
        <v>4.4007589532081095</v>
      </c>
      <c r="BR116" s="23">
        <f>EXP(-LN(2)/2)*BR115+(1-EXP(-LN(2)/2))/(LN(2)/2)*BL116*BO116*VLOOKUP('Données projet'!$B$11,Paramètres!$A$1:$I$89,3,0)*0.475*44/12</f>
        <v>1.400930760994826E-11</v>
      </c>
      <c r="BS116" s="24">
        <f t="shared" si="63"/>
        <v>14.705150245742429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>
        <f>BY116*VLOOKUP('Données projet'!$B$12,Paramètres!$A$1:$I$89,3,0)*VLOOKUP('Données projet'!$B$12,Paramètres!$A$1:$I$89,5,0)</f>
        <v>0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72.97248599808384</v>
      </c>
      <c r="CE116" s="62">
        <f t="shared" si="94"/>
        <v>346.88163654003574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11.231703806058242</v>
      </c>
      <c r="CL116" s="23">
        <f>EXP(-LN(2)/25)*CL115+(1-EXP(-LN(2)/25))/(LN(2)/25)*Calculateur!CG116*Calculateur!CI116*VLOOKUP('Données projet'!$B$12,Paramètres!$A$1:$I$89,3,0)*0.475*44/12</f>
        <v>1.3073726129425129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12.539076419000756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>
        <f>CT116*VLOOKUP('Données projet'!$B$13,Paramètres!$A$1:$I$89,3,0)*VLOOKUP('Données projet'!$B$13,Paramètres!$A$1:$I$89,5,0)</f>
        <v>0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67.303283896086128</v>
      </c>
      <c r="CZ116" s="62">
        <f t="shared" si="96"/>
        <v>318.97925671653547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10.199263066225596</v>
      </c>
      <c r="DG116" s="23">
        <f>EXP(-LN(2)/25)*DG115+(1-EXP(-LN(2)/25))/(LN(2)/25)*Calculateur!DB116*Calculateur!DD116*VLOOKUP('Données projet'!$B$13,Paramètres!$A$1:$I$89,3,0)*0.475*44/12</f>
        <v>1.1871963003321966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11.386459366557792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>
        <f>DO116*VLOOKUP('Données projet'!$B$14,Paramètres!$A$1:$I$89,3,0)*VLOOKUP('Données projet'!$B$14,Paramètres!$A$1:$I$89,5,0)</f>
        <v>0</v>
      </c>
      <c r="DQ116" s="14" t="e">
        <f t="shared" si="97"/>
        <v>#NUM!</v>
      </c>
      <c r="DR116" s="22" t="e">
        <f t="shared" si="70"/>
        <v>#NUM!</v>
      </c>
      <c r="DS116" s="62" t="e">
        <f t="shared" si="71"/>
        <v>#NUM!</v>
      </c>
      <c r="DT116" s="62">
        <f ca="1">AVERAGE(OFFSET($DS$3,0,0,'Données projet'!$E$14+1,1))-AVERAGE(OFFSET($H$3,0,0,'Données projet'!$E$14+1,1))</f>
        <v>75.244137291704476</v>
      </c>
      <c r="DU116" s="62">
        <f t="shared" si="98"/>
        <v>366.065475656937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11.942751147540775</v>
      </c>
      <c r="EB116" s="23">
        <f>EXP(-LN(2)/25)*EB115+(1-EXP(-LN(2)/25))/(LN(2)/25)*Calculateur!DW116*Calculateur!DY116*VLOOKUP('Données projet'!$B$14,Paramètres!$A$1:$I$89,3,0)*0.475*44/12</f>
        <v>1.390138668459258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13.332889816000034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3.8</v>
      </c>
      <c r="EJ116" s="13">
        <f>IF('Données projet'!$A$192&gt;35,EJ115+EI116-ER115,IF(A116&lt;'Données projet'!$A$192,$EG$205^A116,IF(A116='Données projet'!$A$192,'Données projet'!$B$192,EJ115+EI116-ER115)))</f>
        <v>276.39999999999998</v>
      </c>
      <c r="EK116" s="18">
        <f>EJ116*VLOOKUP('Données projet'!$B$15,Paramètres!$A$1:$I$89,3,0)*VLOOKUP('Données projet'!$B$15,Paramètres!$A$1:$I$89,5,0)</f>
        <v>267.33408000000003</v>
      </c>
      <c r="EL116" s="14">
        <f t="shared" si="99"/>
        <v>64.283167454543104</v>
      </c>
      <c r="EM116" s="22">
        <f t="shared" si="73"/>
        <v>577.56670598332937</v>
      </c>
      <c r="EN116" s="62">
        <f t="shared" si="74"/>
        <v>852.73585957077819</v>
      </c>
      <c r="EO116" s="62">
        <f ca="1">AVERAGE(OFFSET($EN$3,0,0,'Données projet'!$E$15+1,1))-AVERAGE(OFFSET($H$3,0,0,'Données projet'!$E$15+1,1))</f>
        <v>452.74627739105745</v>
      </c>
      <c r="EP116" s="62">
        <f t="shared" si="100"/>
        <v>281.80695725575106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3.8</v>
      </c>
      <c r="FE116" s="13">
        <f>IF('Données projet'!$A$218&gt;35,FE115+FD116-FM115,IF(A116&lt;'Données projet'!$A$218,$FB$205^A116,IF(A116='Données projet'!$A$218,'Données projet'!$B$218,FE115+FD116-FM115)))</f>
        <v>276.39999999999998</v>
      </c>
      <c r="FF116" s="18">
        <f>FE116*VLOOKUP('Données projet'!$B$16,Paramètres!$A$1:$I$89,3,0)*VLOOKUP('Données projet'!$B$16,Paramètres!$A$1:$I$89,5,0)</f>
        <v>297.51695999999998</v>
      </c>
      <c r="FG116" s="14">
        <f t="shared" si="101"/>
        <v>70.6556713918757</v>
      </c>
      <c r="FH116" s="22">
        <f t="shared" si="76"/>
        <v>641.23399967418345</v>
      </c>
      <c r="FI116" s="62">
        <f t="shared" si="77"/>
        <v>916.40315326163227</v>
      </c>
      <c r="FJ116" s="62">
        <f ca="1">AVERAGE(OFFSET($FI$3,0,0,'Données projet'!$E$16+1,1))-AVERAGE(OFFSET($H$3,0,0,'Données projet'!$E$16+1,1))</f>
        <v>492.72391755143508</v>
      </c>
      <c r="FK116" s="62">
        <f t="shared" si="102"/>
        <v>304.88554179994355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65.046132796576956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143.77000000000001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-5.6843418860808015E-14</v>
      </c>
      <c r="O117" s="14">
        <f>N117*VLOOKUP('Données projet'!$B$9,Paramètres!$A$1:$I$89,3,0)*VLOOKUP('Données projet'!$B$9,Paramètres!$A$1:$I$89,5,0)</f>
        <v>-5.1431925385259088E-14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388.8309693898596</v>
      </c>
      <c r="T117" s="62">
        <f t="shared" si="88"/>
        <v>549.06702041234382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2.0054533094148543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2.0054533094148543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>
        <f>AI117*VLOOKUP('Données projet'!$B$10,Paramètres!$A$1:$I$89,3,0)*VLOOKUP('Données projet'!$B$10,Paramètres!$A$1:$I$89,5,0)</f>
        <v>6.7984728957526396E-14</v>
      </c>
      <c r="AK117" s="14">
        <f t="shared" si="89"/>
        <v>1.0682447123141398E-12</v>
      </c>
      <c r="AL117" s="22">
        <f t="shared" si="58"/>
        <v>1.978932943548152E-12</v>
      </c>
      <c r="AM117" s="62">
        <f t="shared" si="59"/>
        <v>275.4842614970197</v>
      </c>
      <c r="AN117" s="62">
        <f ca="1">AVERAGE(OFFSET($AM$3,0,0,'Données projet'!$E$10+1,1))-AVERAGE(OFFSET($H$3,0,0,'Données projet'!$E$10+1,1))</f>
        <v>197.85998851681552</v>
      </c>
      <c r="AO117" s="62">
        <f t="shared" si="90"/>
        <v>474.54844785896239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10.102328464332077</v>
      </c>
      <c r="AV117" s="23">
        <f>EXP(-LN(2)/25)*AV116+(1-EXP(-LN(2)/25))/(LN(2)/25)*Calculateur!AQ117*Calculateur!AS117*VLOOKUP('Données projet'!$B$10,Paramètres!$A$1:$I$89,3,0)*0.475*44/12</f>
        <v>4.2804199682067781</v>
      </c>
      <c r="AW117" s="23">
        <f>EXP(-LN(2)/2)*AW116+(1-EXP(-LN(2)/2))/(LN(2)/2)*AQ117*AT117*VLOOKUP('Données projet'!$B$10,Paramètres!$A$1:$I$89,3,0)*0.475*44/12</f>
        <v>9.9060764107227193E-12</v>
      </c>
      <c r="AX117" s="23">
        <f t="shared" si="60"/>
        <v>14.382748432548761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1.1368683772161603E-13</v>
      </c>
      <c r="BE117" s="14">
        <f>BD117*VLOOKUP('Données projet'!$B$11,Paramètres!$A$1:$I$89,3,0)*VLOOKUP('Données projet'!$B$11,Paramètres!$A$1:$I$89,5,0)</f>
        <v>6.7984728957526396E-14</v>
      </c>
      <c r="BF117" s="14">
        <f t="shared" si="91"/>
        <v>1.0682447123141398E-12</v>
      </c>
      <c r="BG117" s="22">
        <f t="shared" si="61"/>
        <v>1.978932943548152E-12</v>
      </c>
      <c r="BH117" s="62">
        <f t="shared" si="62"/>
        <v>275.4842614970197</v>
      </c>
      <c r="BI117" s="62">
        <f ca="1">AVERAGE(OFFSET($BH$3,0,0,'Données projet'!$E$11+1,1))-AVERAGE(OFFSET($H$3,0,0,'Données projet'!$E$11+1,1))</f>
        <v>197.85998851681552</v>
      </c>
      <c r="BJ117" s="62">
        <f t="shared" si="92"/>
        <v>474.54844785896239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10.102328464332077</v>
      </c>
      <c r="BQ117" s="23">
        <f>EXP(-LN(2)/25)*BQ116+(1-EXP(-LN(2)/25))/(LN(2)/25)*Calculateur!BL117*Calculateur!BN117*VLOOKUP('Données projet'!$B$11,Paramètres!$A$1:$I$89,3,0)*0.475*44/12</f>
        <v>4.2804199682067781</v>
      </c>
      <c r="BR117" s="23">
        <f>EXP(-LN(2)/2)*BR116+(1-EXP(-LN(2)/2))/(LN(2)/2)*BL117*BO117*VLOOKUP('Données projet'!$B$11,Paramètres!$A$1:$I$89,3,0)*0.475*44/12</f>
        <v>9.9060764107227193E-12</v>
      </c>
      <c r="BS117" s="24">
        <f t="shared" si="63"/>
        <v>14.382748432548761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>
        <f>BY117*VLOOKUP('Données projet'!$B$12,Paramètres!$A$1:$I$89,3,0)*VLOOKUP('Données projet'!$B$12,Paramètres!$A$1:$I$89,5,0)</f>
        <v>0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72.97248599808384</v>
      </c>
      <c r="CE117" s="62">
        <f t="shared" si="94"/>
        <v>346.88163654003574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11.011456945084316</v>
      </c>
      <c r="CL117" s="23">
        <f>EXP(-LN(2)/25)*CL116+(1-EXP(-LN(2)/25))/(LN(2)/25)*Calculateur!CG117*Calculateur!CI117*VLOOKUP('Données projet'!$B$12,Paramètres!$A$1:$I$89,3,0)*0.475*44/12</f>
        <v>1.2716224400898624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12.283079385174178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>
        <f>CT117*VLOOKUP('Données projet'!$B$13,Paramètres!$A$1:$I$89,3,0)*VLOOKUP('Données projet'!$B$13,Paramètres!$A$1:$I$89,5,0)</f>
        <v>0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67.303283896086128</v>
      </c>
      <c r="CZ117" s="62">
        <f t="shared" si="96"/>
        <v>318.97925671653547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9.9992617384331162</v>
      </c>
      <c r="DG117" s="23">
        <f>EXP(-LN(2)/25)*DG116+(1-EXP(-LN(2)/25))/(LN(2)/25)*Calculateur!DB117*Calculateur!DD117*VLOOKUP('Données projet'!$B$13,Paramètres!$A$1:$I$89,3,0)*0.475*44/12</f>
        <v>1.1547323550676727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11.153994093500788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>
        <f>DO117*VLOOKUP('Données projet'!$B$14,Paramètres!$A$1:$I$89,3,0)*VLOOKUP('Données projet'!$B$14,Paramètres!$A$1:$I$89,5,0)</f>
        <v>0</v>
      </c>
      <c r="DQ117" s="14" t="e">
        <f t="shared" si="97"/>
        <v>#NUM!</v>
      </c>
      <c r="DR117" s="22" t="e">
        <f t="shared" si="70"/>
        <v>#NUM!</v>
      </c>
      <c r="DS117" s="62" t="e">
        <f t="shared" si="71"/>
        <v>#NUM!</v>
      </c>
      <c r="DT117" s="62">
        <f ca="1">AVERAGE(OFFSET($DS$3,0,0,'Données projet'!$E$14+1,1))-AVERAGE(OFFSET($H$3,0,0,'Données projet'!$E$14+1,1))</f>
        <v>75.244137291704476</v>
      </c>
      <c r="DU117" s="62">
        <f t="shared" si="98"/>
        <v>366.065475656937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11.708561081896431</v>
      </c>
      <c r="EB117" s="23">
        <f>EXP(-LN(2)/25)*EB116+(1-EXP(-LN(2)/25))/(LN(2)/25)*Calculateur!DW117*Calculateur!DY117*VLOOKUP('Données projet'!$B$14,Paramètres!$A$1:$I$89,3,0)*0.475*44/12</f>
        <v>1.3521252534660242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13.060686335362455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3.8</v>
      </c>
      <c r="EJ117" s="13">
        <f>IF('Données projet'!$A$192&gt;35,EJ116+EI117-ER116,IF(A117&lt;'Données projet'!$A$192,$EG$205^A117,IF(A117='Données projet'!$A$192,'Données projet'!$B$192,EJ116+EI117-ER116)))</f>
        <v>280.2</v>
      </c>
      <c r="EK117" s="18">
        <f>EJ117*VLOOKUP('Données projet'!$B$15,Paramètres!$A$1:$I$89,3,0)*VLOOKUP('Données projet'!$B$15,Paramètres!$A$1:$I$89,5,0)</f>
        <v>271.00943999999998</v>
      </c>
      <c r="EL117" s="14">
        <f t="shared" si="99"/>
        <v>65.063451383023647</v>
      </c>
      <c r="EM117" s="22">
        <f t="shared" si="73"/>
        <v>585.32695249209939</v>
      </c>
      <c r="EN117" s="62">
        <f t="shared" si="74"/>
        <v>860.81121398911705</v>
      </c>
      <c r="EO117" s="62">
        <f ca="1">AVERAGE(OFFSET($EN$3,0,0,'Données projet'!$E$15+1,1))-AVERAGE(OFFSET($H$3,0,0,'Données projet'!$E$15+1,1))</f>
        <v>452.74627739105745</v>
      </c>
      <c r="EP117" s="62">
        <f t="shared" si="100"/>
        <v>281.80695725575106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3.8</v>
      </c>
      <c r="FE117" s="13">
        <f>IF('Données projet'!$A$218&gt;35,FE116+FD117-FM116,IF(A117&lt;'Données projet'!$A$218,$FB$205^A117,IF(A117='Données projet'!$A$218,'Données projet'!$B$218,FE116+FD117-FM116)))</f>
        <v>280.2</v>
      </c>
      <c r="FF117" s="18">
        <f>FE117*VLOOKUP('Données projet'!$B$16,Paramètres!$A$1:$I$89,3,0)*VLOOKUP('Données projet'!$B$16,Paramètres!$A$1:$I$89,5,0)</f>
        <v>301.60727999999995</v>
      </c>
      <c r="FG117" s="14">
        <f t="shared" si="101"/>
        <v>71.513306244453176</v>
      </c>
      <c r="FH117" s="22">
        <f t="shared" si="76"/>
        <v>649.85168770908911</v>
      </c>
      <c r="FI117" s="62">
        <f t="shared" si="77"/>
        <v>925.33594920610676</v>
      </c>
      <c r="FJ117" s="62">
        <f ca="1">AVERAGE(OFFSET($FI$3,0,0,'Données projet'!$E$16+1,1))-AVERAGE(OFFSET($H$3,0,0,'Données projet'!$E$16+1,1))</f>
        <v>492.72391755143508</v>
      </c>
      <c r="FK117" s="62">
        <f t="shared" si="102"/>
        <v>304.88554179994355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65.132071317368471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143.77000000000001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-5.6843418860808015E-14</v>
      </c>
      <c r="O118" s="14">
        <f>N118*VLOOKUP('Données projet'!$B$9,Paramètres!$A$1:$I$89,3,0)*VLOOKUP('Données projet'!$B$9,Paramètres!$A$1:$I$89,5,0)</f>
        <v>-5.1431925385259088E-14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388.8309693898596</v>
      </c>
      <c r="T118" s="62">
        <f t="shared" si="88"/>
        <v>549.06702041234382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1.9661275932229663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1.9661275932229663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>
        <f>AI118*VLOOKUP('Données projet'!$B$10,Paramètres!$A$1:$I$89,3,0)*VLOOKUP('Données projet'!$B$10,Paramètres!$A$1:$I$89,5,0)</f>
        <v>6.7984728957526396E-14</v>
      </c>
      <c r="AK118" s="14">
        <f t="shared" si="89"/>
        <v>1.0682447123141398E-12</v>
      </c>
      <c r="AL118" s="22">
        <f t="shared" si="58"/>
        <v>1.978932943548152E-12</v>
      </c>
      <c r="AM118" s="62">
        <f t="shared" si="59"/>
        <v>275.79390298883334</v>
      </c>
      <c r="AN118" s="62">
        <f ca="1">AVERAGE(OFFSET($AM$3,0,0,'Données projet'!$E$10+1,1))-AVERAGE(OFFSET($H$3,0,0,'Données projet'!$E$10+1,1))</f>
        <v>197.85998851681552</v>
      </c>
      <c r="AO118" s="62">
        <f t="shared" si="90"/>
        <v>474.54844785896239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9.9042279649584604</v>
      </c>
      <c r="AV118" s="23">
        <f>EXP(-LN(2)/25)*AV117+(1-EXP(-LN(2)/25))/(LN(2)/25)*Calculateur!AQ118*Calculateur!AS118*VLOOKUP('Données projet'!$B$10,Paramètres!$A$1:$I$89,3,0)*0.475*44/12</f>
        <v>4.1633716590786607</v>
      </c>
      <c r="AW118" s="23">
        <f>EXP(-LN(2)/2)*AW117+(1-EXP(-LN(2)/2))/(LN(2)/2)*AQ118*AT118*VLOOKUP('Données projet'!$B$10,Paramètres!$A$1:$I$89,3,0)*0.475*44/12</f>
        <v>7.0046538049741301E-12</v>
      </c>
      <c r="AX118" s="23">
        <f t="shared" si="60"/>
        <v>14.067599624044126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1.1368683772161603E-13</v>
      </c>
      <c r="BE118" s="14">
        <f>BD118*VLOOKUP('Données projet'!$B$11,Paramètres!$A$1:$I$89,3,0)*VLOOKUP('Données projet'!$B$11,Paramètres!$A$1:$I$89,5,0)</f>
        <v>6.7984728957526396E-14</v>
      </c>
      <c r="BF118" s="14">
        <f t="shared" si="91"/>
        <v>1.0682447123141398E-12</v>
      </c>
      <c r="BG118" s="22">
        <f t="shared" si="61"/>
        <v>1.978932943548152E-12</v>
      </c>
      <c r="BH118" s="62">
        <f t="shared" si="62"/>
        <v>275.79390298883334</v>
      </c>
      <c r="BI118" s="62">
        <f ca="1">AVERAGE(OFFSET($BH$3,0,0,'Données projet'!$E$11+1,1))-AVERAGE(OFFSET($H$3,0,0,'Données projet'!$E$11+1,1))</f>
        <v>197.85998851681552</v>
      </c>
      <c r="BJ118" s="62">
        <f t="shared" si="92"/>
        <v>474.54844785896239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9.9042279649584604</v>
      </c>
      <c r="BQ118" s="23">
        <f>EXP(-LN(2)/25)*BQ117+(1-EXP(-LN(2)/25))/(LN(2)/25)*Calculateur!BL118*Calculateur!BN118*VLOOKUP('Données projet'!$B$11,Paramètres!$A$1:$I$89,3,0)*0.475*44/12</f>
        <v>4.1633716590786607</v>
      </c>
      <c r="BR118" s="23">
        <f>EXP(-LN(2)/2)*BR117+(1-EXP(-LN(2)/2))/(LN(2)/2)*BL118*BO118*VLOOKUP('Données projet'!$B$11,Paramètres!$A$1:$I$89,3,0)*0.475*44/12</f>
        <v>7.0046538049741301E-12</v>
      </c>
      <c r="BS118" s="24">
        <f t="shared" si="63"/>
        <v>14.067599624044126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>
        <f>BY118*VLOOKUP('Données projet'!$B$12,Paramètres!$A$1:$I$89,3,0)*VLOOKUP('Données projet'!$B$12,Paramètres!$A$1:$I$89,5,0)</f>
        <v>0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72.97248599808384</v>
      </c>
      <c r="CE118" s="62">
        <f t="shared" si="94"/>
        <v>346.88163654003574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10.795528990716766</v>
      </c>
      <c r="CL118" s="23">
        <f>EXP(-LN(2)/25)*CL117+(1-EXP(-LN(2)/25))/(LN(2)/25)*Calculateur!CG118*Calculateur!CI118*VLOOKUP('Données projet'!$B$12,Paramètres!$A$1:$I$89,3,0)*0.475*44/12</f>
        <v>1.2368498575938873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12.032378848310653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>
        <f>CT118*VLOOKUP('Données projet'!$B$13,Paramètres!$A$1:$I$89,3,0)*VLOOKUP('Données projet'!$B$13,Paramètres!$A$1:$I$89,5,0)</f>
        <v>0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67.303283896086128</v>
      </c>
      <c r="CZ118" s="62">
        <f t="shared" si="96"/>
        <v>318.97925671653547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9.8031823146898827</v>
      </c>
      <c r="DG118" s="23">
        <f>EXP(-LN(2)/25)*DG117+(1-EXP(-LN(2)/25))/(LN(2)/25)*Calculateur!DB118*Calculateur!DD118*VLOOKUP('Données projet'!$B$13,Paramètres!$A$1:$I$89,3,0)*0.475*44/12</f>
        <v>1.1231561380936117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10.926338452783494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>
        <f>DO118*VLOOKUP('Données projet'!$B$14,Paramètres!$A$1:$I$89,3,0)*VLOOKUP('Données projet'!$B$14,Paramètres!$A$1:$I$89,5,0)</f>
        <v>0</v>
      </c>
      <c r="DQ118" s="14" t="e">
        <f t="shared" si="97"/>
        <v>#NUM!</v>
      </c>
      <c r="DR118" s="22" t="e">
        <f t="shared" si="70"/>
        <v>#NUM!</v>
      </c>
      <c r="DS118" s="62" t="e">
        <f t="shared" si="71"/>
        <v>#NUM!</v>
      </c>
      <c r="DT118" s="62">
        <f ca="1">AVERAGE(OFFSET($DS$3,0,0,'Données projet'!$E$14+1,1))-AVERAGE(OFFSET($H$3,0,0,'Données projet'!$E$14+1,1))</f>
        <v>75.244137291704476</v>
      </c>
      <c r="DU118" s="62">
        <f t="shared" si="98"/>
        <v>366.065475656937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11.478963340597534</v>
      </c>
      <c r="EB118" s="23">
        <f>EXP(-LN(2)/25)*EB117+(1-EXP(-LN(2)/25))/(LN(2)/25)*Calculateur!DW118*Calculateur!DY118*VLOOKUP('Données projet'!$B$14,Paramètres!$A$1:$I$89,3,0)*0.475*44/12</f>
        <v>1.315151317304819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12.794114657902353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>
        <f>VLOOKUP(A118,'Données projet'!$A$191:$I$211,2,0)</f>
        <v>284</v>
      </c>
      <c r="EH118" s="13">
        <f>VLOOKUP(A118,'Données projet'!$A$191:$I$211,9,0)</f>
        <v>3.8</v>
      </c>
      <c r="EI118" s="13">
        <f t="array" ref="EI118">INDEX(EH:EH,MIN(IF(ISNUMBER(EH118:EH314),ROW(EH118:EH314),"")))</f>
        <v>3.8</v>
      </c>
      <c r="EJ118" s="13">
        <f>IF('Données projet'!$A$192&gt;35,EJ117+EI118-ER117,IF(A118&lt;'Données projet'!$A$192,$EG$205^A118,IF(A118='Données projet'!$A$192,'Données projet'!$B$192,EJ117+EI118-ER117)))</f>
        <v>284</v>
      </c>
      <c r="EK118" s="18">
        <f>EJ118*VLOOKUP('Données projet'!$B$15,Paramètres!$A$1:$I$89,3,0)*VLOOKUP('Données projet'!$B$15,Paramètres!$A$1:$I$89,5,0)</f>
        <v>274.68480000000005</v>
      </c>
      <c r="EL118" s="14">
        <f t="shared" si="99"/>
        <v>65.842504497456659</v>
      </c>
      <c r="EM118" s="22">
        <f t="shared" si="73"/>
        <v>593.0850553330705</v>
      </c>
      <c r="EN118" s="62">
        <f t="shared" si="74"/>
        <v>868.87895832190179</v>
      </c>
      <c r="EO118" s="62">
        <f ca="1">AVERAGE(OFFSET($EN$3,0,0,'Données projet'!$E$15+1,1))-AVERAGE(OFFSET($H$3,0,0,'Données projet'!$E$15+1,1))</f>
        <v>452.74627739105745</v>
      </c>
      <c r="EP118" s="62">
        <f t="shared" si="100"/>
        <v>281.80695725575106</v>
      </c>
      <c r="EQ118" s="16">
        <f>IF(ISNA(VLOOKUP(A118,'Données projet'!$A$191:$I$211,3,0)),0,VLOOKUP(A118,'Données projet'!$A$191:$I$211,3,0))</f>
        <v>19</v>
      </c>
      <c r="ER118" s="16">
        <f>IF(ISNA(VLOOKUP(A118,'Données projet'!$A$191:$I$211,4,0)),0,VLOOKUP(A118,'Données projet'!$A$191:$I$211,4,0))</f>
        <v>18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>
        <f>VLOOKUP(A118,'Données projet'!$A$217:$I$237,2,0)</f>
        <v>284</v>
      </c>
      <c r="FC118" s="13">
        <f>VLOOKUP(A118,'Données projet'!$A$217:$I$237,9,0)</f>
        <v>3.8</v>
      </c>
      <c r="FD118" s="13">
        <f t="array" ref="FD118">INDEX(FC:FC,MIN(IF(ISNUMBER(FC118:FC314),ROW(FC118:FC314),"")))</f>
        <v>3.8</v>
      </c>
      <c r="FE118" s="13">
        <f>IF('Données projet'!$A$218&gt;35,FE117+FD118-FM117,IF(A118&lt;'Données projet'!$A$218,$FB$205^A118,IF(A118='Données projet'!$A$218,'Données projet'!$B$218,FE117+FD118-FM117)))</f>
        <v>284</v>
      </c>
      <c r="FF118" s="18">
        <f>FE118*VLOOKUP('Données projet'!$B$16,Paramètres!$A$1:$I$89,3,0)*VLOOKUP('Données projet'!$B$16,Paramètres!$A$1:$I$89,5,0)</f>
        <v>305.69759999999997</v>
      </c>
      <c r="FG118" s="14">
        <f t="shared" si="101"/>
        <v>72.369588270212361</v>
      </c>
      <c r="FH118" s="22">
        <f t="shared" si="76"/>
        <v>658.46701957061975</v>
      </c>
      <c r="FI118" s="62">
        <f t="shared" si="77"/>
        <v>934.26092255945105</v>
      </c>
      <c r="FJ118" s="62">
        <f ca="1">AVERAGE(OFFSET($FI$3,0,0,'Données projet'!$E$16+1,1))-AVERAGE(OFFSET($H$3,0,0,'Données projet'!$E$16+1,1))</f>
        <v>492.72391755143508</v>
      </c>
      <c r="FK118" s="62">
        <f t="shared" si="102"/>
        <v>304.88554179994355</v>
      </c>
      <c r="FL118" s="16">
        <f>IF(ISNA(VLOOKUP(A118,'Données projet'!$A$217:$I$237,3,0)),0,VLOOKUP(A118,'Données projet'!$A$217:$I$237,3,0))</f>
        <v>19</v>
      </c>
      <c r="FM118" s="16">
        <f>IF(ISNA(VLOOKUP(A118,'Données projet'!$A$217:$I$237,4,0)),0,VLOOKUP(A118,'Données projet'!$A$217:$I$237,4,0))</f>
        <v>18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65.216518996953994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143.77000000000001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-5.6843418860808015E-14</v>
      </c>
      <c r="O119" s="14">
        <f>N119*VLOOKUP('Données projet'!$B$9,Paramètres!$A$1:$I$89,3,0)*VLOOKUP('Données projet'!$B$9,Paramètres!$A$1:$I$89,5,0)</f>
        <v>-5.1431925385259088E-14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388.8309693898596</v>
      </c>
      <c r="T119" s="62">
        <f t="shared" si="88"/>
        <v>549.06702041234382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1.9275730303392826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1.9275730303392826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>
        <f>AI119*VLOOKUP('Données projet'!$B$10,Paramètres!$A$1:$I$89,3,0)*VLOOKUP('Données projet'!$B$10,Paramètres!$A$1:$I$89,5,0)</f>
        <v>6.7984728957526396E-14</v>
      </c>
      <c r="AK119" s="14">
        <f t="shared" si="89"/>
        <v>1.0682447123141398E-12</v>
      </c>
      <c r="AL119" s="22">
        <f t="shared" si="58"/>
        <v>1.978932943548152E-12</v>
      </c>
      <c r="AM119" s="62">
        <f t="shared" si="59"/>
        <v>276.09817289301861</v>
      </c>
      <c r="AN119" s="62">
        <f ca="1">AVERAGE(OFFSET($AM$3,0,0,'Données projet'!$E$10+1,1))-AVERAGE(OFFSET($H$3,0,0,'Données projet'!$E$10+1,1))</f>
        <v>197.85998851681552</v>
      </c>
      <c r="AO119" s="62">
        <f t="shared" si="90"/>
        <v>474.54844785896239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9.7100120955481852</v>
      </c>
      <c r="AV119" s="23">
        <f>EXP(-LN(2)/25)*AV118+(1-EXP(-LN(2)/25))/(LN(2)/25)*Calculateur!AQ119*Calculateur!AS119*VLOOKUP('Données projet'!$B$10,Paramètres!$A$1:$I$89,3,0)*0.475*44/12</f>
        <v>4.0495240421189544</v>
      </c>
      <c r="AW119" s="23">
        <f>EXP(-LN(2)/2)*AW118+(1-EXP(-LN(2)/2))/(LN(2)/2)*AQ119*AT119*VLOOKUP('Données projet'!$B$10,Paramètres!$A$1:$I$89,3,0)*0.475*44/12</f>
        <v>4.9530382053613597E-12</v>
      </c>
      <c r="AX119" s="23">
        <f t="shared" si="60"/>
        <v>13.759536137672093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1.1368683772161603E-13</v>
      </c>
      <c r="BE119" s="14">
        <f>BD119*VLOOKUP('Données projet'!$B$11,Paramètres!$A$1:$I$89,3,0)*VLOOKUP('Données projet'!$B$11,Paramètres!$A$1:$I$89,5,0)</f>
        <v>6.7984728957526396E-14</v>
      </c>
      <c r="BF119" s="14">
        <f t="shared" si="91"/>
        <v>1.0682447123141398E-12</v>
      </c>
      <c r="BG119" s="22">
        <f t="shared" si="61"/>
        <v>1.978932943548152E-12</v>
      </c>
      <c r="BH119" s="62">
        <f t="shared" si="62"/>
        <v>276.09817289301861</v>
      </c>
      <c r="BI119" s="62">
        <f ca="1">AVERAGE(OFFSET($BH$3,0,0,'Données projet'!$E$11+1,1))-AVERAGE(OFFSET($H$3,0,0,'Données projet'!$E$11+1,1))</f>
        <v>197.85998851681552</v>
      </c>
      <c r="BJ119" s="62">
        <f t="shared" si="92"/>
        <v>474.54844785896239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9.7100120955481852</v>
      </c>
      <c r="BQ119" s="23">
        <f>EXP(-LN(2)/25)*BQ118+(1-EXP(-LN(2)/25))/(LN(2)/25)*Calculateur!BL119*Calculateur!BN119*VLOOKUP('Données projet'!$B$11,Paramètres!$A$1:$I$89,3,0)*0.475*44/12</f>
        <v>4.0495240421189544</v>
      </c>
      <c r="BR119" s="23">
        <f>EXP(-LN(2)/2)*BR118+(1-EXP(-LN(2)/2))/(LN(2)/2)*BL119*BO119*VLOOKUP('Données projet'!$B$11,Paramètres!$A$1:$I$89,3,0)*0.475*44/12</f>
        <v>4.9530382053613597E-12</v>
      </c>
      <c r="BS119" s="24">
        <f t="shared" si="63"/>
        <v>13.759536137672093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>
        <f>BY119*VLOOKUP('Données projet'!$B$12,Paramètres!$A$1:$I$89,3,0)*VLOOKUP('Données projet'!$B$12,Paramètres!$A$1:$I$89,5,0)</f>
        <v>0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72.97248599808384</v>
      </c>
      <c r="CE119" s="62">
        <f t="shared" si="94"/>
        <v>346.88163654003574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10.583835251831317</v>
      </c>
      <c r="CL119" s="23">
        <f>EXP(-LN(2)/25)*CL118+(1-EXP(-LN(2)/25))/(LN(2)/25)*Calculateur!CG119*Calculateur!CI119*VLOOKUP('Données projet'!$B$12,Paramètres!$A$1:$I$89,3,0)*0.475*44/12</f>
        <v>1.2030281331948753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11.786863385026193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>
        <f>CT119*VLOOKUP('Données projet'!$B$13,Paramètres!$A$1:$I$89,3,0)*VLOOKUP('Données projet'!$B$13,Paramètres!$A$1:$I$89,5,0)</f>
        <v>0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67.303283896086128</v>
      </c>
      <c r="CZ119" s="62">
        <f t="shared" si="96"/>
        <v>318.97925671653547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9.6109478888496138</v>
      </c>
      <c r="DG119" s="23">
        <f>EXP(-LN(2)/25)*DG118+(1-EXP(-LN(2)/25))/(LN(2)/25)*Calculateur!DB119*Calculateur!DD119*VLOOKUP('Données projet'!$B$13,Paramètres!$A$1:$I$89,3,0)*0.475*44/12</f>
        <v>1.0924433744332276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10.703391263282841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>
        <f>DO119*VLOOKUP('Données projet'!$B$14,Paramètres!$A$1:$I$89,3,0)*VLOOKUP('Données projet'!$B$14,Paramètres!$A$1:$I$89,5,0)</f>
        <v>0</v>
      </c>
      <c r="DQ119" s="14" t="e">
        <f t="shared" si="97"/>
        <v>#NUM!</v>
      </c>
      <c r="DR119" s="22" t="e">
        <f t="shared" si="70"/>
        <v>#NUM!</v>
      </c>
      <c r="DS119" s="62" t="e">
        <f t="shared" si="71"/>
        <v>#NUM!</v>
      </c>
      <c r="DT119" s="62">
        <f ca="1">AVERAGE(OFFSET($DS$3,0,0,'Données projet'!$E$14+1,1))-AVERAGE(OFFSET($H$3,0,0,'Données projet'!$E$14+1,1))</f>
        <v>75.244137291704476</v>
      </c>
      <c r="DU119" s="62">
        <f t="shared" si="98"/>
        <v>366.065475656937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11.253867870964717</v>
      </c>
      <c r="EB119" s="23">
        <f>EXP(-LN(2)/25)*EB118+(1-EXP(-LN(2)/25))/(LN(2)/25)*Calculateur!DW119*Calculateur!DY119*VLOOKUP('Données projet'!$B$14,Paramètres!$A$1:$I$89,3,0)*0.475*44/12</f>
        <v>1.2791884353723169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12.533056306337034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3.6</v>
      </c>
      <c r="EJ119" s="13">
        <f>IF('Données projet'!$A$192&gt;35,EJ118+EI119-ER118,IF(A119&lt;'Données projet'!$A$192,$EG$205^A119,IF(A119='Données projet'!$A$192,'Données projet'!$B$192,EJ118+EI119-ER118)))</f>
        <v>269.60000000000002</v>
      </c>
      <c r="EK119" s="18">
        <f>EJ119*VLOOKUP('Données projet'!$B$15,Paramètres!$A$1:$I$89,3,0)*VLOOKUP('Données projet'!$B$15,Paramètres!$A$1:$I$89,5,0)</f>
        <v>260.75712000000004</v>
      </c>
      <c r="EL119" s="14">
        <f t="shared" si="99"/>
        <v>62.883738022168423</v>
      </c>
      <c r="EM119" s="22">
        <f t="shared" si="73"/>
        <v>563.67449438861001</v>
      </c>
      <c r="EN119" s="62">
        <f t="shared" si="74"/>
        <v>839.77266728162658</v>
      </c>
      <c r="EO119" s="62">
        <f ca="1">AVERAGE(OFFSET($EN$3,0,0,'Données projet'!$E$15+1,1))-AVERAGE(OFFSET($H$3,0,0,'Données projet'!$E$15+1,1))</f>
        <v>452.74627739105745</v>
      </c>
      <c r="EP119" s="62">
        <f t="shared" si="100"/>
        <v>281.80695725575106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3.6</v>
      </c>
      <c r="FE119" s="13">
        <f>IF('Données projet'!$A$218&gt;35,FE118+FD119-FM118,IF(A119&lt;'Données projet'!$A$218,$FB$205^A119,IF(A119='Données projet'!$A$218,'Données projet'!$B$218,FE118+FD119-FM118)))</f>
        <v>269.60000000000002</v>
      </c>
      <c r="FF119" s="18">
        <f>FE119*VLOOKUP('Données projet'!$B$16,Paramètres!$A$1:$I$89,3,0)*VLOOKUP('Données projet'!$B$16,Paramètres!$A$1:$I$89,5,0)</f>
        <v>290.19744000000003</v>
      </c>
      <c r="FG119" s="14">
        <f t="shared" si="101"/>
        <v>69.117514047966083</v>
      </c>
      <c r="FH119" s="22">
        <f t="shared" si="76"/>
        <v>625.80687830020759</v>
      </c>
      <c r="FI119" s="62">
        <f t="shared" si="77"/>
        <v>901.90505119322415</v>
      </c>
      <c r="FJ119" s="62">
        <f ca="1">AVERAGE(OFFSET($FI$3,0,0,'Données projet'!$E$16+1,1))-AVERAGE(OFFSET($H$3,0,0,'Données projet'!$E$16+1,1))</f>
        <v>492.72391755143508</v>
      </c>
      <c r="FK119" s="62">
        <f t="shared" si="102"/>
        <v>304.88554179994355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65.29950169809544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143.77000000000001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-5.6843418860808015E-14</v>
      </c>
      <c r="O120" s="14">
        <f>N120*VLOOKUP('Données projet'!$B$9,Paramètres!$A$1:$I$89,3,0)*VLOOKUP('Données projet'!$B$9,Paramètres!$A$1:$I$89,5,0)</f>
        <v>-5.1431925385259088E-14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388.8309693898596</v>
      </c>
      <c r="T120" s="62">
        <f t="shared" si="88"/>
        <v>549.06702041234382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1.8897744989177867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1.8897744989177867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>
        <f>AI120*VLOOKUP('Données projet'!$B$10,Paramètres!$A$1:$I$89,3,0)*VLOOKUP('Données projet'!$B$10,Paramètres!$A$1:$I$89,5,0)</f>
        <v>6.7984728957526396E-14</v>
      </c>
      <c r="AK120" s="14">
        <f t="shared" si="89"/>
        <v>1.0682447123141398E-12</v>
      </c>
      <c r="AL120" s="22">
        <f t="shared" si="58"/>
        <v>1.978932943548152E-12</v>
      </c>
      <c r="AM120" s="62">
        <f t="shared" si="59"/>
        <v>276.39716439461188</v>
      </c>
      <c r="AN120" s="62">
        <f ca="1">AVERAGE(OFFSET($AM$3,0,0,'Données projet'!$E$10+1,1))-AVERAGE(OFFSET($H$3,0,0,'Données projet'!$E$10+1,1))</f>
        <v>197.85998851681552</v>
      </c>
      <c r="AO120" s="62">
        <f t="shared" si="90"/>
        <v>474.54844785896239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9.5196046808770625</v>
      </c>
      <c r="AV120" s="23">
        <f>EXP(-LN(2)/25)*AV119+(1-EXP(-LN(2)/25))/(LN(2)/25)*Calculateur!AQ120*Calculateur!AS120*VLOOKUP('Données projet'!$B$10,Paramètres!$A$1:$I$89,3,0)*0.475*44/12</f>
        <v>3.9387895942319977</v>
      </c>
      <c r="AW120" s="23">
        <f>EXP(-LN(2)/2)*AW119+(1-EXP(-LN(2)/2))/(LN(2)/2)*AQ120*AT120*VLOOKUP('Données projet'!$B$10,Paramètres!$A$1:$I$89,3,0)*0.475*44/12</f>
        <v>3.502326902487065E-12</v>
      </c>
      <c r="AX120" s="23">
        <f t="shared" si="60"/>
        <v>13.458394275112564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1.1368683772161603E-13</v>
      </c>
      <c r="BE120" s="14">
        <f>BD120*VLOOKUP('Données projet'!$B$11,Paramètres!$A$1:$I$89,3,0)*VLOOKUP('Données projet'!$B$11,Paramètres!$A$1:$I$89,5,0)</f>
        <v>6.7984728957526396E-14</v>
      </c>
      <c r="BF120" s="14">
        <f t="shared" si="91"/>
        <v>1.0682447123141398E-12</v>
      </c>
      <c r="BG120" s="22">
        <f t="shared" si="61"/>
        <v>1.978932943548152E-12</v>
      </c>
      <c r="BH120" s="62">
        <f t="shared" si="62"/>
        <v>276.39716439461188</v>
      </c>
      <c r="BI120" s="62">
        <f ca="1">AVERAGE(OFFSET($BH$3,0,0,'Données projet'!$E$11+1,1))-AVERAGE(OFFSET($H$3,0,0,'Données projet'!$E$11+1,1))</f>
        <v>197.85998851681552</v>
      </c>
      <c r="BJ120" s="62">
        <f t="shared" si="92"/>
        <v>474.54844785896239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9.5196046808770625</v>
      </c>
      <c r="BQ120" s="23">
        <f>EXP(-LN(2)/25)*BQ119+(1-EXP(-LN(2)/25))/(LN(2)/25)*Calculateur!BL120*Calculateur!BN120*VLOOKUP('Données projet'!$B$11,Paramètres!$A$1:$I$89,3,0)*0.475*44/12</f>
        <v>3.9387895942319977</v>
      </c>
      <c r="BR120" s="23">
        <f>EXP(-LN(2)/2)*BR119+(1-EXP(-LN(2)/2))/(LN(2)/2)*BL120*BO120*VLOOKUP('Données projet'!$B$11,Paramètres!$A$1:$I$89,3,0)*0.475*44/12</f>
        <v>3.502326902487065E-12</v>
      </c>
      <c r="BS120" s="24">
        <f t="shared" si="63"/>
        <v>13.458394275112564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>
        <f>BY120*VLOOKUP('Données projet'!$B$12,Paramètres!$A$1:$I$89,3,0)*VLOOKUP('Données projet'!$B$12,Paramètres!$A$1:$I$89,5,0)</f>
        <v>0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72.97248599808384</v>
      </c>
      <c r="CE120" s="62">
        <f t="shared" si="94"/>
        <v>346.88163654003574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10.376292698044981</v>
      </c>
      <c r="CL120" s="23">
        <f>EXP(-LN(2)/25)*CL119+(1-EXP(-LN(2)/25))/(LN(2)/25)*Calculateur!CG120*Calculateur!CI120*VLOOKUP('Données projet'!$B$12,Paramètres!$A$1:$I$89,3,0)*0.475*44/12</f>
        <v>1.1701312656281615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11.546423963673142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>
        <f>CT120*VLOOKUP('Données projet'!$B$13,Paramètres!$A$1:$I$89,3,0)*VLOOKUP('Données projet'!$B$13,Paramètres!$A$1:$I$89,5,0)</f>
        <v>0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67.303283896086128</v>
      </c>
      <c r="CZ120" s="62">
        <f t="shared" si="96"/>
        <v>318.97925671653547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9.4224830628486504</v>
      </c>
      <c r="DG120" s="23">
        <f>EXP(-LN(2)/25)*DG119+(1-EXP(-LN(2)/25))/(LN(2)/25)*Calculateur!DB120*Calculateur!DD120*VLOOKUP('Données projet'!$B$13,Paramètres!$A$1:$I$89,3,0)*0.475*44/12</f>
        <v>1.0625704529102507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10.485053515758901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>
        <f>DO120*VLOOKUP('Données projet'!$B$14,Paramètres!$A$1:$I$89,3,0)*VLOOKUP('Données projet'!$B$14,Paramètres!$A$1:$I$89,5,0)</f>
        <v>0</v>
      </c>
      <c r="DQ120" s="14" t="e">
        <f t="shared" si="97"/>
        <v>#NUM!</v>
      </c>
      <c r="DR120" s="22" t="e">
        <f t="shared" si="70"/>
        <v>#NUM!</v>
      </c>
      <c r="DS120" s="62" t="e">
        <f t="shared" si="71"/>
        <v>#NUM!</v>
      </c>
      <c r="DT120" s="62">
        <f ca="1">AVERAGE(OFFSET($DS$3,0,0,'Données projet'!$E$14+1,1))-AVERAGE(OFFSET($H$3,0,0,'Données projet'!$E$14+1,1))</f>
        <v>75.244137291704476</v>
      </c>
      <c r="DU120" s="62">
        <f t="shared" si="98"/>
        <v>366.065475656937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11.033186386196718</v>
      </c>
      <c r="EB120" s="23">
        <f>EXP(-LN(2)/25)*EB119+(1-EXP(-LN(2)/25))/(LN(2)/25)*Calculateur!DW120*Calculateur!DY120*VLOOKUP('Données projet'!$B$14,Paramètres!$A$1:$I$89,3,0)*0.475*44/12</f>
        <v>1.2442089603374646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12.277395346534183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3.6</v>
      </c>
      <c r="EJ120" s="13">
        <f>IF('Données projet'!$A$192&gt;35,EJ119+EI120-ER119,IF(A120&lt;'Données projet'!$A$192,$EG$205^A120,IF(A120='Données projet'!$A$192,'Données projet'!$B$192,EJ119+EI120-ER119)))</f>
        <v>273.20000000000005</v>
      </c>
      <c r="EK120" s="18">
        <f>EJ120*VLOOKUP('Données projet'!$B$15,Paramètres!$A$1:$I$89,3,0)*VLOOKUP('Données projet'!$B$15,Paramètres!$A$1:$I$89,5,0)</f>
        <v>264.23904000000005</v>
      </c>
      <c r="EL120" s="14">
        <f t="shared" si="99"/>
        <v>63.625117726428726</v>
      </c>
      <c r="EM120" s="22">
        <f t="shared" si="73"/>
        <v>571.03007470686327</v>
      </c>
      <c r="EN120" s="62">
        <f t="shared" si="74"/>
        <v>847.42723910147311</v>
      </c>
      <c r="EO120" s="62">
        <f ca="1">AVERAGE(OFFSET($EN$3,0,0,'Données projet'!$E$15+1,1))-AVERAGE(OFFSET($H$3,0,0,'Données projet'!$E$15+1,1))</f>
        <v>452.74627739105745</v>
      </c>
      <c r="EP120" s="62">
        <f t="shared" si="100"/>
        <v>281.80695725575106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3.6</v>
      </c>
      <c r="FE120" s="13">
        <f>IF('Données projet'!$A$218&gt;35,FE119+FD120-FM119,IF(A120&lt;'Données projet'!$A$218,$FB$205^A120,IF(A120='Données projet'!$A$218,'Données projet'!$B$218,FE119+FD120-FM119)))</f>
        <v>273.20000000000005</v>
      </c>
      <c r="FF120" s="18">
        <f>FE120*VLOOKUP('Données projet'!$B$16,Paramètres!$A$1:$I$89,3,0)*VLOOKUP('Données projet'!$B$16,Paramètres!$A$1:$I$89,5,0)</f>
        <v>294.07248000000004</v>
      </c>
      <c r="FG120" s="14">
        <f t="shared" si="101"/>
        <v>69.932388031857116</v>
      </c>
      <c r="FH120" s="22">
        <f t="shared" si="76"/>
        <v>633.97514515548448</v>
      </c>
      <c r="FI120" s="62">
        <f t="shared" si="77"/>
        <v>910.37230955009431</v>
      </c>
      <c r="FJ120" s="62">
        <f ca="1">AVERAGE(OFFSET($FI$3,0,0,'Données projet'!$E$16+1,1))-AVERAGE(OFFSET($H$3,0,0,'Données projet'!$E$16+1,1))</f>
        <v>492.72391755143508</v>
      </c>
      <c r="FK120" s="62">
        <f t="shared" si="102"/>
        <v>304.88554179994355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65.381044834893601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143.77000000000001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-5.6843418860808015E-14</v>
      </c>
      <c r="O121" s="14">
        <f>N121*VLOOKUP('Données projet'!$B$9,Paramètres!$A$1:$I$89,3,0)*VLOOKUP('Données projet'!$B$9,Paramètres!$A$1:$I$89,5,0)</f>
        <v>-5.1431925385259088E-14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388.8309693898596</v>
      </c>
      <c r="T121" s="62">
        <f t="shared" si="88"/>
        <v>549.06702041234382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1.8527171736426387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1.8527171736426387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>
        <f>AI121*VLOOKUP('Données projet'!$B$10,Paramètres!$A$1:$I$89,3,0)*VLOOKUP('Données projet'!$B$10,Paramètres!$A$1:$I$89,5,0)</f>
        <v>6.7984728957526396E-14</v>
      </c>
      <c r="AK121" s="14">
        <f t="shared" si="89"/>
        <v>1.0682447123141398E-12</v>
      </c>
      <c r="AL121" s="22">
        <f t="shared" si="58"/>
        <v>1.978932943548152E-12</v>
      </c>
      <c r="AM121" s="62">
        <f t="shared" si="59"/>
        <v>276.69096906209734</v>
      </c>
      <c r="AN121" s="62">
        <f ca="1">AVERAGE(OFFSET($AM$3,0,0,'Données projet'!$E$10+1,1))-AVERAGE(OFFSET($H$3,0,0,'Données projet'!$E$10+1,1))</f>
        <v>197.85998851681552</v>
      </c>
      <c r="AO121" s="62">
        <f t="shared" si="90"/>
        <v>474.54844785896239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9.3329310394705853</v>
      </c>
      <c r="AV121" s="23">
        <f>EXP(-LN(2)/25)*AV120+(1-EXP(-LN(2)/25))/(LN(2)/25)*Calculateur!AQ121*Calculateur!AS121*VLOOKUP('Données projet'!$B$10,Paramètres!$A$1:$I$89,3,0)*0.475*44/12</f>
        <v>3.831083185645781</v>
      </c>
      <c r="AW121" s="23">
        <f>EXP(-LN(2)/2)*AW120+(1-EXP(-LN(2)/2))/(LN(2)/2)*AQ121*AT121*VLOOKUP('Données projet'!$B$10,Paramètres!$A$1:$I$89,3,0)*0.475*44/12</f>
        <v>2.4765191026806798E-12</v>
      </c>
      <c r="AX121" s="23">
        <f t="shared" si="60"/>
        <v>13.164014225118843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1.1368683772161603E-13</v>
      </c>
      <c r="BE121" s="14">
        <f>BD121*VLOOKUP('Données projet'!$B$11,Paramètres!$A$1:$I$89,3,0)*VLOOKUP('Données projet'!$B$11,Paramètres!$A$1:$I$89,5,0)</f>
        <v>6.7984728957526396E-14</v>
      </c>
      <c r="BF121" s="14">
        <f t="shared" si="91"/>
        <v>1.0682447123141398E-12</v>
      </c>
      <c r="BG121" s="22">
        <f t="shared" si="61"/>
        <v>1.978932943548152E-12</v>
      </c>
      <c r="BH121" s="62">
        <f t="shared" si="62"/>
        <v>276.69096906209734</v>
      </c>
      <c r="BI121" s="62">
        <f ca="1">AVERAGE(OFFSET($BH$3,0,0,'Données projet'!$E$11+1,1))-AVERAGE(OFFSET($H$3,0,0,'Données projet'!$E$11+1,1))</f>
        <v>197.85998851681552</v>
      </c>
      <c r="BJ121" s="62">
        <f t="shared" si="92"/>
        <v>474.54844785896239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9.3329310394705853</v>
      </c>
      <c r="BQ121" s="23">
        <f>EXP(-LN(2)/25)*BQ120+(1-EXP(-LN(2)/25))/(LN(2)/25)*Calculateur!BL121*Calculateur!BN121*VLOOKUP('Données projet'!$B$11,Paramètres!$A$1:$I$89,3,0)*0.475*44/12</f>
        <v>3.831083185645781</v>
      </c>
      <c r="BR121" s="23">
        <f>EXP(-LN(2)/2)*BR120+(1-EXP(-LN(2)/2))/(LN(2)/2)*BL121*BO121*VLOOKUP('Données projet'!$B$11,Paramètres!$A$1:$I$89,3,0)*0.475*44/12</f>
        <v>2.4765191026806798E-12</v>
      </c>
      <c r="BS121" s="24">
        <f t="shared" si="63"/>
        <v>13.164014225118843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>
        <f>BY121*VLOOKUP('Données projet'!$B$12,Paramètres!$A$1:$I$89,3,0)*VLOOKUP('Données projet'!$B$12,Paramètres!$A$1:$I$89,5,0)</f>
        <v>0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72.97248599808384</v>
      </c>
      <c r="CE121" s="62">
        <f t="shared" si="94"/>
        <v>346.88163654003574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10.172819927149936</v>
      </c>
      <c r="CL121" s="23">
        <f>EXP(-LN(2)/25)*CL120+(1-EXP(-LN(2)/25))/(LN(2)/25)*Calculateur!CG121*Calculateur!CI121*VLOOKUP('Données projet'!$B$12,Paramètres!$A$1:$I$89,3,0)*0.475*44/12</f>
        <v>1.1381339646350306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11.310953891784967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>
        <f>CT121*VLOOKUP('Données projet'!$B$13,Paramètres!$A$1:$I$89,3,0)*VLOOKUP('Données projet'!$B$13,Paramètres!$A$1:$I$89,5,0)</f>
        <v>0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67.303283896086128</v>
      </c>
      <c r="CZ121" s="62">
        <f t="shared" si="96"/>
        <v>318.97925671653547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9.2377139171333731</v>
      </c>
      <c r="DG121" s="23">
        <f>EXP(-LN(2)/25)*DG120+(1-EXP(-LN(2)/25))/(LN(2)/25)*Calculateur!DB121*Calculateur!DD121*VLOOKUP('Données projet'!$B$13,Paramètres!$A$1:$I$89,3,0)*0.475*44/12</f>
        <v>1.0335144079972682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10.271228325130641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>
        <f>DO121*VLOOKUP('Données projet'!$B$14,Paramètres!$A$1:$I$89,3,0)*VLOOKUP('Données projet'!$B$14,Paramètres!$A$1:$I$89,5,0)</f>
        <v>0</v>
      </c>
      <c r="DQ121" s="14" t="e">
        <f t="shared" si="97"/>
        <v>#NUM!</v>
      </c>
      <c r="DR121" s="22" t="e">
        <f t="shared" si="70"/>
        <v>#NUM!</v>
      </c>
      <c r="DS121" s="62" t="e">
        <f t="shared" si="71"/>
        <v>#NUM!</v>
      </c>
      <c r="DT121" s="62">
        <f ca="1">AVERAGE(OFFSET($DS$3,0,0,'Données projet'!$E$14+1,1))-AVERAGE(OFFSET($H$3,0,0,'Données projet'!$E$14+1,1))</f>
        <v>75.244137291704476</v>
      </c>
      <c r="DU121" s="62">
        <f t="shared" si="98"/>
        <v>366.065475656937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10.816832330742605</v>
      </c>
      <c r="EB121" s="23">
        <f>EXP(-LN(2)/25)*EB120+(1-EXP(-LN(2)/25))/(LN(2)/25)*Calculateur!DW121*Calculateur!DY121*VLOOKUP('Données projet'!$B$14,Paramètres!$A$1:$I$89,3,0)*0.475*44/12</f>
        <v>1.2101860008869312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12.027018331629536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3.6</v>
      </c>
      <c r="EJ121" s="13">
        <f>IF('Données projet'!$A$192&gt;35,EJ120+EI121-ER120,IF(A121&lt;'Données projet'!$A$192,$EG$205^A121,IF(A121='Données projet'!$A$192,'Données projet'!$B$192,EJ120+EI121-ER120)))</f>
        <v>276.80000000000007</v>
      </c>
      <c r="EK121" s="18">
        <f>EJ121*VLOOKUP('Données projet'!$B$15,Paramètres!$A$1:$I$89,3,0)*VLOOKUP('Données projet'!$B$15,Paramètres!$A$1:$I$89,5,0)</f>
        <v>267.72096000000005</v>
      </c>
      <c r="EL121" s="14">
        <f t="shared" si="99"/>
        <v>64.365361123519946</v>
      </c>
      <c r="EM121" s="22">
        <f t="shared" si="73"/>
        <v>578.38367595679733</v>
      </c>
      <c r="EN121" s="62">
        <f t="shared" si="74"/>
        <v>855.07464501889262</v>
      </c>
      <c r="EO121" s="62">
        <f ca="1">AVERAGE(OFFSET($EN$3,0,0,'Données projet'!$E$15+1,1))-AVERAGE(OFFSET($H$3,0,0,'Données projet'!$E$15+1,1))</f>
        <v>452.74627739105745</v>
      </c>
      <c r="EP121" s="62">
        <f t="shared" si="100"/>
        <v>281.80695725575106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3.6</v>
      </c>
      <c r="FE121" s="13">
        <f>IF('Données projet'!$A$218&gt;35,FE120+FD121-FM120,IF(A121&lt;'Données projet'!$A$218,$FB$205^A121,IF(A121='Données projet'!$A$218,'Données projet'!$B$218,FE120+FD121-FM120)))</f>
        <v>276.80000000000007</v>
      </c>
      <c r="FF121" s="18">
        <f>FE121*VLOOKUP('Données projet'!$B$16,Paramètres!$A$1:$I$89,3,0)*VLOOKUP('Données projet'!$B$16,Paramètres!$A$1:$I$89,5,0)</f>
        <v>297.94752000000005</v>
      </c>
      <c r="FG121" s="14">
        <f t="shared" si="101"/>
        <v>70.746013064442337</v>
      </c>
      <c r="FH121" s="22">
        <f t="shared" si="76"/>
        <v>642.14123675390374</v>
      </c>
      <c r="FI121" s="62">
        <f t="shared" si="77"/>
        <v>918.83220581599903</v>
      </c>
      <c r="FJ121" s="62">
        <f ca="1">AVERAGE(OFFSET($FI$3,0,0,'Données projet'!$E$16+1,1))-AVERAGE(OFFSET($H$3,0,0,'Données projet'!$E$16+1,1))</f>
        <v>492.72391755143508</v>
      </c>
      <c r="FK121" s="62">
        <f t="shared" si="102"/>
        <v>304.88554179994355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65.461173380571466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143.77000000000001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-5.6843418860808015E-14</v>
      </c>
      <c r="O122" s="14">
        <f>N122*VLOOKUP('Données projet'!$B$9,Paramètres!$A$1:$I$89,3,0)*VLOOKUP('Données projet'!$B$9,Paramètres!$A$1:$I$89,5,0)</f>
        <v>-5.1431925385259088E-14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388.8309693898596</v>
      </c>
      <c r="T122" s="62">
        <f t="shared" si="88"/>
        <v>549.06702041234382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1.8163865199133997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1.8163865199133997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>
        <f>AI122*VLOOKUP('Données projet'!$B$10,Paramètres!$A$1:$I$89,3,0)*VLOOKUP('Données projet'!$B$10,Paramètres!$A$1:$I$89,5,0)</f>
        <v>6.7984728957526396E-14</v>
      </c>
      <c r="AK122" s="14">
        <f t="shared" si="89"/>
        <v>1.0682447123141398E-12</v>
      </c>
      <c r="AL122" s="22">
        <f t="shared" si="58"/>
        <v>1.978932943548152E-12</v>
      </c>
      <c r="AM122" s="62">
        <f t="shared" si="59"/>
        <v>276.97967687545076</v>
      </c>
      <c r="AN122" s="62">
        <f ca="1">AVERAGE(OFFSET($AM$3,0,0,'Données projet'!$E$10+1,1))-AVERAGE(OFFSET($H$3,0,0,'Données projet'!$E$10+1,1))</f>
        <v>197.85998851681552</v>
      </c>
      <c r="AO122" s="62">
        <f t="shared" si="90"/>
        <v>474.54844785896239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9.1499179543124107</v>
      </c>
      <c r="AV122" s="23">
        <f>EXP(-LN(2)/25)*AV121+(1-EXP(-LN(2)/25))/(LN(2)/25)*Calculateur!AQ122*Calculateur!AS122*VLOOKUP('Données projet'!$B$10,Paramètres!$A$1:$I$89,3,0)*0.475*44/12</f>
        <v>3.7263220144663882</v>
      </c>
      <c r="AW122" s="23">
        <f>EXP(-LN(2)/2)*AW121+(1-EXP(-LN(2)/2))/(LN(2)/2)*AQ122*AT122*VLOOKUP('Données projet'!$B$10,Paramètres!$A$1:$I$89,3,0)*0.475*44/12</f>
        <v>1.7511634512435325E-12</v>
      </c>
      <c r="AX122" s="23">
        <f t="shared" si="60"/>
        <v>12.876239968780551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1.1368683772161603E-13</v>
      </c>
      <c r="BE122" s="14">
        <f>BD122*VLOOKUP('Données projet'!$B$11,Paramètres!$A$1:$I$89,3,0)*VLOOKUP('Données projet'!$B$11,Paramètres!$A$1:$I$89,5,0)</f>
        <v>6.7984728957526396E-14</v>
      </c>
      <c r="BF122" s="14">
        <f t="shared" si="91"/>
        <v>1.0682447123141398E-12</v>
      </c>
      <c r="BG122" s="22">
        <f t="shared" si="61"/>
        <v>1.978932943548152E-12</v>
      </c>
      <c r="BH122" s="62">
        <f t="shared" si="62"/>
        <v>276.97967687545076</v>
      </c>
      <c r="BI122" s="62">
        <f ca="1">AVERAGE(OFFSET($BH$3,0,0,'Données projet'!$E$11+1,1))-AVERAGE(OFFSET($H$3,0,0,'Données projet'!$E$11+1,1))</f>
        <v>197.85998851681552</v>
      </c>
      <c r="BJ122" s="62">
        <f t="shared" si="92"/>
        <v>474.54844785896239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9.1499179543124107</v>
      </c>
      <c r="BQ122" s="23">
        <f>EXP(-LN(2)/25)*BQ121+(1-EXP(-LN(2)/25))/(LN(2)/25)*Calculateur!BL122*Calculateur!BN122*VLOOKUP('Données projet'!$B$11,Paramètres!$A$1:$I$89,3,0)*0.475*44/12</f>
        <v>3.7263220144663882</v>
      </c>
      <c r="BR122" s="23">
        <f>EXP(-LN(2)/2)*BR121+(1-EXP(-LN(2)/2))/(LN(2)/2)*BL122*BO122*VLOOKUP('Données projet'!$B$11,Paramètres!$A$1:$I$89,3,0)*0.475*44/12</f>
        <v>1.7511634512435325E-12</v>
      </c>
      <c r="BS122" s="24">
        <f t="shared" si="63"/>
        <v>12.876239968780551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>
        <f>BY122*VLOOKUP('Données projet'!$B$12,Paramètres!$A$1:$I$89,3,0)*VLOOKUP('Données projet'!$B$12,Paramètres!$A$1:$I$89,5,0)</f>
        <v>0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72.97248599808384</v>
      </c>
      <c r="CE122" s="62">
        <f t="shared" si="94"/>
        <v>346.88163654003574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9.973337133186007</v>
      </c>
      <c r="CL122" s="23">
        <f>EXP(-LN(2)/25)*CL121+(1-EXP(-LN(2)/25))/(LN(2)/25)*Calculateur!CG122*Calculateur!CI122*VLOOKUP('Données projet'!$B$12,Paramètres!$A$1:$I$89,3,0)*0.475*44/12</f>
        <v>1.1070116315202216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11.080348764706228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>
        <f>CT122*VLOOKUP('Données projet'!$B$13,Paramètres!$A$1:$I$89,3,0)*VLOOKUP('Données projet'!$B$13,Paramètres!$A$1:$I$89,5,0)</f>
        <v>0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67.303283896086128</v>
      </c>
      <c r="CZ122" s="62">
        <f t="shared" si="96"/>
        <v>318.97925671653547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9.0565679816675217</v>
      </c>
      <c r="DG122" s="23">
        <f>EXP(-LN(2)/25)*DG121+(1-EXP(-LN(2)/25))/(LN(2)/25)*Calculateur!DB122*Calculateur!DD122*VLOOKUP('Données projet'!$B$13,Paramètres!$A$1:$I$89,3,0)*0.475*44/12</f>
        <v>1.0052529021604224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10.061820883827945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>
        <f>DO122*VLOOKUP('Données projet'!$B$14,Paramètres!$A$1:$I$89,3,0)*VLOOKUP('Données projet'!$B$14,Paramètres!$A$1:$I$89,5,0)</f>
        <v>0</v>
      </c>
      <c r="DQ122" s="14" t="e">
        <f t="shared" si="97"/>
        <v>#NUM!</v>
      </c>
      <c r="DR122" s="22" t="e">
        <f t="shared" si="70"/>
        <v>#NUM!</v>
      </c>
      <c r="DS122" s="62" t="e">
        <f t="shared" si="71"/>
        <v>#NUM!</v>
      </c>
      <c r="DT122" s="62">
        <f ca="1">AVERAGE(OFFSET($DS$3,0,0,'Données projet'!$E$14+1,1))-AVERAGE(OFFSET($H$3,0,0,'Données projet'!$E$14+1,1))</f>
        <v>75.244137291704476</v>
      </c>
      <c r="DU122" s="62">
        <f t="shared" si="98"/>
        <v>366.065475656937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10.604720846353004</v>
      </c>
      <c r="EB122" s="23">
        <f>EXP(-LN(2)/25)*EB121+(1-EXP(-LN(2)/25))/(LN(2)/25)*Calculateur!DW122*Calculateur!DY122*VLOOKUP('Données projet'!$B$14,Paramètres!$A$1:$I$89,3,0)*0.475*44/12</f>
        <v>1.1770934010517622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11.781814247404766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3.6</v>
      </c>
      <c r="EJ122" s="13">
        <f>IF('Données projet'!$A$192&gt;35,EJ121+EI122-ER121,IF(A122&lt;'Données projet'!$A$192,$EG$205^A122,IF(A122='Données projet'!$A$192,'Données projet'!$B$192,EJ121+EI122-ER121)))</f>
        <v>280.40000000000009</v>
      </c>
      <c r="EK122" s="18">
        <f>EJ122*VLOOKUP('Données projet'!$B$15,Paramètres!$A$1:$I$89,3,0)*VLOOKUP('Données projet'!$B$15,Paramètres!$A$1:$I$89,5,0)</f>
        <v>271.20288000000005</v>
      </c>
      <c r="EL122" s="14">
        <f t="shared" si="99"/>
        <v>65.104484700680999</v>
      </c>
      <c r="EM122" s="22">
        <f t="shared" si="73"/>
        <v>585.73532685368616</v>
      </c>
      <c r="EN122" s="62">
        <f t="shared" si="74"/>
        <v>862.71500372913488</v>
      </c>
      <c r="EO122" s="62">
        <f ca="1">AVERAGE(OFFSET($EN$3,0,0,'Données projet'!$E$15+1,1))-AVERAGE(OFFSET($H$3,0,0,'Données projet'!$E$15+1,1))</f>
        <v>452.74627739105745</v>
      </c>
      <c r="EP122" s="62">
        <f t="shared" si="100"/>
        <v>281.80695725575106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3.6</v>
      </c>
      <c r="FE122" s="13">
        <f>IF('Données projet'!$A$218&gt;35,FE121+FD122-FM121,IF(A122&lt;'Données projet'!$A$218,$FB$205^A122,IF(A122='Données projet'!$A$218,'Données projet'!$B$218,FE121+FD122-FM121)))</f>
        <v>280.40000000000009</v>
      </c>
      <c r="FF122" s="18">
        <f>FE122*VLOOKUP('Données projet'!$B$16,Paramètres!$A$1:$I$89,3,0)*VLOOKUP('Données projet'!$B$16,Paramètres!$A$1:$I$89,5,0)</f>
        <v>301.82256000000012</v>
      </c>
      <c r="FG122" s="14">
        <f t="shared" si="101"/>
        <v>71.558407267369674</v>
      </c>
      <c r="FH122" s="22">
        <f t="shared" si="76"/>
        <v>650.30518465733564</v>
      </c>
      <c r="FI122" s="62">
        <f t="shared" si="77"/>
        <v>927.28486153278436</v>
      </c>
      <c r="FJ122" s="62">
        <f ca="1">AVERAGE(OFFSET($FI$3,0,0,'Données projet'!$E$16+1,1))-AVERAGE(OFFSET($H$3,0,0,'Données projet'!$E$16+1,1))</f>
        <v>492.72391755143508</v>
      </c>
      <c r="FK122" s="62">
        <f t="shared" si="102"/>
        <v>304.88554179994355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65.539911875122385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143.77000000000001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-5.6843418860808015E-14</v>
      </c>
      <c r="O123" s="14">
        <f>N123*VLOOKUP('Données projet'!$B$9,Paramètres!$A$1:$I$89,3,0)*VLOOKUP('Données projet'!$B$9,Paramètres!$A$1:$I$89,5,0)</f>
        <v>-5.1431925385259088E-14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388.8309693898596</v>
      </c>
      <c r="T123" s="62">
        <f t="shared" si="88"/>
        <v>549.06702041234382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1.7807682881442803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1.7807682881442803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>
        <f>AI123*VLOOKUP('Données projet'!$B$10,Paramètres!$A$1:$I$89,3,0)*VLOOKUP('Données projet'!$B$10,Paramètres!$A$1:$I$89,5,0)</f>
        <v>6.7984728957526396E-14</v>
      </c>
      <c r="AK123" s="14">
        <f t="shared" si="89"/>
        <v>1.0682447123141398E-12</v>
      </c>
      <c r="AL123" s="22">
        <f t="shared" si="58"/>
        <v>1.978932943548152E-12</v>
      </c>
      <c r="AM123" s="62">
        <f t="shared" si="59"/>
        <v>277.26337625369649</v>
      </c>
      <c r="AN123" s="62">
        <f ca="1">AVERAGE(OFFSET($AM$3,0,0,'Données projet'!$E$10+1,1))-AVERAGE(OFFSET($H$3,0,0,'Données projet'!$E$10+1,1))</f>
        <v>197.85998851681552</v>
      </c>
      <c r="AO123" s="62">
        <f t="shared" si="90"/>
        <v>474.54844785896239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8.9704936441272292</v>
      </c>
      <c r="AV123" s="23">
        <f>EXP(-LN(2)/25)*AV122+(1-EXP(-LN(2)/25))/(LN(2)/25)*Calculateur!AQ123*Calculateur!AS123*VLOOKUP('Données projet'!$B$10,Paramètres!$A$1:$I$89,3,0)*0.475*44/12</f>
        <v>3.6244255430220469</v>
      </c>
      <c r="AW123" s="23">
        <f>EXP(-LN(2)/2)*AW122+(1-EXP(-LN(2)/2))/(LN(2)/2)*AQ123*AT123*VLOOKUP('Données projet'!$B$10,Paramètres!$A$1:$I$89,3,0)*0.475*44/12</f>
        <v>1.2382595513403399E-12</v>
      </c>
      <c r="AX123" s="23">
        <f t="shared" si="60"/>
        <v>12.594919187150515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1.1368683772161603E-13</v>
      </c>
      <c r="BE123" s="14">
        <f>BD123*VLOOKUP('Données projet'!$B$11,Paramètres!$A$1:$I$89,3,0)*VLOOKUP('Données projet'!$B$11,Paramètres!$A$1:$I$89,5,0)</f>
        <v>6.7984728957526396E-14</v>
      </c>
      <c r="BF123" s="14">
        <f t="shared" si="91"/>
        <v>1.0682447123141398E-12</v>
      </c>
      <c r="BG123" s="22">
        <f t="shared" si="61"/>
        <v>1.978932943548152E-12</v>
      </c>
      <c r="BH123" s="62">
        <f t="shared" si="62"/>
        <v>277.26337625369649</v>
      </c>
      <c r="BI123" s="62">
        <f ca="1">AVERAGE(OFFSET($BH$3,0,0,'Données projet'!$E$11+1,1))-AVERAGE(OFFSET($H$3,0,0,'Données projet'!$E$11+1,1))</f>
        <v>197.85998851681552</v>
      </c>
      <c r="BJ123" s="62">
        <f t="shared" si="92"/>
        <v>474.54844785896239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8.9704936441272292</v>
      </c>
      <c r="BQ123" s="23">
        <f>EXP(-LN(2)/25)*BQ122+(1-EXP(-LN(2)/25))/(LN(2)/25)*Calculateur!BL123*Calculateur!BN123*VLOOKUP('Données projet'!$B$11,Paramètres!$A$1:$I$89,3,0)*0.475*44/12</f>
        <v>3.6244255430220469</v>
      </c>
      <c r="BR123" s="23">
        <f>EXP(-LN(2)/2)*BR122+(1-EXP(-LN(2)/2))/(LN(2)/2)*BL123*BO123*VLOOKUP('Données projet'!$B$11,Paramètres!$A$1:$I$89,3,0)*0.475*44/12</f>
        <v>1.2382595513403399E-12</v>
      </c>
      <c r="BS123" s="24">
        <f t="shared" si="63"/>
        <v>12.594919187150515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>
        <f>BY123*VLOOKUP('Données projet'!$B$12,Paramètres!$A$1:$I$89,3,0)*VLOOKUP('Données projet'!$B$12,Paramètres!$A$1:$I$89,5,0)</f>
        <v>0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72.97248599808384</v>
      </c>
      <c r="CE123" s="62">
        <f t="shared" si="94"/>
        <v>346.88163654003574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9.7777660751392208</v>
      </c>
      <c r="CL123" s="23">
        <f>EXP(-LN(2)/25)*CL122+(1-EXP(-LN(2)/25))/(LN(2)/25)*Calculateur!CG123*Calculateur!CI123*VLOOKUP('Données projet'!$B$12,Paramètres!$A$1:$I$89,3,0)*0.475*44/12</f>
        <v>1.0767403402410896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10.85450641538031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>
        <f>CT123*VLOOKUP('Données projet'!$B$13,Paramètres!$A$1:$I$89,3,0)*VLOOKUP('Données projet'!$B$13,Paramètres!$A$1:$I$89,5,0)</f>
        <v>0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67.303283896086128</v>
      </c>
      <c r="CZ123" s="62">
        <f t="shared" si="96"/>
        <v>318.97925671653547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8.878974207508044</v>
      </c>
      <c r="DG123" s="23">
        <f>EXP(-LN(2)/25)*DG122+(1-EXP(-LN(2)/25))/(LN(2)/25)*Calculateur!DB123*Calculateur!DD123*VLOOKUP('Données projet'!$B$13,Paramètres!$A$1:$I$89,3,0)*0.475*44/12</f>
        <v>0.97776420868689307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9.8567384161949363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>
        <f>DO123*VLOOKUP('Données projet'!$B$14,Paramètres!$A$1:$I$89,3,0)*VLOOKUP('Données projet'!$B$14,Paramètres!$A$1:$I$89,5,0)</f>
        <v>0</v>
      </c>
      <c r="DQ123" s="14" t="e">
        <f t="shared" si="97"/>
        <v>#NUM!</v>
      </c>
      <c r="DR123" s="22" t="e">
        <f t="shared" si="70"/>
        <v>#NUM!</v>
      </c>
      <c r="DS123" s="62" t="e">
        <f t="shared" si="71"/>
        <v>#NUM!</v>
      </c>
      <c r="DT123" s="62">
        <f ca="1">AVERAGE(OFFSET($DS$3,0,0,'Données projet'!$E$14+1,1))-AVERAGE(OFFSET($H$3,0,0,'Données projet'!$E$14+1,1))</f>
        <v>75.244137291704476</v>
      </c>
      <c r="DU123" s="62">
        <f t="shared" si="98"/>
        <v>366.065475656937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10.396768738797052</v>
      </c>
      <c r="EB123" s="23">
        <f>EXP(-LN(2)/25)*EB122+(1-EXP(-LN(2)/25))/(LN(2)/25)*Calculateur!DW123*Calculateur!DY123*VLOOKUP('Données projet'!$B$14,Paramètres!$A$1:$I$89,3,0)*0.475*44/12</f>
        <v>1.14490572009935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11.541674458896402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>
        <f>VLOOKUP(A123,'Données projet'!$A$191:$I$211,2,0)</f>
        <v>284</v>
      </c>
      <c r="EH123" s="13">
        <f>VLOOKUP(A123,'Données projet'!$A$191:$I$211,9,0)</f>
        <v>3.6</v>
      </c>
      <c r="EI123" s="13">
        <f t="array" ref="EI123">INDEX(EH:EH,MIN(IF(ISNUMBER(EH123:EH319),ROW(EH123:EH319),"")))</f>
        <v>3.6</v>
      </c>
      <c r="EJ123" s="13">
        <f>IF('Données projet'!$A$192&gt;35,EJ122+EI123-ER122,IF(A123&lt;'Données projet'!$A$192,$EG$205^A123,IF(A123='Données projet'!$A$192,'Données projet'!$B$192,EJ122+EI123-ER122)))</f>
        <v>284.00000000000011</v>
      </c>
      <c r="EK123" s="18">
        <f>EJ123*VLOOKUP('Données projet'!$B$15,Paramètres!$A$1:$I$89,3,0)*VLOOKUP('Données projet'!$B$15,Paramètres!$A$1:$I$89,5,0)</f>
        <v>274.68480000000011</v>
      </c>
      <c r="EL123" s="14">
        <f t="shared" si="99"/>
        <v>65.842504497456659</v>
      </c>
      <c r="EM123" s="22">
        <f t="shared" si="73"/>
        <v>593.0850553330705</v>
      </c>
      <c r="EN123" s="62">
        <f t="shared" si="74"/>
        <v>870.34843158676495</v>
      </c>
      <c r="EO123" s="62">
        <f ca="1">AVERAGE(OFFSET($EN$3,0,0,'Données projet'!$E$15+1,1))-AVERAGE(OFFSET($H$3,0,0,'Données projet'!$E$15+1,1))</f>
        <v>452.74627739105745</v>
      </c>
      <c r="EP123" s="62">
        <f t="shared" si="100"/>
        <v>281.80695725575106</v>
      </c>
      <c r="EQ123" s="16">
        <f>IF(ISNA(VLOOKUP(A123,'Données projet'!$A$191:$I$211,3,0)),0,VLOOKUP(A123,'Données projet'!$A$191:$I$211,3,0))</f>
        <v>20</v>
      </c>
      <c r="ER123" s="16">
        <f>IF(ISNA(VLOOKUP(A123,'Données projet'!$A$191:$I$211,4,0)),0,VLOOKUP(A123,'Données projet'!$A$191:$I$211,4,0))</f>
        <v>284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>
        <f>VLOOKUP(A123,'Données projet'!$A$217:$I$237,2,0)</f>
        <v>284</v>
      </c>
      <c r="FC123" s="13">
        <f>VLOOKUP(A123,'Données projet'!$A$217:$I$237,9,0)</f>
        <v>3.6</v>
      </c>
      <c r="FD123" s="13">
        <f t="array" ref="FD123">INDEX(FC:FC,MIN(IF(ISNUMBER(FC123:FC319),ROW(FC123:FC319),"")))</f>
        <v>3.6</v>
      </c>
      <c r="FE123" s="13">
        <f>IF('Données projet'!$A$218&gt;35,FE122+FD123-FM122,IF(A123&lt;'Données projet'!$A$218,$FB$205^A123,IF(A123='Données projet'!$A$218,'Données projet'!$B$218,FE122+FD123-FM122)))</f>
        <v>284.00000000000011</v>
      </c>
      <c r="FF123" s="18">
        <f>FE123*VLOOKUP('Données projet'!$B$16,Paramètres!$A$1:$I$89,3,0)*VLOOKUP('Données projet'!$B$16,Paramètres!$A$1:$I$89,5,0)</f>
        <v>305.69760000000014</v>
      </c>
      <c r="FG123" s="14">
        <f t="shared" si="101"/>
        <v>72.369588270212418</v>
      </c>
      <c r="FH123" s="22">
        <f t="shared" si="76"/>
        <v>658.46701957062021</v>
      </c>
      <c r="FI123" s="62">
        <f t="shared" si="77"/>
        <v>935.73039582431466</v>
      </c>
      <c r="FJ123" s="62">
        <f ca="1">AVERAGE(OFFSET($FI$3,0,0,'Données projet'!$E$16+1,1))-AVERAGE(OFFSET($H$3,0,0,'Données projet'!$E$16+1,1))</f>
        <v>492.72391755143508</v>
      </c>
      <c r="FK123" s="62">
        <f t="shared" si="102"/>
        <v>304.88554179994355</v>
      </c>
      <c r="FL123" s="16">
        <f>IF(ISNA(VLOOKUP(A123,'Données projet'!$A$217:$I$237,3,0)),0,VLOOKUP(A123,'Données projet'!$A$217:$I$237,3,0))</f>
        <v>20</v>
      </c>
      <c r="FM123" s="16">
        <f>IF(ISNA(VLOOKUP(A123,'Données projet'!$A$217:$I$237,4,0)),0,VLOOKUP(A123,'Données projet'!$A$217:$I$237,4,0))</f>
        <v>284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65.61728443282577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143.77000000000001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-5.6843418860808015E-14</v>
      </c>
      <c r="O124" s="14">
        <f>N124*VLOOKUP('Données projet'!$B$9,Paramètres!$A$1:$I$89,3,0)*VLOOKUP('Données projet'!$B$9,Paramètres!$A$1:$I$89,5,0)</f>
        <v>-5.1431925385259088E-14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388.8309693898596</v>
      </c>
      <c r="T124" s="62">
        <f t="shared" si="88"/>
        <v>549.06702041234382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1.7458485081751773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1.7458485081751773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6.7984728957526396E-14</v>
      </c>
      <c r="AK124" s="14">
        <f t="shared" si="89"/>
        <v>1.0682447123141398E-12</v>
      </c>
      <c r="AL124" s="22">
        <f t="shared" si="58"/>
        <v>1.978932943548152E-12</v>
      </c>
      <c r="AM124" s="62">
        <f t="shared" si="59"/>
        <v>277.5421540819865</v>
      </c>
      <c r="AN124" s="62">
        <f ca="1">AVERAGE(OFFSET($AM$3,0,0,'Données projet'!$E$10+1,1))-AVERAGE(OFFSET($H$3,0,0,'Données projet'!$E$10+1,1))</f>
        <v>197.85998851681552</v>
      </c>
      <c r="AO124" s="62">
        <f t="shared" si="90"/>
        <v>474.54844785896239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8.7945877352267559</v>
      </c>
      <c r="AV124" s="23">
        <f>EXP(-LN(2)/25)*AV123+(1-EXP(-LN(2)/25))/(LN(2)/25)*Calculateur!AQ124*Calculateur!AS124*VLOOKUP('Données projet'!$B$10,Paramètres!$A$1:$I$89,3,0)*0.475*44/12</f>
        <v>3.5253154359478533</v>
      </c>
      <c r="AW124" s="23">
        <f>EXP(-LN(2)/2)*AW123+(1-EXP(-LN(2)/2))/(LN(2)/2)*AQ124*AT124*VLOOKUP('Données projet'!$B$10,Paramètres!$A$1:$I$89,3,0)*0.475*44/12</f>
        <v>8.7558172562176626E-13</v>
      </c>
      <c r="AX124" s="23">
        <f t="shared" si="60"/>
        <v>12.319903171175485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1.1368683772161603E-13</v>
      </c>
      <c r="BE124" s="14">
        <f>BD124*VLOOKUP('Données projet'!$B$11,Paramètres!$A$1:$I$89,3,0)*VLOOKUP('Données projet'!$B$11,Paramètres!$A$1:$I$89,5,0)</f>
        <v>6.7984728957526396E-14</v>
      </c>
      <c r="BF124" s="14">
        <f t="shared" si="91"/>
        <v>1.0682447123141398E-12</v>
      </c>
      <c r="BG124" s="22">
        <f t="shared" si="61"/>
        <v>1.978932943548152E-12</v>
      </c>
      <c r="BH124" s="62">
        <f t="shared" si="62"/>
        <v>277.5421540819865</v>
      </c>
      <c r="BI124" s="62">
        <f ca="1">AVERAGE(OFFSET($BH$3,0,0,'Données projet'!$E$11+1,1))-AVERAGE(OFFSET($H$3,0,0,'Données projet'!$E$11+1,1))</f>
        <v>197.85998851681552</v>
      </c>
      <c r="BJ124" s="62">
        <f t="shared" si="92"/>
        <v>474.54844785896239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8.7945877352267559</v>
      </c>
      <c r="BQ124" s="23">
        <f>EXP(-LN(2)/25)*BQ123+(1-EXP(-LN(2)/25))/(LN(2)/25)*Calculateur!BL124*Calculateur!BN124*VLOOKUP('Données projet'!$B$11,Paramètres!$A$1:$I$89,3,0)*0.475*44/12</f>
        <v>3.5253154359478533</v>
      </c>
      <c r="BR124" s="23">
        <f>EXP(-LN(2)/2)*BR123+(1-EXP(-LN(2)/2))/(LN(2)/2)*BL124*BO124*VLOOKUP('Données projet'!$B$11,Paramètres!$A$1:$I$89,3,0)*0.475*44/12</f>
        <v>8.7558172562176626E-13</v>
      </c>
      <c r="BS124" s="24">
        <f t="shared" si="63"/>
        <v>12.319903171175485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>
        <f>BY124*VLOOKUP('Données projet'!$B$12,Paramètres!$A$1:$I$89,3,0)*VLOOKUP('Données projet'!$B$12,Paramètres!$A$1:$I$89,5,0)</f>
        <v>0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72.97248599808384</v>
      </c>
      <c r="CE124" s="62">
        <f t="shared" si="94"/>
        <v>346.88163654003574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9.5860300462541659</v>
      </c>
      <c r="CL124" s="23">
        <f>EXP(-LN(2)/25)*CL123+(1-EXP(-LN(2)/25))/(LN(2)/25)*Calculateur!CG124*Calculateur!CI124*VLOOKUP('Données projet'!$B$12,Paramètres!$A$1:$I$89,3,0)*0.475*44/12</f>
        <v>1.0472968190138834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10.633326865268049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>
        <f>CT124*VLOOKUP('Données projet'!$B$13,Paramètres!$A$1:$I$89,3,0)*VLOOKUP('Données projet'!$B$13,Paramètres!$A$1:$I$89,5,0)</f>
        <v>0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67.303283896086128</v>
      </c>
      <c r="CZ124" s="62">
        <f t="shared" si="96"/>
        <v>318.97925671653547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8.7048629389383283</v>
      </c>
      <c r="DG124" s="23">
        <f>EXP(-LN(2)/25)*DG123+(1-EXP(-LN(2)/25))/(LN(2)/25)*Calculateur!DB124*Calculateur!DD124*VLOOKUP('Données projet'!$B$13,Paramètres!$A$1:$I$89,3,0)*0.475*44/12</f>
        <v>0.95102719498196497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9.6558901339202929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>
        <f>DO124*VLOOKUP('Données projet'!$B$14,Paramètres!$A$1:$I$89,3,0)*VLOOKUP('Données projet'!$B$14,Paramètres!$A$1:$I$89,5,0)</f>
        <v>0</v>
      </c>
      <c r="DQ124" s="14" t="e">
        <f t="shared" si="97"/>
        <v>#NUM!</v>
      </c>
      <c r="DR124" s="22" t="e">
        <f t="shared" si="70"/>
        <v>#NUM!</v>
      </c>
      <c r="DS124" s="62" t="e">
        <f t="shared" si="71"/>
        <v>#NUM!</v>
      </c>
      <c r="DT124" s="62">
        <f ca="1">AVERAGE(OFFSET($DS$3,0,0,'Données projet'!$E$14+1,1))-AVERAGE(OFFSET($H$3,0,0,'Données projet'!$E$14+1,1))</f>
        <v>75.244137291704476</v>
      </c>
      <c r="DU124" s="62">
        <f t="shared" si="98"/>
        <v>366.065475656937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10.19289444523201</v>
      </c>
      <c r="EB124" s="23">
        <f>EXP(-LN(2)/25)*EB123+(1-EXP(-LN(2)/25))/(LN(2)/25)*Calculateur!DW124*Calculateur!DY124*VLOOKUP('Données projet'!$B$14,Paramètres!$A$1:$I$89,3,0)*0.475*44/12</f>
        <v>1.1135982129752582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11.306492658207269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1.1368683772161603E-13</v>
      </c>
      <c r="EK124" s="18">
        <f>EJ124*VLOOKUP('Données projet'!$B$15,Paramètres!$A$1:$I$89,3,0)*VLOOKUP('Données projet'!$B$15,Paramètres!$A$1:$I$89,5,0)</f>
        <v>1.0995790944434703E-13</v>
      </c>
      <c r="EL124" s="14">
        <f t="shared" si="99"/>
        <v>1.6337280948049956E-12</v>
      </c>
      <c r="EM124" s="22">
        <f t="shared" si="73"/>
        <v>3.036919790734272E-12</v>
      </c>
      <c r="EN124" s="62">
        <f t="shared" si="74"/>
        <v>277.54215408198752</v>
      </c>
      <c r="EO124" s="62">
        <f ca="1">AVERAGE(OFFSET($EN$3,0,0,'Données projet'!$E$15+1,1))-AVERAGE(OFFSET($H$3,0,0,'Données projet'!$E$15+1,1))</f>
        <v>452.74627739105745</v>
      </c>
      <c r="EP124" s="62">
        <f t="shared" si="100"/>
        <v>281.80695725575106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1.1368683772161603E-13</v>
      </c>
      <c r="FF124" s="18">
        <f>FE124*VLOOKUP('Données projet'!$B$16,Paramètres!$A$1:$I$89,3,0)*VLOOKUP('Données projet'!$B$16,Paramètres!$A$1:$I$89,5,0)</f>
        <v>1.223725121235475E-13</v>
      </c>
      <c r="FG124" s="14">
        <f t="shared" si="101"/>
        <v>1.7956824466038182E-12</v>
      </c>
      <c r="FH124" s="22">
        <f t="shared" si="76"/>
        <v>3.3406123864501612E-12</v>
      </c>
      <c r="FI124" s="62">
        <f t="shared" si="77"/>
        <v>277.54215408198786</v>
      </c>
      <c r="FJ124" s="62">
        <f ca="1">AVERAGE(OFFSET($FI$3,0,0,'Données projet'!$E$16+1,1))-AVERAGE(OFFSET($H$3,0,0,'Données projet'!$E$16+1,1))</f>
        <v>492.72391755143508</v>
      </c>
      <c r="FK124" s="62">
        <f t="shared" si="102"/>
        <v>304.88554179994355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65.693314749632137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143.77000000000001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-5.6843418860808015E-14</v>
      </c>
      <c r="O125" s="14">
        <f>N125*VLOOKUP('Données projet'!$B$9,Paramètres!$A$1:$I$89,3,0)*VLOOKUP('Données projet'!$B$9,Paramètres!$A$1:$I$89,5,0)</f>
        <v>-5.1431925385259088E-14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388.8309693898596</v>
      </c>
      <c r="T125" s="62">
        <f t="shared" si="88"/>
        <v>549.06702041234382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1.7116134837923056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1.7116134837923056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6.7984728957526396E-14</v>
      </c>
      <c r="AK125" s="14">
        <f t="shared" si="89"/>
        <v>1.0682447123141398E-12</v>
      </c>
      <c r="AL125" s="22">
        <f t="shared" si="58"/>
        <v>1.978932943548152E-12</v>
      </c>
      <c r="AM125" s="62">
        <f t="shared" si="59"/>
        <v>277.81609573820947</v>
      </c>
      <c r="AN125" s="62">
        <f ca="1">AVERAGE(OFFSET($AM$3,0,0,'Données projet'!$E$10+1,1))-AVERAGE(OFFSET($H$3,0,0,'Données projet'!$E$10+1,1))</f>
        <v>197.85998851681552</v>
      </c>
      <c r="AO125" s="62">
        <f t="shared" si="90"/>
        <v>474.54844785896239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8.62213123390781</v>
      </c>
      <c r="AV125" s="23">
        <f>EXP(-LN(2)/25)*AV124+(1-EXP(-LN(2)/25))/(LN(2)/25)*Calculateur!AQ125*Calculateur!AS125*VLOOKUP('Données projet'!$B$10,Paramètres!$A$1:$I$89,3,0)*0.475*44/12</f>
        <v>3.4289154999635776</v>
      </c>
      <c r="AW125" s="23">
        <f>EXP(-LN(2)/2)*AW124+(1-EXP(-LN(2)/2))/(LN(2)/2)*AQ125*AT125*VLOOKUP('Données projet'!$B$10,Paramètres!$A$1:$I$89,3,0)*0.475*44/12</f>
        <v>6.1912977567016996E-13</v>
      </c>
      <c r="AX125" s="23">
        <f t="shared" si="60"/>
        <v>12.051046733872008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1.1368683772161603E-13</v>
      </c>
      <c r="BE125" s="14">
        <f>BD125*VLOOKUP('Données projet'!$B$11,Paramètres!$A$1:$I$89,3,0)*VLOOKUP('Données projet'!$B$11,Paramètres!$A$1:$I$89,5,0)</f>
        <v>6.7984728957526396E-14</v>
      </c>
      <c r="BF125" s="14">
        <f t="shared" si="91"/>
        <v>1.0682447123141398E-12</v>
      </c>
      <c r="BG125" s="22">
        <f t="shared" si="61"/>
        <v>1.978932943548152E-12</v>
      </c>
      <c r="BH125" s="62">
        <f t="shared" si="62"/>
        <v>277.81609573820947</v>
      </c>
      <c r="BI125" s="62">
        <f ca="1">AVERAGE(OFFSET($BH$3,0,0,'Données projet'!$E$11+1,1))-AVERAGE(OFFSET($H$3,0,0,'Données projet'!$E$11+1,1))</f>
        <v>197.85998851681552</v>
      </c>
      <c r="BJ125" s="62">
        <f t="shared" si="92"/>
        <v>474.54844785896239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8.62213123390781</v>
      </c>
      <c r="BQ125" s="23">
        <f>EXP(-LN(2)/25)*BQ124+(1-EXP(-LN(2)/25))/(LN(2)/25)*Calculateur!BL125*Calculateur!BN125*VLOOKUP('Données projet'!$B$11,Paramètres!$A$1:$I$89,3,0)*0.475*44/12</f>
        <v>3.4289154999635776</v>
      </c>
      <c r="BR125" s="23">
        <f>EXP(-LN(2)/2)*BR124+(1-EXP(-LN(2)/2))/(LN(2)/2)*BL125*BO125*VLOOKUP('Données projet'!$B$11,Paramètres!$A$1:$I$89,3,0)*0.475*44/12</f>
        <v>6.1912977567016996E-13</v>
      </c>
      <c r="BS125" s="24">
        <f t="shared" si="63"/>
        <v>12.051046733872008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>
        <f>BY125*VLOOKUP('Données projet'!$B$12,Paramètres!$A$1:$I$89,3,0)*VLOOKUP('Données projet'!$B$12,Paramètres!$A$1:$I$89,5,0)</f>
        <v>0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72.97248599808384</v>
      </c>
      <c r="CE125" s="62">
        <f t="shared" si="94"/>
        <v>346.88163654003574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9.3980538439481158</v>
      </c>
      <c r="CL125" s="23">
        <f>EXP(-LN(2)/25)*CL124+(1-EXP(-LN(2)/25))/(LN(2)/25)*Calculateur!CG125*Calculateur!CI125*VLOOKUP('Données projet'!$B$12,Paramètres!$A$1:$I$89,3,0)*0.475*44/12</f>
        <v>1.0186584324230026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10.416712276371118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>
        <f>CT125*VLOOKUP('Données projet'!$B$13,Paramètres!$A$1:$I$89,3,0)*VLOOKUP('Données projet'!$B$13,Paramètres!$A$1:$I$89,5,0)</f>
        <v>0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67.303283896086128</v>
      </c>
      <c r="CZ125" s="62">
        <f t="shared" si="96"/>
        <v>318.97925671653547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8.5341658861478766</v>
      </c>
      <c r="DG125" s="23">
        <f>EXP(-LN(2)/25)*DG124+(1-EXP(-LN(2)/25))/(LN(2)/25)*Calculateur!DB125*Calculateur!DD125*VLOOKUP('Données projet'!$B$13,Paramètres!$A$1:$I$89,3,0)*0.475*44/12</f>
        <v>0.92502130632283652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9.4591871924707132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>
        <f>DO125*VLOOKUP('Données projet'!$B$14,Paramètres!$A$1:$I$89,3,0)*VLOOKUP('Données projet'!$B$14,Paramètres!$A$1:$I$89,5,0)</f>
        <v>0</v>
      </c>
      <c r="DQ125" s="14" t="e">
        <f t="shared" si="97"/>
        <v>#NUM!</v>
      </c>
      <c r="DR125" s="22" t="e">
        <f t="shared" si="70"/>
        <v>#NUM!</v>
      </c>
      <c r="DS125" s="62" t="e">
        <f t="shared" si="71"/>
        <v>#NUM!</v>
      </c>
      <c r="DT125" s="62">
        <f ca="1">AVERAGE(OFFSET($DS$3,0,0,'Données projet'!$E$14+1,1))-AVERAGE(OFFSET($H$3,0,0,'Données projet'!$E$14+1,1))</f>
        <v>75.244137291704476</v>
      </c>
      <c r="DU125" s="62">
        <f t="shared" si="98"/>
        <v>366.065475656937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9.9930180022127395</v>
      </c>
      <c r="EB125" s="23">
        <f>EXP(-LN(2)/25)*EB124+(1-EXP(-LN(2)/25))/(LN(2)/25)*Calculateur!DW125*Calculateur!DY125*VLOOKUP('Données projet'!$B$14,Paramètres!$A$1:$I$89,3,0)*0.475*44/12</f>
        <v>1.0831468112798648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11.076164813492603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1.1368683772161603E-13</v>
      </c>
      <c r="EK125" s="18">
        <f>EJ125*VLOOKUP('Données projet'!$B$15,Paramètres!$A$1:$I$89,3,0)*VLOOKUP('Données projet'!$B$15,Paramètres!$A$1:$I$89,5,0)</f>
        <v>1.0995790944434703E-13</v>
      </c>
      <c r="EL125" s="14">
        <f t="shared" si="99"/>
        <v>1.6337280948049956E-12</v>
      </c>
      <c r="EM125" s="22">
        <f t="shared" si="73"/>
        <v>3.036919790734272E-12</v>
      </c>
      <c r="EN125" s="62">
        <f t="shared" si="74"/>
        <v>277.81609573821049</v>
      </c>
      <c r="EO125" s="62">
        <f ca="1">AVERAGE(OFFSET($EN$3,0,0,'Données projet'!$E$15+1,1))-AVERAGE(OFFSET($H$3,0,0,'Données projet'!$E$15+1,1))</f>
        <v>452.74627739105745</v>
      </c>
      <c r="EP125" s="62">
        <f t="shared" si="100"/>
        <v>281.80695725575106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1.1368683772161603E-13</v>
      </c>
      <c r="FF125" s="18">
        <f>FE125*VLOOKUP('Données projet'!$B$16,Paramètres!$A$1:$I$89,3,0)*VLOOKUP('Données projet'!$B$16,Paramètres!$A$1:$I$89,5,0)</f>
        <v>1.223725121235475E-13</v>
      </c>
      <c r="FG125" s="14">
        <f t="shared" si="101"/>
        <v>1.7956824466038182E-12</v>
      </c>
      <c r="FH125" s="22">
        <f t="shared" si="76"/>
        <v>3.3406123864501612E-12</v>
      </c>
      <c r="FI125" s="62">
        <f t="shared" si="77"/>
        <v>277.81609573821083</v>
      </c>
      <c r="FJ125" s="62">
        <f ca="1">AVERAGE(OFFSET($FI$3,0,0,'Données projet'!$E$16+1,1))-AVERAGE(OFFSET($H$3,0,0,'Données projet'!$E$16+1,1))</f>
        <v>492.72391755143508</v>
      </c>
      <c r="FK125" s="62">
        <f t="shared" si="102"/>
        <v>304.88554179994355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65.768026110420223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143.77000000000001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-5.6843418860808015E-14</v>
      </c>
      <c r="O126" s="14">
        <f>N126*VLOOKUP('Données projet'!$B$9,Paramètres!$A$1:$I$89,3,0)*VLOOKUP('Données projet'!$B$9,Paramètres!$A$1:$I$89,5,0)</f>
        <v>-5.1431925385259088E-14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388.8309693898596</v>
      </c>
      <c r="T126" s="62">
        <f t="shared" si="88"/>
        <v>549.06702041234382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1.678049787356279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1.678049787356279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6.7984728957526396E-14</v>
      </c>
      <c r="AK126" s="14">
        <f t="shared" si="89"/>
        <v>1.0682447123141398E-12</v>
      </c>
      <c r="AL126" s="22">
        <f t="shared" si="58"/>
        <v>1.978932943548152E-12</v>
      </c>
      <c r="AM126" s="62">
        <f t="shared" si="59"/>
        <v>278.0852851191388</v>
      </c>
      <c r="AN126" s="62">
        <f ca="1">AVERAGE(OFFSET($AM$3,0,0,'Données projet'!$E$10+1,1))-AVERAGE(OFFSET($H$3,0,0,'Données projet'!$E$10+1,1))</f>
        <v>197.85998851681552</v>
      </c>
      <c r="AO126" s="62">
        <f t="shared" si="90"/>
        <v>474.54844785896239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8.4530564993916499</v>
      </c>
      <c r="AV126" s="23">
        <f>EXP(-LN(2)/25)*AV125+(1-EXP(-LN(2)/25))/(LN(2)/25)*Calculateur!AQ126*Calculateur!AS126*VLOOKUP('Données projet'!$B$10,Paramètres!$A$1:$I$89,3,0)*0.475*44/12</f>
        <v>3.3351516252982445</v>
      </c>
      <c r="AW126" s="23">
        <f>EXP(-LN(2)/2)*AW125+(1-EXP(-LN(2)/2))/(LN(2)/2)*AQ126*AT126*VLOOKUP('Données projet'!$B$10,Paramètres!$A$1:$I$89,3,0)*0.475*44/12</f>
        <v>4.3779086281088313E-13</v>
      </c>
      <c r="AX126" s="23">
        <f t="shared" si="60"/>
        <v>11.788208124690332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1.1368683772161603E-13</v>
      </c>
      <c r="BE126" s="14">
        <f>BD126*VLOOKUP('Données projet'!$B$11,Paramètres!$A$1:$I$89,3,0)*VLOOKUP('Données projet'!$B$11,Paramètres!$A$1:$I$89,5,0)</f>
        <v>6.7984728957526396E-14</v>
      </c>
      <c r="BF126" s="14">
        <f t="shared" si="91"/>
        <v>1.0682447123141398E-12</v>
      </c>
      <c r="BG126" s="22">
        <f t="shared" si="61"/>
        <v>1.978932943548152E-12</v>
      </c>
      <c r="BH126" s="62">
        <f t="shared" si="62"/>
        <v>278.0852851191388</v>
      </c>
      <c r="BI126" s="62">
        <f ca="1">AVERAGE(OFFSET($BH$3,0,0,'Données projet'!$E$11+1,1))-AVERAGE(OFFSET($H$3,0,0,'Données projet'!$E$11+1,1))</f>
        <v>197.85998851681552</v>
      </c>
      <c r="BJ126" s="62">
        <f t="shared" si="92"/>
        <v>474.54844785896239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8.4530564993916499</v>
      </c>
      <c r="BQ126" s="23">
        <f>EXP(-LN(2)/25)*BQ125+(1-EXP(-LN(2)/25))/(LN(2)/25)*Calculateur!BL126*Calculateur!BN126*VLOOKUP('Données projet'!$B$11,Paramètres!$A$1:$I$89,3,0)*0.475*44/12</f>
        <v>3.3351516252982445</v>
      </c>
      <c r="BR126" s="23">
        <f>EXP(-LN(2)/2)*BR125+(1-EXP(-LN(2)/2))/(LN(2)/2)*BL126*BO126*VLOOKUP('Données projet'!$B$11,Paramètres!$A$1:$I$89,3,0)*0.475*44/12</f>
        <v>4.3779086281088313E-13</v>
      </c>
      <c r="BS126" s="24">
        <f t="shared" si="63"/>
        <v>11.788208124690332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>
        <f>BY126*VLOOKUP('Données projet'!$B$12,Paramètres!$A$1:$I$89,3,0)*VLOOKUP('Données projet'!$B$12,Paramètres!$A$1:$I$89,5,0)</f>
        <v>0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72.97248599808384</v>
      </c>
      <c r="CE126" s="62">
        <f t="shared" si="94"/>
        <v>346.88163654003574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9.2137637403151249</v>
      </c>
      <c r="CL126" s="23">
        <f>EXP(-LN(2)/25)*CL125+(1-EXP(-LN(2)/25))/(LN(2)/25)*Calculateur!CG126*Calculateur!CI126*VLOOKUP('Données projet'!$B$12,Paramètres!$A$1:$I$89,3,0)*0.475*44/12</f>
        <v>0.99080316401947677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10.204566904334602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>
        <f>CT126*VLOOKUP('Données projet'!$B$13,Paramètres!$A$1:$I$89,3,0)*VLOOKUP('Données projet'!$B$13,Paramètres!$A$1:$I$89,5,0)</f>
        <v>0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67.303283896086128</v>
      </c>
      <c r="CZ126" s="62">
        <f t="shared" si="96"/>
        <v>318.97925671653547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8.3668160984477247</v>
      </c>
      <c r="DG126" s="23">
        <f>EXP(-LN(2)/25)*DG125+(1-EXP(-LN(2)/25))/(LN(2)/25)*Calculateur!DB126*Calculateur!DD126*VLOOKUP('Données projet'!$B$13,Paramètres!$A$1:$I$89,3,0)*0.475*44/12</f>
        <v>0.89972655005668223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9.2665426485044069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>
        <f>DO126*VLOOKUP('Données projet'!$B$14,Paramètres!$A$1:$I$89,3,0)*VLOOKUP('Données projet'!$B$14,Paramètres!$A$1:$I$89,5,0)</f>
        <v>0</v>
      </c>
      <c r="DQ126" s="14" t="e">
        <f t="shared" si="97"/>
        <v>#NUM!</v>
      </c>
      <c r="DR126" s="22" t="e">
        <f t="shared" si="70"/>
        <v>#NUM!</v>
      </c>
      <c r="DS126" s="62" t="e">
        <f t="shared" si="71"/>
        <v>#NUM!</v>
      </c>
      <c r="DT126" s="62">
        <f ca="1">AVERAGE(OFFSET($DS$3,0,0,'Données projet'!$E$14+1,1))-AVERAGE(OFFSET($H$3,0,0,'Données projet'!$E$14+1,1))</f>
        <v>75.244137291704476</v>
      </c>
      <c r="DU126" s="62">
        <f t="shared" si="98"/>
        <v>366.065475656937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9.7970610143284844</v>
      </c>
      <c r="EB126" s="23">
        <f>EXP(-LN(2)/25)*EB125+(1-EXP(-LN(2)/25))/(LN(2)/25)*Calculateur!DW126*Calculateur!DY126*VLOOKUP('Données projet'!$B$14,Paramètres!$A$1:$I$89,3,0)*0.475*44/12</f>
        <v>1.0535281047652016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10.850589119093685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1.1368683772161603E-13</v>
      </c>
      <c r="EK126" s="18">
        <f>EJ126*VLOOKUP('Données projet'!$B$15,Paramètres!$A$1:$I$89,3,0)*VLOOKUP('Données projet'!$B$15,Paramètres!$A$1:$I$89,5,0)</f>
        <v>1.0995790944434703E-13</v>
      </c>
      <c r="EL126" s="14">
        <f t="shared" si="99"/>
        <v>1.6337280948049956E-12</v>
      </c>
      <c r="EM126" s="22">
        <f t="shared" si="73"/>
        <v>3.036919790734272E-12</v>
      </c>
      <c r="EN126" s="62">
        <f t="shared" si="74"/>
        <v>278.08528511913983</v>
      </c>
      <c r="EO126" s="62">
        <f ca="1">AVERAGE(OFFSET($EN$3,0,0,'Données projet'!$E$15+1,1))-AVERAGE(OFFSET($H$3,0,0,'Données projet'!$E$15+1,1))</f>
        <v>452.74627739105745</v>
      </c>
      <c r="EP126" s="62">
        <f t="shared" si="100"/>
        <v>281.80695725575106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1.1368683772161603E-13</v>
      </c>
      <c r="FF126" s="18">
        <f>FE126*VLOOKUP('Données projet'!$B$16,Paramètres!$A$1:$I$89,3,0)*VLOOKUP('Données projet'!$B$16,Paramètres!$A$1:$I$89,5,0)</f>
        <v>1.223725121235475E-13</v>
      </c>
      <c r="FG126" s="14">
        <f t="shared" si="101"/>
        <v>1.7956824466038182E-12</v>
      </c>
      <c r="FH126" s="22">
        <f t="shared" si="76"/>
        <v>3.3406123864501612E-12</v>
      </c>
      <c r="FI126" s="62">
        <f t="shared" si="77"/>
        <v>278.08528511914017</v>
      </c>
      <c r="FJ126" s="62">
        <f ca="1">AVERAGE(OFFSET($FI$3,0,0,'Données projet'!$E$16+1,1))-AVERAGE(OFFSET($H$3,0,0,'Données projet'!$E$16+1,1))</f>
        <v>492.72391755143508</v>
      </c>
      <c r="FK126" s="62">
        <f t="shared" si="102"/>
        <v>304.88554179994355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65.841441396128218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143.77000000000001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-5.6843418860808015E-14</v>
      </c>
      <c r="O127" s="14">
        <f>N127*VLOOKUP('Données projet'!$B$9,Paramètres!$A$1:$I$89,3,0)*VLOOKUP('Données projet'!$B$9,Paramètres!$A$1:$I$89,5,0)</f>
        <v>-5.1431925385259088E-14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388.8309693898596</v>
      </c>
      <c r="T127" s="62">
        <f t="shared" si="88"/>
        <v>549.06702041234382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1.6451442545355295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1.6451442545355295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6.7984728957526396E-14</v>
      </c>
      <c r="AK127" s="14">
        <f t="shared" si="89"/>
        <v>1.0682447123141398E-12</v>
      </c>
      <c r="AL127" s="22">
        <f t="shared" si="58"/>
        <v>1.978932943548152E-12</v>
      </c>
      <c r="AM127" s="62">
        <f t="shared" si="59"/>
        <v>278.34980466612626</v>
      </c>
      <c r="AN127" s="62">
        <f ca="1">AVERAGE(OFFSET($AM$3,0,0,'Données projet'!$E$10+1,1))-AVERAGE(OFFSET($H$3,0,0,'Données projet'!$E$10+1,1))</f>
        <v>197.85998851681552</v>
      </c>
      <c r="AO127" s="62">
        <f t="shared" si="90"/>
        <v>474.54844785896239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8.2872972172939452</v>
      </c>
      <c r="AV127" s="23">
        <f>EXP(-LN(2)/25)*AV126+(1-EXP(-LN(2)/25))/(LN(2)/25)*Calculateur!AQ127*Calculateur!AS127*VLOOKUP('Données projet'!$B$10,Paramètres!$A$1:$I$89,3,0)*0.475*44/12</f>
        <v>3.2439517287164628</v>
      </c>
      <c r="AW127" s="23">
        <f>EXP(-LN(2)/2)*AW126+(1-EXP(-LN(2)/2))/(LN(2)/2)*AQ127*AT127*VLOOKUP('Données projet'!$B$10,Paramètres!$A$1:$I$89,3,0)*0.475*44/12</f>
        <v>3.0956488783508498E-13</v>
      </c>
      <c r="AX127" s="23">
        <f t="shared" si="60"/>
        <v>11.531248946010717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1.1368683772161603E-13</v>
      </c>
      <c r="BE127" s="14">
        <f>BD127*VLOOKUP('Données projet'!$B$11,Paramètres!$A$1:$I$89,3,0)*VLOOKUP('Données projet'!$B$11,Paramètres!$A$1:$I$89,5,0)</f>
        <v>6.7984728957526396E-14</v>
      </c>
      <c r="BF127" s="14">
        <f t="shared" si="91"/>
        <v>1.0682447123141398E-12</v>
      </c>
      <c r="BG127" s="22">
        <f t="shared" si="61"/>
        <v>1.978932943548152E-12</v>
      </c>
      <c r="BH127" s="62">
        <f t="shared" si="62"/>
        <v>278.34980466612626</v>
      </c>
      <c r="BI127" s="62">
        <f ca="1">AVERAGE(OFFSET($BH$3,0,0,'Données projet'!$E$11+1,1))-AVERAGE(OFFSET($H$3,0,0,'Données projet'!$E$11+1,1))</f>
        <v>197.85998851681552</v>
      </c>
      <c r="BJ127" s="62">
        <f t="shared" si="92"/>
        <v>474.54844785896239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8.2872972172939452</v>
      </c>
      <c r="BQ127" s="23">
        <f>EXP(-LN(2)/25)*BQ126+(1-EXP(-LN(2)/25))/(LN(2)/25)*Calculateur!BL127*Calculateur!BN127*VLOOKUP('Données projet'!$B$11,Paramètres!$A$1:$I$89,3,0)*0.475*44/12</f>
        <v>3.2439517287164628</v>
      </c>
      <c r="BR127" s="23">
        <f>EXP(-LN(2)/2)*BR126+(1-EXP(-LN(2)/2))/(LN(2)/2)*BL127*BO127*VLOOKUP('Données projet'!$B$11,Paramètres!$A$1:$I$89,3,0)*0.475*44/12</f>
        <v>3.0956488783508498E-13</v>
      </c>
      <c r="BS127" s="24">
        <f t="shared" si="63"/>
        <v>11.531248946010717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>
        <f>BY127*VLOOKUP('Données projet'!$B$12,Paramètres!$A$1:$I$89,3,0)*VLOOKUP('Données projet'!$B$12,Paramètres!$A$1:$I$89,5,0)</f>
        <v>0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72.97248599808384</v>
      </c>
      <c r="CE127" s="62">
        <f t="shared" si="94"/>
        <v>346.88163654003574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9.0330874532085144</v>
      </c>
      <c r="CL127" s="23">
        <f>EXP(-LN(2)/25)*CL126+(1-EXP(-LN(2)/25))/(LN(2)/25)*Calculateur!CG127*Calculateur!CI127*VLOOKUP('Données projet'!$B$12,Paramètres!$A$1:$I$89,3,0)*0.475*44/12</f>
        <v>0.96370959939529033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9.9967970526038048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>
        <f>CT127*VLOOKUP('Données projet'!$B$13,Paramètres!$A$1:$I$89,3,0)*VLOOKUP('Données projet'!$B$13,Paramètres!$A$1:$I$89,5,0)</f>
        <v>0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67.303283896086128</v>
      </c>
      <c r="CZ127" s="62">
        <f t="shared" si="96"/>
        <v>318.97925671653547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8.2027479380110808</v>
      </c>
      <c r="DG127" s="23">
        <f>EXP(-LN(2)/25)*DG126+(1-EXP(-LN(2)/25))/(LN(2)/25)*Calculateur!DB127*Calculateur!DD127*VLOOKUP('Données projet'!$B$13,Paramètres!$A$1:$I$89,3,0)*0.475*44/12</f>
        <v>0.87512348023081932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9.0778714182418998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>
        <f>DO127*VLOOKUP('Données projet'!$B$14,Paramètres!$A$1:$I$89,3,0)*VLOOKUP('Données projet'!$B$14,Paramètres!$A$1:$I$89,5,0)</f>
        <v>0</v>
      </c>
      <c r="DQ127" s="14" t="e">
        <f t="shared" si="97"/>
        <v>#NUM!</v>
      </c>
      <c r="DR127" s="22" t="e">
        <f t="shared" si="70"/>
        <v>#NUM!</v>
      </c>
      <c r="DS127" s="62" t="e">
        <f t="shared" si="71"/>
        <v>#NUM!</v>
      </c>
      <c r="DT127" s="62">
        <f ca="1">AVERAGE(OFFSET($DS$3,0,0,'Données projet'!$E$14+1,1))-AVERAGE(OFFSET($H$3,0,0,'Données projet'!$E$14+1,1))</f>
        <v>75.244137291704476</v>
      </c>
      <c r="DU127" s="62">
        <f t="shared" si="98"/>
        <v>366.065475656937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9.6049466234546781</v>
      </c>
      <c r="EB127" s="23">
        <f>EXP(-LN(2)/25)*EB126+(1-EXP(-LN(2)/25))/(LN(2)/25)*Calculateur!DW127*Calculateur!DY127*VLOOKUP('Données projet'!$B$14,Paramètres!$A$1:$I$89,3,0)*0.475*44/12</f>
        <v>1.0247193233377621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10.629665946792439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1.1368683772161603E-13</v>
      </c>
      <c r="EK127" s="18">
        <f>EJ127*VLOOKUP('Données projet'!$B$15,Paramètres!$A$1:$I$89,3,0)*VLOOKUP('Données projet'!$B$15,Paramètres!$A$1:$I$89,5,0)</f>
        <v>1.0995790944434703E-13</v>
      </c>
      <c r="EL127" s="14">
        <f t="shared" si="99"/>
        <v>1.6337280948049956E-12</v>
      </c>
      <c r="EM127" s="22">
        <f t="shared" si="73"/>
        <v>3.036919790734272E-12</v>
      </c>
      <c r="EN127" s="62">
        <f t="shared" si="74"/>
        <v>278.34980466612728</v>
      </c>
      <c r="EO127" s="62">
        <f ca="1">AVERAGE(OFFSET($EN$3,0,0,'Données projet'!$E$15+1,1))-AVERAGE(OFFSET($H$3,0,0,'Données projet'!$E$15+1,1))</f>
        <v>452.74627739105745</v>
      </c>
      <c r="EP127" s="62">
        <f t="shared" si="100"/>
        <v>281.80695725575106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1.1368683772161603E-13</v>
      </c>
      <c r="FF127" s="18">
        <f>FE127*VLOOKUP('Données projet'!$B$16,Paramètres!$A$1:$I$89,3,0)*VLOOKUP('Données projet'!$B$16,Paramètres!$A$1:$I$89,5,0)</f>
        <v>1.223725121235475E-13</v>
      </c>
      <c r="FG127" s="14">
        <f t="shared" si="101"/>
        <v>1.7956824466038182E-12</v>
      </c>
      <c r="FH127" s="22">
        <f t="shared" si="76"/>
        <v>3.3406123864501612E-12</v>
      </c>
      <c r="FI127" s="62">
        <f t="shared" si="77"/>
        <v>278.34980466612762</v>
      </c>
      <c r="FJ127" s="62">
        <f ca="1">AVERAGE(OFFSET($FI$3,0,0,'Données projet'!$E$16+1,1))-AVERAGE(OFFSET($H$3,0,0,'Données projet'!$E$16+1,1))</f>
        <v>492.72391755143508</v>
      </c>
      <c r="FK127" s="62">
        <f t="shared" si="102"/>
        <v>304.88554179994355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65.913583090761165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143.77000000000001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-5.6843418860808015E-14</v>
      </c>
      <c r="O128" s="14">
        <f>N128*VLOOKUP('Données projet'!$B$9,Paramètres!$A$1:$I$89,3,0)*VLOOKUP('Données projet'!$B$9,Paramètres!$A$1:$I$89,5,0)</f>
        <v>-5.1431925385259088E-14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388.8309693898596</v>
      </c>
      <c r="T128" s="62">
        <f t="shared" si="88"/>
        <v>549.06702041234382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1.6128839791430016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1.6128839791430016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6.7984728957526396E-14</v>
      </c>
      <c r="AK128" s="14">
        <f t="shared" si="89"/>
        <v>1.0682447123141398E-12</v>
      </c>
      <c r="AL128" s="22">
        <f t="shared" si="58"/>
        <v>1.978932943548152E-12</v>
      </c>
      <c r="AM128" s="62">
        <f t="shared" si="59"/>
        <v>278.60973539035058</v>
      </c>
      <c r="AN128" s="62">
        <f ca="1">AVERAGE(OFFSET($AM$3,0,0,'Données projet'!$E$10+1,1))-AVERAGE(OFFSET($H$3,0,0,'Données projet'!$E$10+1,1))</f>
        <v>197.85998851681552</v>
      </c>
      <c r="AO128" s="62">
        <f t="shared" si="90"/>
        <v>474.54844785896239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8.1247883736149973</v>
      </c>
      <c r="AV128" s="23">
        <f>EXP(-LN(2)/25)*AV127+(1-EXP(-LN(2)/25))/(LN(2)/25)*Calculateur!AQ128*Calculateur!AS128*VLOOKUP('Données projet'!$B$10,Paramètres!$A$1:$I$89,3,0)*0.475*44/12</f>
        <v>3.1552456981027039</v>
      </c>
      <c r="AW128" s="23">
        <f>EXP(-LN(2)/2)*AW127+(1-EXP(-LN(2)/2))/(LN(2)/2)*AQ128*AT128*VLOOKUP('Données projet'!$B$10,Paramètres!$A$1:$I$89,3,0)*0.475*44/12</f>
        <v>2.1889543140544156E-13</v>
      </c>
      <c r="AX128" s="23">
        <f t="shared" si="60"/>
        <v>11.280034071717919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1.1368683772161603E-13</v>
      </c>
      <c r="BE128" s="14">
        <f>BD128*VLOOKUP('Données projet'!$B$11,Paramètres!$A$1:$I$89,3,0)*VLOOKUP('Données projet'!$B$11,Paramètres!$A$1:$I$89,5,0)</f>
        <v>6.7984728957526396E-14</v>
      </c>
      <c r="BF128" s="14">
        <f t="shared" si="91"/>
        <v>1.0682447123141398E-12</v>
      </c>
      <c r="BG128" s="22">
        <f t="shared" si="61"/>
        <v>1.978932943548152E-12</v>
      </c>
      <c r="BH128" s="62">
        <f t="shared" si="62"/>
        <v>278.60973539035058</v>
      </c>
      <c r="BI128" s="62">
        <f ca="1">AVERAGE(OFFSET($BH$3,0,0,'Données projet'!$E$11+1,1))-AVERAGE(OFFSET($H$3,0,0,'Données projet'!$E$11+1,1))</f>
        <v>197.85998851681552</v>
      </c>
      <c r="BJ128" s="62">
        <f t="shared" si="92"/>
        <v>474.54844785896239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8.1247883736149973</v>
      </c>
      <c r="BQ128" s="23">
        <f>EXP(-LN(2)/25)*BQ127+(1-EXP(-LN(2)/25))/(LN(2)/25)*Calculateur!BL128*Calculateur!BN128*VLOOKUP('Données projet'!$B$11,Paramètres!$A$1:$I$89,3,0)*0.475*44/12</f>
        <v>3.1552456981027039</v>
      </c>
      <c r="BR128" s="23">
        <f>EXP(-LN(2)/2)*BR127+(1-EXP(-LN(2)/2))/(LN(2)/2)*BL128*BO128*VLOOKUP('Données projet'!$B$11,Paramètres!$A$1:$I$89,3,0)*0.475*44/12</f>
        <v>2.1889543140544156E-13</v>
      </c>
      <c r="BS128" s="24">
        <f t="shared" si="63"/>
        <v>11.280034071717919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>
        <f>BY128*VLOOKUP('Données projet'!$B$12,Paramètres!$A$1:$I$89,3,0)*VLOOKUP('Données projet'!$B$12,Paramètres!$A$1:$I$89,5,0)</f>
        <v>0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72.97248599808384</v>
      </c>
      <c r="CE128" s="62">
        <f t="shared" si="94"/>
        <v>346.88163654003574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8.8559541178904109</v>
      </c>
      <c r="CL128" s="23">
        <f>EXP(-LN(2)/25)*CL127+(1-EXP(-LN(2)/25))/(LN(2)/25)*Calculateur!CG128*Calculateur!CI128*VLOOKUP('Données projet'!$B$12,Paramètres!$A$1:$I$89,3,0)*0.475*44/12</f>
        <v>0.93735690972054087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9.793311027610951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>
        <f>CT128*VLOOKUP('Données projet'!$B$13,Paramètres!$A$1:$I$89,3,0)*VLOOKUP('Données projet'!$B$13,Paramètres!$A$1:$I$89,5,0)</f>
        <v>0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67.303283896086128</v>
      </c>
      <c r="CZ128" s="62">
        <f t="shared" si="96"/>
        <v>318.97925671653547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8.0418970541289028</v>
      </c>
      <c r="DG128" s="23">
        <f>EXP(-LN(2)/25)*DG127+(1-EXP(-LN(2)/25))/(LN(2)/25)*Calculateur!DB128*Calculateur!DD128*VLOOKUP('Données projet'!$B$13,Paramètres!$A$1:$I$89,3,0)*0.475*44/12</f>
        <v>0.8511931826431639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8.8930902367720659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>
        <f>DO128*VLOOKUP('Données projet'!$B$14,Paramètres!$A$1:$I$89,3,0)*VLOOKUP('Données projet'!$B$14,Paramètres!$A$1:$I$89,5,0)</f>
        <v>0</v>
      </c>
      <c r="DQ128" s="14" t="e">
        <f t="shared" si="97"/>
        <v>#NUM!</v>
      </c>
      <c r="DR128" s="22" t="e">
        <f t="shared" si="70"/>
        <v>#NUM!</v>
      </c>
      <c r="DS128" s="62" t="e">
        <f t="shared" si="71"/>
        <v>#NUM!</v>
      </c>
      <c r="DT128" s="62">
        <f ca="1">AVERAGE(OFFSET($DS$3,0,0,'Données projet'!$E$14+1,1))-AVERAGE(OFFSET($H$3,0,0,'Données projet'!$E$14+1,1))</f>
        <v>75.244137291704476</v>
      </c>
      <c r="DU128" s="62">
        <f t="shared" si="98"/>
        <v>366.065475656937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9.416599478607699</v>
      </c>
      <c r="EB128" s="23">
        <f>EXP(-LN(2)/25)*EB127+(1-EXP(-LN(2)/25))/(LN(2)/25)*Calculateur!DW128*Calculateur!DY128*VLOOKUP('Données projet'!$B$14,Paramètres!$A$1:$I$89,3,0)*0.475*44/12</f>
        <v>0.99669831955344379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10.413297798161143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1.1368683772161603E-13</v>
      </c>
      <c r="EK128" s="18">
        <f>EJ128*VLOOKUP('Données projet'!$B$15,Paramètres!$A$1:$I$89,3,0)*VLOOKUP('Données projet'!$B$15,Paramètres!$A$1:$I$89,5,0)</f>
        <v>1.0995790944434703E-13</v>
      </c>
      <c r="EL128" s="14">
        <f t="shared" si="99"/>
        <v>1.6337280948049956E-12</v>
      </c>
      <c r="EM128" s="22">
        <f t="shared" si="73"/>
        <v>3.036919790734272E-12</v>
      </c>
      <c r="EN128" s="62">
        <f t="shared" si="74"/>
        <v>278.6097353903516</v>
      </c>
      <c r="EO128" s="62">
        <f ca="1">AVERAGE(OFFSET($EN$3,0,0,'Données projet'!$E$15+1,1))-AVERAGE(OFFSET($H$3,0,0,'Données projet'!$E$15+1,1))</f>
        <v>452.74627739105745</v>
      </c>
      <c r="EP128" s="62">
        <f t="shared" si="100"/>
        <v>281.80695725575106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1.1368683772161603E-13</v>
      </c>
      <c r="FF128" s="18">
        <f>FE128*VLOOKUP('Données projet'!$B$16,Paramètres!$A$1:$I$89,3,0)*VLOOKUP('Données projet'!$B$16,Paramètres!$A$1:$I$89,5,0)</f>
        <v>1.223725121235475E-13</v>
      </c>
      <c r="FG128" s="14">
        <f t="shared" si="101"/>
        <v>1.7956824466038182E-12</v>
      </c>
      <c r="FH128" s="22">
        <f t="shared" si="76"/>
        <v>3.3406123864501612E-12</v>
      </c>
      <c r="FI128" s="62">
        <f t="shared" si="77"/>
        <v>278.60973539035194</v>
      </c>
      <c r="FJ128" s="62">
        <f ca="1">AVERAGE(OFFSET($FI$3,0,0,'Données projet'!$E$16+1,1))-AVERAGE(OFFSET($H$3,0,0,'Données projet'!$E$16+1,1))</f>
        <v>492.72391755143508</v>
      </c>
      <c r="FK128" s="62">
        <f t="shared" si="102"/>
        <v>304.88554179994355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65.984473288276888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143.77000000000001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-5.6843418860808015E-14</v>
      </c>
      <c r="O129" s="14">
        <f>N129*VLOOKUP('Données projet'!$B$9,Paramètres!$A$1:$I$89,3,0)*VLOOKUP('Données projet'!$B$9,Paramètres!$A$1:$I$89,5,0)</f>
        <v>-5.1431925385259088E-14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388.8309693898596</v>
      </c>
      <c r="T129" s="62">
        <f t="shared" si="88"/>
        <v>549.06702041234382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1.5812563080740962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1.5812563080740962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6.7984728957526396E-14</v>
      </c>
      <c r="AK129" s="14">
        <f t="shared" si="89"/>
        <v>1.0682447123141398E-12</v>
      </c>
      <c r="AL129" s="22">
        <f t="shared" si="58"/>
        <v>1.978932943548152E-12</v>
      </c>
      <c r="AM129" s="62">
        <f t="shared" si="59"/>
        <v>278.86515689762768</v>
      </c>
      <c r="AN129" s="62">
        <f ca="1">AVERAGE(OFFSET($AM$3,0,0,'Données projet'!$E$10+1,1))-AVERAGE(OFFSET($H$3,0,0,'Données projet'!$E$10+1,1))</f>
        <v>197.85998851681552</v>
      </c>
      <c r="AO129" s="62">
        <f t="shared" si="90"/>
        <v>474.54844785896239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7.9654662292399872</v>
      </c>
      <c r="AV129" s="23">
        <f>EXP(-LN(2)/25)*AV128+(1-EXP(-LN(2)/25))/(LN(2)/25)*Calculateur!AQ129*Calculateur!AS129*VLOOKUP('Données projet'!$B$10,Paramètres!$A$1:$I$89,3,0)*0.475*44/12</f>
        <v>3.0689653385609255</v>
      </c>
      <c r="AW129" s="23">
        <f>EXP(-LN(2)/2)*AW128+(1-EXP(-LN(2)/2))/(LN(2)/2)*AQ129*AT129*VLOOKUP('Données projet'!$B$10,Paramètres!$A$1:$I$89,3,0)*0.475*44/12</f>
        <v>1.5478244391754249E-13</v>
      </c>
      <c r="AX129" s="23">
        <f t="shared" si="60"/>
        <v>11.034431567801066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1.1368683772161603E-13</v>
      </c>
      <c r="BE129" s="14">
        <f>BD129*VLOOKUP('Données projet'!$B$11,Paramètres!$A$1:$I$89,3,0)*VLOOKUP('Données projet'!$B$11,Paramètres!$A$1:$I$89,5,0)</f>
        <v>6.7984728957526396E-14</v>
      </c>
      <c r="BF129" s="14">
        <f t="shared" si="91"/>
        <v>1.0682447123141398E-12</v>
      </c>
      <c r="BG129" s="22">
        <f t="shared" si="61"/>
        <v>1.978932943548152E-12</v>
      </c>
      <c r="BH129" s="62">
        <f t="shared" si="62"/>
        <v>278.86515689762768</v>
      </c>
      <c r="BI129" s="62">
        <f ca="1">AVERAGE(OFFSET($BH$3,0,0,'Données projet'!$E$11+1,1))-AVERAGE(OFFSET($H$3,0,0,'Données projet'!$E$11+1,1))</f>
        <v>197.85998851681552</v>
      </c>
      <c r="BJ129" s="62">
        <f t="shared" si="92"/>
        <v>474.54844785896239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7.9654662292399872</v>
      </c>
      <c r="BQ129" s="23">
        <f>EXP(-LN(2)/25)*BQ128+(1-EXP(-LN(2)/25))/(LN(2)/25)*Calculateur!BL129*Calculateur!BN129*VLOOKUP('Données projet'!$B$11,Paramètres!$A$1:$I$89,3,0)*0.475*44/12</f>
        <v>3.0689653385609255</v>
      </c>
      <c r="BR129" s="23">
        <f>EXP(-LN(2)/2)*BR128+(1-EXP(-LN(2)/2))/(LN(2)/2)*BL129*BO129*VLOOKUP('Données projet'!$B$11,Paramètres!$A$1:$I$89,3,0)*0.475*44/12</f>
        <v>1.5478244391754249E-13</v>
      </c>
      <c r="BS129" s="24">
        <f t="shared" si="63"/>
        <v>11.034431567801066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>
        <f>BY129*VLOOKUP('Données projet'!$B$12,Paramètres!$A$1:$I$89,3,0)*VLOOKUP('Données projet'!$B$12,Paramètres!$A$1:$I$89,5,0)</f>
        <v>0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72.97248599808384</v>
      </c>
      <c r="CE129" s="62">
        <f t="shared" si="94"/>
        <v>346.88163654003574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8.6822942592372279</v>
      </c>
      <c r="CL129" s="23">
        <f>EXP(-LN(2)/25)*CL128+(1-EXP(-LN(2)/25))/(LN(2)/25)*Calculateur!CG129*Calculateur!CI129*VLOOKUP('Données projet'!$B$12,Paramètres!$A$1:$I$89,3,0)*0.475*44/12</f>
        <v>0.91172483573077512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9.5940190949680026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>
        <f>CT129*VLOOKUP('Données projet'!$B$13,Paramètres!$A$1:$I$89,3,0)*VLOOKUP('Données projet'!$B$13,Paramètres!$A$1:$I$89,5,0)</f>
        <v>0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67.303283896086128</v>
      </c>
      <c r="CZ129" s="62">
        <f t="shared" si="96"/>
        <v>318.97925671653547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7.8842003579703022</v>
      </c>
      <c r="DG129" s="23">
        <f>EXP(-LN(2)/25)*DG128+(1-EXP(-LN(2)/25))/(LN(2)/25)*Calculateur!DB129*Calculateur!DD129*VLOOKUP('Données projet'!$B$13,Paramètres!$A$1:$I$89,3,0)*0.475*44/12</f>
        <v>0.82791726030148249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8.712117618271785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>
        <f>DO129*VLOOKUP('Données projet'!$B$14,Paramètres!$A$1:$I$89,3,0)*VLOOKUP('Données projet'!$B$14,Paramètres!$A$1:$I$89,5,0)</f>
        <v>0</v>
      </c>
      <c r="DQ129" s="14" t="e">
        <f t="shared" si="97"/>
        <v>#NUM!</v>
      </c>
      <c r="DR129" s="22" t="e">
        <f t="shared" si="70"/>
        <v>#NUM!</v>
      </c>
      <c r="DS129" s="62" t="e">
        <f t="shared" si="71"/>
        <v>#NUM!</v>
      </c>
      <c r="DT129" s="62">
        <f ca="1">AVERAGE(OFFSET($DS$3,0,0,'Données projet'!$E$14+1,1))-AVERAGE(OFFSET($H$3,0,0,'Données projet'!$E$14+1,1))</f>
        <v>75.244137291704476</v>
      </c>
      <c r="DU129" s="62">
        <f t="shared" si="98"/>
        <v>366.065475656937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9.2319457063907553</v>
      </c>
      <c r="EB129" s="23">
        <f>EXP(-LN(2)/25)*EB128+(1-EXP(-LN(2)/25))/(LN(2)/25)*Calculateur!DW129*Calculateur!DY129*VLOOKUP('Données projet'!$B$14,Paramètres!$A$1:$I$89,3,0)*0.475*44/12</f>
        <v>0.96944355159116824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10.201389257981923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1.1368683772161603E-13</v>
      </c>
      <c r="EK129" s="18">
        <f>EJ129*VLOOKUP('Données projet'!$B$15,Paramètres!$A$1:$I$89,3,0)*VLOOKUP('Données projet'!$B$15,Paramètres!$A$1:$I$89,5,0)</f>
        <v>1.0995790944434703E-13</v>
      </c>
      <c r="EL129" s="14">
        <f t="shared" si="99"/>
        <v>1.6337280948049956E-12</v>
      </c>
      <c r="EM129" s="22">
        <f t="shared" si="73"/>
        <v>3.036919790734272E-12</v>
      </c>
      <c r="EN129" s="62">
        <f t="shared" si="74"/>
        <v>278.86515689762871</v>
      </c>
      <c r="EO129" s="62">
        <f ca="1">AVERAGE(OFFSET($EN$3,0,0,'Données projet'!$E$15+1,1))-AVERAGE(OFFSET($H$3,0,0,'Données projet'!$E$15+1,1))</f>
        <v>452.74627739105745</v>
      </c>
      <c r="EP129" s="62">
        <f t="shared" si="100"/>
        <v>281.80695725575106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1.1368683772161603E-13</v>
      </c>
      <c r="FF129" s="18">
        <f>FE129*VLOOKUP('Données projet'!$B$16,Paramètres!$A$1:$I$89,3,0)*VLOOKUP('Données projet'!$B$16,Paramètres!$A$1:$I$89,5,0)</f>
        <v>1.223725121235475E-13</v>
      </c>
      <c r="FG129" s="14">
        <f t="shared" si="101"/>
        <v>1.7956824466038182E-12</v>
      </c>
      <c r="FH129" s="22">
        <f t="shared" si="76"/>
        <v>3.3406123864501612E-12</v>
      </c>
      <c r="FI129" s="62">
        <f t="shared" si="77"/>
        <v>278.86515689762905</v>
      </c>
      <c r="FJ129" s="62">
        <f ca="1">AVERAGE(OFFSET($FI$3,0,0,'Données projet'!$E$16+1,1))-AVERAGE(OFFSET($H$3,0,0,'Données projet'!$E$16+1,1))</f>
        <v>492.72391755143508</v>
      </c>
      <c r="FK129" s="62">
        <f t="shared" si="102"/>
        <v>304.88554179994355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66.054133699352462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143.77000000000001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-5.6843418860808015E-14</v>
      </c>
      <c r="O130" s="14">
        <f>N130*VLOOKUP('Données projet'!$B$9,Paramètres!$A$1:$I$89,3,0)*VLOOKUP('Données projet'!$B$9,Paramètres!$A$1:$I$89,5,0)</f>
        <v>-5.1431925385259088E-14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388.8309693898596</v>
      </c>
      <c r="T130" s="62">
        <f t="shared" si="88"/>
        <v>549.06702041234382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1.5502488363438776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1.5502488363438776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6.7984728957526396E-14</v>
      </c>
      <c r="AK130" s="14">
        <f t="shared" si="89"/>
        <v>1.0682447123141398E-12</v>
      </c>
      <c r="AL130" s="22">
        <f t="shared" si="58"/>
        <v>1.978932943548152E-12</v>
      </c>
      <c r="AM130" s="62">
        <f t="shared" si="59"/>
        <v>279.1161474127905</v>
      </c>
      <c r="AN130" s="62">
        <f ca="1">AVERAGE(OFFSET($AM$3,0,0,'Données projet'!$E$10+1,1))-AVERAGE(OFFSET($H$3,0,0,'Données projet'!$E$10+1,1))</f>
        <v>197.85998851681552</v>
      </c>
      <c r="AO130" s="62">
        <f t="shared" si="90"/>
        <v>474.54844785896239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7.8092682949392582</v>
      </c>
      <c r="AV130" s="23">
        <f>EXP(-LN(2)/25)*AV129+(1-EXP(-LN(2)/25))/(LN(2)/25)*Calculateur!AQ130*Calculateur!AS130*VLOOKUP('Données projet'!$B$10,Paramètres!$A$1:$I$89,3,0)*0.475*44/12</f>
        <v>2.9850443199881038</v>
      </c>
      <c r="AW130" s="23">
        <f>EXP(-LN(2)/2)*AW129+(1-EXP(-LN(2)/2))/(LN(2)/2)*AQ130*AT130*VLOOKUP('Données projet'!$B$10,Paramètres!$A$1:$I$89,3,0)*0.475*44/12</f>
        <v>1.0944771570272078E-13</v>
      </c>
      <c r="AX130" s="23">
        <f t="shared" si="60"/>
        <v>10.794312614927472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1.1368683772161603E-13</v>
      </c>
      <c r="BE130" s="14">
        <f>BD130*VLOOKUP('Données projet'!$B$11,Paramètres!$A$1:$I$89,3,0)*VLOOKUP('Données projet'!$B$11,Paramètres!$A$1:$I$89,5,0)</f>
        <v>6.7984728957526396E-14</v>
      </c>
      <c r="BF130" s="14">
        <f t="shared" si="91"/>
        <v>1.0682447123141398E-12</v>
      </c>
      <c r="BG130" s="22">
        <f t="shared" si="61"/>
        <v>1.978932943548152E-12</v>
      </c>
      <c r="BH130" s="62">
        <f t="shared" si="62"/>
        <v>279.1161474127905</v>
      </c>
      <c r="BI130" s="62">
        <f ca="1">AVERAGE(OFFSET($BH$3,0,0,'Données projet'!$E$11+1,1))-AVERAGE(OFFSET($H$3,0,0,'Données projet'!$E$11+1,1))</f>
        <v>197.85998851681552</v>
      </c>
      <c r="BJ130" s="62">
        <f t="shared" si="92"/>
        <v>474.54844785896239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7.8092682949392582</v>
      </c>
      <c r="BQ130" s="23">
        <f>EXP(-LN(2)/25)*BQ129+(1-EXP(-LN(2)/25))/(LN(2)/25)*Calculateur!BL130*Calculateur!BN130*VLOOKUP('Données projet'!$B$11,Paramètres!$A$1:$I$89,3,0)*0.475*44/12</f>
        <v>2.9850443199881038</v>
      </c>
      <c r="BR130" s="23">
        <f>EXP(-LN(2)/2)*BR129+(1-EXP(-LN(2)/2))/(LN(2)/2)*BL130*BO130*VLOOKUP('Données projet'!$B$11,Paramètres!$A$1:$I$89,3,0)*0.475*44/12</f>
        <v>1.0944771570272078E-13</v>
      </c>
      <c r="BS130" s="24">
        <f t="shared" si="63"/>
        <v>10.794312614927472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>
        <f>BY130*VLOOKUP('Données projet'!$B$12,Paramètres!$A$1:$I$89,3,0)*VLOOKUP('Données projet'!$B$12,Paramètres!$A$1:$I$89,5,0)</f>
        <v>0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72.97248599808384</v>
      </c>
      <c r="CE130" s="62">
        <f t="shared" si="94"/>
        <v>346.88163654003574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8.5120397644901793</v>
      </c>
      <c r="CL130" s="23">
        <f>EXP(-LN(2)/25)*CL129+(1-EXP(-LN(2)/25))/(LN(2)/25)*Calculateur!CG130*Calculateur!CI130*VLOOKUP('Données projet'!$B$12,Paramètres!$A$1:$I$89,3,0)*0.475*44/12</f>
        <v>0.88679367215219174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9.3988334366423718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>
        <f>CT130*VLOOKUP('Données projet'!$B$13,Paramètres!$A$1:$I$89,3,0)*VLOOKUP('Données projet'!$B$13,Paramètres!$A$1:$I$89,5,0)</f>
        <v>0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67.303283896086128</v>
      </c>
      <c r="CZ130" s="62">
        <f t="shared" si="96"/>
        <v>318.97925671653547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7.729595997837885</v>
      </c>
      <c r="DG130" s="23">
        <f>EXP(-LN(2)/25)*DG129+(1-EXP(-LN(2)/25))/(LN(2)/25)*Calculateur!DB130*Calculateur!DD130*VLOOKUP('Données projet'!$B$13,Paramètres!$A$1:$I$89,3,0)*0.475*44/12</f>
        <v>0.80527781928026199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8.5348738171181466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>
        <f>DO130*VLOOKUP('Données projet'!$B$14,Paramètres!$A$1:$I$89,3,0)*VLOOKUP('Données projet'!$B$14,Paramètres!$A$1:$I$89,5,0)</f>
        <v>0</v>
      </c>
      <c r="DQ130" s="14" t="e">
        <f t="shared" si="97"/>
        <v>#NUM!</v>
      </c>
      <c r="DR130" s="22" t="e">
        <f t="shared" si="70"/>
        <v>#NUM!</v>
      </c>
      <c r="DS130" s="62" t="e">
        <f t="shared" si="71"/>
        <v>#NUM!</v>
      </c>
      <c r="DT130" s="62">
        <f ca="1">AVERAGE(OFFSET($DS$3,0,0,'Données projet'!$E$14+1,1))-AVERAGE(OFFSET($H$3,0,0,'Données projet'!$E$14+1,1))</f>
        <v>75.244137291704476</v>
      </c>
      <c r="DU130" s="62">
        <f t="shared" si="98"/>
        <v>366.065475656937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9.0509128820193059</v>
      </c>
      <c r="EB130" s="23">
        <f>EXP(-LN(2)/25)*EB129+(1-EXP(-LN(2)/25))/(LN(2)/25)*Calculateur!DW130*Calculateur!DY130*VLOOKUP('Données projet'!$B$14,Paramètres!$A$1:$I$89,3,0)*0.475*44/12</f>
        <v>0.94293406669208701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9.9938469487113935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1.1368683772161603E-13</v>
      </c>
      <c r="EK130" s="18">
        <f>EJ130*VLOOKUP('Données projet'!$B$15,Paramètres!$A$1:$I$89,3,0)*VLOOKUP('Données projet'!$B$15,Paramètres!$A$1:$I$89,5,0)</f>
        <v>1.0995790944434703E-13</v>
      </c>
      <c r="EL130" s="14">
        <f t="shared" si="99"/>
        <v>1.6337280948049956E-12</v>
      </c>
      <c r="EM130" s="22">
        <f t="shared" si="73"/>
        <v>3.036919790734272E-12</v>
      </c>
      <c r="EN130" s="62">
        <f t="shared" si="74"/>
        <v>279.11614741279152</v>
      </c>
      <c r="EO130" s="62">
        <f ca="1">AVERAGE(OFFSET($EN$3,0,0,'Données projet'!$E$15+1,1))-AVERAGE(OFFSET($H$3,0,0,'Données projet'!$E$15+1,1))</f>
        <v>452.74627739105745</v>
      </c>
      <c r="EP130" s="62">
        <f t="shared" si="100"/>
        <v>281.80695725575106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1.1368683772161603E-13</v>
      </c>
      <c r="FF130" s="18">
        <f>FE130*VLOOKUP('Données projet'!$B$16,Paramètres!$A$1:$I$89,3,0)*VLOOKUP('Données projet'!$B$16,Paramètres!$A$1:$I$89,5,0)</f>
        <v>1.223725121235475E-13</v>
      </c>
      <c r="FG130" s="14">
        <f t="shared" si="101"/>
        <v>1.7956824466038182E-12</v>
      </c>
      <c r="FH130" s="22">
        <f t="shared" si="76"/>
        <v>3.3406123864501612E-12</v>
      </c>
      <c r="FI130" s="62">
        <f t="shared" si="77"/>
        <v>279.11614741279186</v>
      </c>
      <c r="FJ130" s="62">
        <f ca="1">AVERAGE(OFFSET($FI$3,0,0,'Données projet'!$E$16+1,1))-AVERAGE(OFFSET($H$3,0,0,'Données projet'!$E$16+1,1))</f>
        <v>492.72391755143508</v>
      </c>
      <c r="FK130" s="62">
        <f t="shared" si="102"/>
        <v>304.88554179994355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66.122585658033231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143.77000000000001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-5.6843418860808015E-14</v>
      </c>
      <c r="O131" s="14">
        <f>N131*VLOOKUP('Données projet'!$B$9,Paramètres!$A$1:$I$89,3,0)*VLOOKUP('Données projet'!$B$9,Paramètres!$A$1:$I$89,5,0)</f>
        <v>-5.1431925385259088E-14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388.8309693898596</v>
      </c>
      <c r="T131" s="62">
        <f t="shared" si="88"/>
        <v>549.06702041234382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1.5198494022215983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1.5198494022215983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6.7984728957526396E-14</v>
      </c>
      <c r="AK131" s="14">
        <f t="shared" si="89"/>
        <v>1.0682447123141398E-12</v>
      </c>
      <c r="AL131" s="22">
        <f t="shared" si="58"/>
        <v>1.978932943548152E-12</v>
      </c>
      <c r="AM131" s="62">
        <f t="shared" si="59"/>
        <v>279.36278380364598</v>
      </c>
      <c r="AN131" s="62">
        <f ca="1">AVERAGE(OFFSET($AM$3,0,0,'Données projet'!$E$10+1,1))-AVERAGE(OFFSET($H$3,0,0,'Données projet'!$E$10+1,1))</f>
        <v>197.85998851681552</v>
      </c>
      <c r="AO131" s="62">
        <f t="shared" si="90"/>
        <v>474.54844785896239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7.656133306858834</v>
      </c>
      <c r="AV131" s="23">
        <f>EXP(-LN(2)/25)*AV130+(1-EXP(-LN(2)/25))/(LN(2)/25)*Calculateur!AQ131*Calculateur!AS131*VLOOKUP('Données projet'!$B$10,Paramètres!$A$1:$I$89,3,0)*0.475*44/12</f>
        <v>2.903418126081371</v>
      </c>
      <c r="AW131" s="23">
        <f>EXP(-LN(2)/2)*AW130+(1-EXP(-LN(2)/2))/(LN(2)/2)*AQ131*AT131*VLOOKUP('Données projet'!$B$10,Paramètres!$A$1:$I$89,3,0)*0.475*44/12</f>
        <v>7.7391221958771245E-14</v>
      </c>
      <c r="AX131" s="23">
        <f t="shared" si="60"/>
        <v>10.559551432940284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1.1368683772161603E-13</v>
      </c>
      <c r="BE131" s="14">
        <f>BD131*VLOOKUP('Données projet'!$B$11,Paramètres!$A$1:$I$89,3,0)*VLOOKUP('Données projet'!$B$11,Paramètres!$A$1:$I$89,5,0)</f>
        <v>6.7984728957526396E-14</v>
      </c>
      <c r="BF131" s="14">
        <f t="shared" si="91"/>
        <v>1.0682447123141398E-12</v>
      </c>
      <c r="BG131" s="22">
        <f t="shared" si="61"/>
        <v>1.978932943548152E-12</v>
      </c>
      <c r="BH131" s="62">
        <f t="shared" si="62"/>
        <v>279.36278380364598</v>
      </c>
      <c r="BI131" s="62">
        <f ca="1">AVERAGE(OFFSET($BH$3,0,0,'Données projet'!$E$11+1,1))-AVERAGE(OFFSET($H$3,0,0,'Données projet'!$E$11+1,1))</f>
        <v>197.85998851681552</v>
      </c>
      <c r="BJ131" s="62">
        <f t="shared" si="92"/>
        <v>474.54844785896239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7.656133306858834</v>
      </c>
      <c r="BQ131" s="23">
        <f>EXP(-LN(2)/25)*BQ130+(1-EXP(-LN(2)/25))/(LN(2)/25)*Calculateur!BL131*Calculateur!BN131*VLOOKUP('Données projet'!$B$11,Paramètres!$A$1:$I$89,3,0)*0.475*44/12</f>
        <v>2.903418126081371</v>
      </c>
      <c r="BR131" s="23">
        <f>EXP(-LN(2)/2)*BR130+(1-EXP(-LN(2)/2))/(LN(2)/2)*BL131*BO131*VLOOKUP('Données projet'!$B$11,Paramètres!$A$1:$I$89,3,0)*0.475*44/12</f>
        <v>7.7391221958771245E-14</v>
      </c>
      <c r="BS131" s="24">
        <f t="shared" si="63"/>
        <v>10.559551432940284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>
        <f>BY131*VLOOKUP('Données projet'!$B$12,Paramètres!$A$1:$I$89,3,0)*VLOOKUP('Données projet'!$B$12,Paramètres!$A$1:$I$89,5,0)</f>
        <v>0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72.97248599808384</v>
      </c>
      <c r="CE131" s="62">
        <f t="shared" si="94"/>
        <v>346.88163654003574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8.3451238565401322</v>
      </c>
      <c r="CL131" s="23">
        <f>EXP(-LN(2)/25)*CL130+(1-EXP(-LN(2)/25))/(LN(2)/25)*Calculateur!CG131*Calculateur!CI131*VLOOKUP('Données projet'!$B$12,Paramètres!$A$1:$I$89,3,0)*0.475*44/12</f>
        <v>0.86254425255273759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9.2076681090928698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>
        <f>CT131*VLOOKUP('Données projet'!$B$13,Paramètres!$A$1:$I$89,3,0)*VLOOKUP('Données projet'!$B$13,Paramètres!$A$1:$I$89,5,0)</f>
        <v>0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67.303283896086128</v>
      </c>
      <c r="CZ131" s="62">
        <f t="shared" si="96"/>
        <v>318.97925671653547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7.5780233349083161</v>
      </c>
      <c r="DG131" s="23">
        <f>EXP(-LN(2)/25)*DG130+(1-EXP(-LN(2)/25))/(LN(2)/25)*Calculateur!DB131*Calculateur!DD131*VLOOKUP('Données projet'!$B$13,Paramètres!$A$1:$I$89,3,0)*0.475*44/12</f>
        <v>0.7832574549643232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8.3612807898726391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>
        <f>DO131*VLOOKUP('Données projet'!$B$14,Paramètres!$A$1:$I$89,3,0)*VLOOKUP('Données projet'!$B$14,Paramètres!$A$1:$I$89,5,0)</f>
        <v>0</v>
      </c>
      <c r="DQ131" s="14" t="e">
        <f t="shared" si="97"/>
        <v>#NUM!</v>
      </c>
      <c r="DR131" s="22" t="e">
        <f t="shared" si="70"/>
        <v>#NUM!</v>
      </c>
      <c r="DS131" s="62" t="e">
        <f t="shared" si="71"/>
        <v>#NUM!</v>
      </c>
      <c r="DT131" s="62">
        <f ca="1">AVERAGE(OFFSET($DS$3,0,0,'Données projet'!$E$14+1,1))-AVERAGE(OFFSET($H$3,0,0,'Données projet'!$E$14+1,1))</f>
        <v>75.244137291704476</v>
      </c>
      <c r="DU131" s="62">
        <f t="shared" si="98"/>
        <v>366.065475656937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8.8734300009146594</v>
      </c>
      <c r="EB131" s="23">
        <f>EXP(-LN(2)/25)*EB130+(1-EXP(-LN(2)/25))/(LN(2)/25)*Calculateur!DW131*Calculateur!DY131*VLOOKUP('Données projet'!$B$14,Paramètres!$A$1:$I$89,3,0)*0.475*44/12</f>
        <v>0.9171494850516444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9.7905794859663047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1.1368683772161603E-13</v>
      </c>
      <c r="EK131" s="18">
        <f>EJ131*VLOOKUP('Données projet'!$B$15,Paramètres!$A$1:$I$89,3,0)*VLOOKUP('Données projet'!$B$15,Paramètres!$A$1:$I$89,5,0)</f>
        <v>1.0995790944434703E-13</v>
      </c>
      <c r="EL131" s="14">
        <f t="shared" si="99"/>
        <v>1.6337280948049956E-12</v>
      </c>
      <c r="EM131" s="22">
        <f t="shared" si="73"/>
        <v>3.036919790734272E-12</v>
      </c>
      <c r="EN131" s="62">
        <f t="shared" si="74"/>
        <v>279.36278380364701</v>
      </c>
      <c r="EO131" s="62">
        <f ca="1">AVERAGE(OFFSET($EN$3,0,0,'Données projet'!$E$15+1,1))-AVERAGE(OFFSET($H$3,0,0,'Données projet'!$E$15+1,1))</f>
        <v>452.74627739105745</v>
      </c>
      <c r="EP131" s="62">
        <f t="shared" si="100"/>
        <v>281.80695725575106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1.1368683772161603E-13</v>
      </c>
      <c r="FF131" s="18">
        <f>FE131*VLOOKUP('Données projet'!$B$16,Paramètres!$A$1:$I$89,3,0)*VLOOKUP('Données projet'!$B$16,Paramètres!$A$1:$I$89,5,0)</f>
        <v>1.223725121235475E-13</v>
      </c>
      <c r="FG131" s="14">
        <f t="shared" si="101"/>
        <v>1.7956824466038182E-12</v>
      </c>
      <c r="FH131" s="22">
        <f t="shared" si="76"/>
        <v>3.3406123864501612E-12</v>
      </c>
      <c r="FI131" s="62">
        <f t="shared" si="77"/>
        <v>279.36278380364735</v>
      </c>
      <c r="FJ131" s="62">
        <f ca="1">AVERAGE(OFFSET($FI$3,0,0,'Données projet'!$E$16+1,1))-AVERAGE(OFFSET($H$3,0,0,'Données projet'!$E$16+1,1))</f>
        <v>492.72391755143508</v>
      </c>
      <c r="FK131" s="62">
        <f t="shared" si="102"/>
        <v>304.88554179994355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66.189850128266542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143.77000000000001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-5.6843418860808015E-14</v>
      </c>
      <c r="O132" s="14">
        <f>N132*VLOOKUP('Données projet'!$B$9,Paramètres!$A$1:$I$89,3,0)*VLOOKUP('Données projet'!$B$9,Paramètres!$A$1:$I$89,5,0)</f>
        <v>-5.1431925385259088E-14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388.8309693898596</v>
      </c>
      <c r="T132" s="62">
        <f t="shared" si="88"/>
        <v>549.06702041234382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1.4900460824606327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1.4900460824606327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6.7984728957526396E-14</v>
      </c>
      <c r="AK132" s="14">
        <f t="shared" si="89"/>
        <v>1.0682447123141398E-12</v>
      </c>
      <c r="AL132" s="22">
        <f t="shared" ref="AL132:AL153" si="112">(AJ132+AK132)*0.475*44/12</f>
        <v>1.978932943548152E-12</v>
      </c>
      <c r="AM132" s="62">
        <f t="shared" ref="AM132:AM195" si="113">AL132+(AD132+AE132)*44/12</f>
        <v>279.60514160451646</v>
      </c>
      <c r="AN132" s="62">
        <f ca="1">AVERAGE(OFFSET($AM$3,0,0,'Données projet'!$E$10+1,1))-AVERAGE(OFFSET($H$3,0,0,'Données projet'!$E$10+1,1))</f>
        <v>197.85998851681552</v>
      </c>
      <c r="AO132" s="62">
        <f t="shared" si="90"/>
        <v>474.54844785896239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7.5060012024915466</v>
      </c>
      <c r="AV132" s="23">
        <f>EXP(-LN(2)/25)*AV131+(1-EXP(-LN(2)/25))/(LN(2)/25)*Calculateur!AQ132*Calculateur!AS132*VLOOKUP('Données projet'!$B$10,Paramètres!$A$1:$I$89,3,0)*0.475*44/12</f>
        <v>2.8240240047395524</v>
      </c>
      <c r="AW132" s="23">
        <f>EXP(-LN(2)/2)*AW131+(1-EXP(-LN(2)/2))/(LN(2)/2)*AQ132*AT132*VLOOKUP('Données projet'!$B$10,Paramètres!$A$1:$I$89,3,0)*0.475*44/12</f>
        <v>5.4723857851360391E-14</v>
      </c>
      <c r="AX132" s="23">
        <f t="shared" ref="AX132:AX153" si="114">SUM(AU132:AW132)</f>
        <v>10.330025207231154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1.1368683772161603E-13</v>
      </c>
      <c r="BE132" s="14">
        <f>BD132*VLOOKUP('Données projet'!$B$11,Paramètres!$A$1:$I$89,3,0)*VLOOKUP('Données projet'!$B$11,Paramètres!$A$1:$I$89,5,0)</f>
        <v>6.7984728957526396E-14</v>
      </c>
      <c r="BF132" s="14">
        <f t="shared" si="91"/>
        <v>1.0682447123141398E-12</v>
      </c>
      <c r="BG132" s="22">
        <f t="shared" ref="BG132:BG153" si="115">(BE132+BF132)*0.475*44/12</f>
        <v>1.978932943548152E-12</v>
      </c>
      <c r="BH132" s="62">
        <f t="shared" ref="BH132:BH195" si="116">BG132+(AY132+AZ132)*44/12</f>
        <v>279.60514160451646</v>
      </c>
      <c r="BI132" s="62">
        <f ca="1">AVERAGE(OFFSET($BH$3,0,0,'Données projet'!$E$11+1,1))-AVERAGE(OFFSET($H$3,0,0,'Données projet'!$E$11+1,1))</f>
        <v>197.85998851681552</v>
      </c>
      <c r="BJ132" s="62">
        <f t="shared" si="92"/>
        <v>474.54844785896239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7.5060012024915466</v>
      </c>
      <c r="BQ132" s="23">
        <f>EXP(-LN(2)/25)*BQ131+(1-EXP(-LN(2)/25))/(LN(2)/25)*Calculateur!BL132*Calculateur!BN132*VLOOKUP('Données projet'!$B$11,Paramètres!$A$1:$I$89,3,0)*0.475*44/12</f>
        <v>2.8240240047395524</v>
      </c>
      <c r="BR132" s="23">
        <f>EXP(-LN(2)/2)*BR131+(1-EXP(-LN(2)/2))/(LN(2)/2)*BL132*BO132*VLOOKUP('Données projet'!$B$11,Paramètres!$A$1:$I$89,3,0)*0.475*44/12</f>
        <v>5.4723857851360391E-14</v>
      </c>
      <c r="BS132" s="24">
        <f t="shared" ref="BS132:BS153" si="117">SUM(BP132:BR132)</f>
        <v>10.330025207231154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>
        <f>BY132*VLOOKUP('Données projet'!$B$12,Paramètres!$A$1:$I$89,3,0)*VLOOKUP('Données projet'!$B$12,Paramètres!$A$1:$I$89,5,0)</f>
        <v>0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72.97248599808384</v>
      </c>
      <c r="CE132" s="62">
        <f t="shared" si="94"/>
        <v>346.88163654003574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8.1814810677363354</v>
      </c>
      <c r="CL132" s="23">
        <f>EXP(-LN(2)/25)*CL131+(1-EXP(-LN(2)/25))/(LN(2)/25)*Calculateur!CG132*Calculateur!CI132*VLOOKUP('Données projet'!$B$12,Paramètres!$A$1:$I$89,3,0)*0.475*44/12</f>
        <v>0.83895793460745216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9.020439002343787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>
        <f>CT132*VLOOKUP('Données projet'!$B$13,Paramètres!$A$1:$I$89,3,0)*VLOOKUP('Données projet'!$B$13,Paramètres!$A$1:$I$89,5,0)</f>
        <v>0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67.303283896086128</v>
      </c>
      <c r="CZ132" s="62">
        <f t="shared" si="96"/>
        <v>318.97925671653547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7.4294229194486006</v>
      </c>
      <c r="DG132" s="23">
        <f>EXP(-LN(2)/25)*DG131+(1-EXP(-LN(2)/25))/(LN(2)/25)*Calculateur!DB132*Calculateur!DD132*VLOOKUP('Données projet'!$B$13,Paramètres!$A$1:$I$89,3,0)*0.475*44/12</f>
        <v>0.76183923866860437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8.1912621581172047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>
        <f>DO132*VLOOKUP('Données projet'!$B$14,Paramètres!$A$1:$I$89,3,0)*VLOOKUP('Données projet'!$B$14,Paramètres!$A$1:$I$89,5,0)</f>
        <v>0</v>
      </c>
      <c r="DQ132" s="14" t="e">
        <f t="shared" si="97"/>
        <v>#NUM!</v>
      </c>
      <c r="DR132" s="22" t="e">
        <f t="shared" ref="DR132:DR153" si="124">(DP132+DQ132)*0.475*44/12</f>
        <v>#NUM!</v>
      </c>
      <c r="DS132" s="62" t="e">
        <f t="shared" ref="DS132:DS195" si="125">DR132+(DJ132+DK132)*44/12</f>
        <v>#NUM!</v>
      </c>
      <c r="DT132" s="62">
        <f ca="1">AVERAGE(OFFSET($DS$3,0,0,'Données projet'!$E$14+1,1))-AVERAGE(OFFSET($H$3,0,0,'Données projet'!$E$14+1,1))</f>
        <v>75.244137291704476</v>
      </c>
      <c r="DU132" s="62">
        <f t="shared" si="98"/>
        <v>366.065475656937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8.699427450854607</v>
      </c>
      <c r="EB132" s="23">
        <f>EXP(-LN(2)/25)*EB131+(1-EXP(-LN(2)/25))/(LN(2)/25)*Calculateur!DW132*Calculateur!DY132*VLOOKUP('Données projet'!$B$14,Paramètres!$A$1:$I$89,3,0)*0.475*44/12</f>
        <v>0.89206998415211192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9.591497435006719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1.1368683772161603E-13</v>
      </c>
      <c r="EK132" s="18">
        <f>EJ132*VLOOKUP('Données projet'!$B$15,Paramètres!$A$1:$I$89,3,0)*VLOOKUP('Données projet'!$B$15,Paramètres!$A$1:$I$89,5,0)</f>
        <v>1.0995790944434703E-13</v>
      </c>
      <c r="EL132" s="14">
        <f t="shared" si="99"/>
        <v>1.6337280948049956E-12</v>
      </c>
      <c r="EM132" s="22">
        <f t="shared" ref="EM132:EM153" si="127">(EK132+EL132)*0.475*44/12</f>
        <v>3.036919790734272E-12</v>
      </c>
      <c r="EN132" s="62">
        <f t="shared" ref="EN132:EN195" si="128">EM132+(EE132+EF132)*44/12</f>
        <v>279.60514160451748</v>
      </c>
      <c r="EO132" s="62">
        <f ca="1">AVERAGE(OFFSET($EN$3,0,0,'Données projet'!$E$15+1,1))-AVERAGE(OFFSET($H$3,0,0,'Données projet'!$E$15+1,1))</f>
        <v>452.74627739105745</v>
      </c>
      <c r="EP132" s="62">
        <f t="shared" si="100"/>
        <v>281.80695725575106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1.1368683772161603E-13</v>
      </c>
      <c r="FF132" s="18">
        <f>FE132*VLOOKUP('Données projet'!$B$16,Paramètres!$A$1:$I$89,3,0)*VLOOKUP('Données projet'!$B$16,Paramètres!$A$1:$I$89,5,0)</f>
        <v>1.223725121235475E-13</v>
      </c>
      <c r="FG132" s="14">
        <f t="shared" si="101"/>
        <v>1.7956824466038182E-12</v>
      </c>
      <c r="FH132" s="22">
        <f t="shared" ref="FH132:FH153" si="130">(FF132+FG132)*0.475*44/12</f>
        <v>3.3406123864501612E-12</v>
      </c>
      <c r="FI132" s="62">
        <f t="shared" ref="FI132:FI195" si="131">FH132+(EZ132+FA132)*44/12</f>
        <v>279.60514160451783</v>
      </c>
      <c r="FJ132" s="62">
        <f ca="1">AVERAGE(OFFSET($FI$3,0,0,'Données projet'!$E$16+1,1))-AVERAGE(OFFSET($H$3,0,0,'Données projet'!$E$16+1,1))</f>
        <v>492.72391755143508</v>
      </c>
      <c r="FK132" s="62">
        <f t="shared" si="102"/>
        <v>304.88554179994355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66.255947710322118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143.77000000000001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-5.6843418860808015E-14</v>
      </c>
      <c r="O133" s="14">
        <f>N133*VLOOKUP('Données projet'!$B$9,Paramètres!$A$1:$I$89,3,0)*VLOOKUP('Données projet'!$B$9,Paramètres!$A$1:$I$89,5,0)</f>
        <v>-5.1431925385259088E-14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388.8309693898596</v>
      </c>
      <c r="T133" s="62">
        <f t="shared" ref="T133:T196" si="142">$T$3</f>
        <v>549.06702041234382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1.4608271876219496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1.4608271876219496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6.7984728957526396E-14</v>
      </c>
      <c r="AK133" s="14">
        <f t="shared" ref="AK133:AK153" si="143">EXP(-1.0587+0.8836*LN(AJ133)+0.284)</f>
        <v>1.0682447123141398E-12</v>
      </c>
      <c r="AL133" s="22">
        <f t="shared" si="112"/>
        <v>1.978932943548152E-12</v>
      </c>
      <c r="AM133" s="62">
        <f t="shared" si="113"/>
        <v>279.84329503937272</v>
      </c>
      <c r="AN133" s="62">
        <f ca="1">AVERAGE(OFFSET($AM$3,0,0,'Données projet'!$E$10+1,1))-AVERAGE(OFFSET($H$3,0,0,'Données projet'!$E$10+1,1))</f>
        <v>197.85998851681552</v>
      </c>
      <c r="AO133" s="62">
        <f t="shared" ref="AO133:AO196" si="144">$AO$3</f>
        <v>474.54844785896239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7.3588130971193602</v>
      </c>
      <c r="AV133" s="23">
        <f>EXP(-LN(2)/25)*AV132+(1-EXP(-LN(2)/25))/(LN(2)/25)*Calculateur!AQ133*Calculateur!AS133*VLOOKUP('Données projet'!$B$10,Paramètres!$A$1:$I$89,3,0)*0.475*44/12</f>
        <v>2.7468009198209815</v>
      </c>
      <c r="AW133" s="23">
        <f>EXP(-LN(2)/2)*AW132+(1-EXP(-LN(2)/2))/(LN(2)/2)*AQ133*AT133*VLOOKUP('Données projet'!$B$10,Paramètres!$A$1:$I$89,3,0)*0.475*44/12</f>
        <v>3.8695610979385622E-14</v>
      </c>
      <c r="AX133" s="23">
        <f t="shared" si="114"/>
        <v>10.105614016940381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1.1368683772161603E-13</v>
      </c>
      <c r="BE133" s="14">
        <f>BD133*VLOOKUP('Données projet'!$B$11,Paramètres!$A$1:$I$89,3,0)*VLOOKUP('Données projet'!$B$11,Paramètres!$A$1:$I$89,5,0)</f>
        <v>6.7984728957526396E-14</v>
      </c>
      <c r="BF133" s="14">
        <f t="shared" ref="BF133:BF153" si="145">EXP(-1.0587+0.8836*LN(BE133)+0.284)</f>
        <v>1.0682447123141398E-12</v>
      </c>
      <c r="BG133" s="22">
        <f t="shared" si="115"/>
        <v>1.978932943548152E-12</v>
      </c>
      <c r="BH133" s="62">
        <f t="shared" si="116"/>
        <v>279.84329503937272</v>
      </c>
      <c r="BI133" s="62">
        <f ca="1">AVERAGE(OFFSET($BH$3,0,0,'Données projet'!$E$11+1,1))-AVERAGE(OFFSET($H$3,0,0,'Données projet'!$E$11+1,1))</f>
        <v>197.85998851681552</v>
      </c>
      <c r="BJ133" s="62">
        <f t="shared" ref="BJ133:BJ196" si="146">$BJ$3</f>
        <v>474.54844785896239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7.3588130971193602</v>
      </c>
      <c r="BQ133" s="23">
        <f>EXP(-LN(2)/25)*BQ132+(1-EXP(-LN(2)/25))/(LN(2)/25)*Calculateur!BL133*Calculateur!BN133*VLOOKUP('Données projet'!$B$11,Paramètres!$A$1:$I$89,3,0)*0.475*44/12</f>
        <v>2.7468009198209815</v>
      </c>
      <c r="BR133" s="23">
        <f>EXP(-LN(2)/2)*BR132+(1-EXP(-LN(2)/2))/(LN(2)/2)*BL133*BO133*VLOOKUP('Données projet'!$B$11,Paramètres!$A$1:$I$89,3,0)*0.475*44/12</f>
        <v>3.8695610979385622E-14</v>
      </c>
      <c r="BS133" s="24">
        <f t="shared" si="117"/>
        <v>10.105614016940381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>
        <f>BY133*VLOOKUP('Données projet'!$B$12,Paramètres!$A$1:$I$89,3,0)*VLOOKUP('Données projet'!$B$12,Paramètres!$A$1:$I$89,5,0)</f>
        <v>0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72.97248599808384</v>
      </c>
      <c r="CE133" s="62">
        <f t="shared" ref="CE133:CE196" si="148">$CE$3</f>
        <v>346.88163654003574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8.0210472142087355</v>
      </c>
      <c r="CL133" s="23">
        <f>EXP(-LN(2)/25)*CL132+(1-EXP(-LN(2)/25))/(LN(2)/25)*Calculateur!CG133*Calculateur!CI133*VLOOKUP('Données projet'!$B$12,Paramètres!$A$1:$I$89,3,0)*0.475*44/12</f>
        <v>0.81601658576673108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8.837063799975466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>
        <f>CT133*VLOOKUP('Données projet'!$B$13,Paramètres!$A$1:$I$89,3,0)*VLOOKUP('Données projet'!$B$13,Paramètres!$A$1:$I$89,5,0)</f>
        <v>0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67.303283896086128</v>
      </c>
      <c r="CZ133" s="62">
        <f t="shared" ref="CZ133:CZ196" si="150">$CZ$3</f>
        <v>318.97925671653547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7.2837364674987457</v>
      </c>
      <c r="DG133" s="23">
        <f>EXP(-LN(2)/25)*DG132+(1-EXP(-LN(2)/25))/(LN(2)/25)*Calculateur!DB133*Calculateur!DD133*VLOOKUP('Données projet'!$B$13,Paramètres!$A$1:$I$89,3,0)*0.475*44/12</f>
        <v>0.74100670462382701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8.024743172122573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>
        <f>DO133*VLOOKUP('Données projet'!$B$14,Paramètres!$A$1:$I$89,3,0)*VLOOKUP('Données projet'!$B$14,Paramètres!$A$1:$I$89,5,0)</f>
        <v>0</v>
      </c>
      <c r="DQ133" s="14" t="e">
        <f t="shared" ref="DQ133:DQ153" si="151">EXP(-1.0587+0.8836*LN(DP133)+0.284)</f>
        <v>#NUM!</v>
      </c>
      <c r="DR133" s="22" t="e">
        <f t="shared" si="124"/>
        <v>#NUM!</v>
      </c>
      <c r="DS133" s="62" t="e">
        <f t="shared" si="125"/>
        <v>#NUM!</v>
      </c>
      <c r="DT133" s="62">
        <f ca="1">AVERAGE(OFFSET($DS$3,0,0,'Données projet'!$E$14+1,1))-AVERAGE(OFFSET($H$3,0,0,'Données projet'!$E$14+1,1))</f>
        <v>75.244137291704476</v>
      </c>
      <c r="DU133" s="62">
        <f t="shared" ref="DU133:DU196" si="152">$DU$3</f>
        <v>366.065475656937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8.5288369846701571</v>
      </c>
      <c r="EB133" s="23">
        <f>EXP(-LN(2)/25)*EB132+(1-EXP(-LN(2)/25))/(LN(2)/25)*Calculateur!DW133*Calculateur!DY133*VLOOKUP('Données projet'!$B$14,Paramètres!$A$1:$I$89,3,0)*0.475*44/12</f>
        <v>0.86767628352355075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9.3965132681937078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1.1368683772161603E-13</v>
      </c>
      <c r="EK133" s="18">
        <f>EJ133*VLOOKUP('Données projet'!$B$15,Paramètres!$A$1:$I$89,3,0)*VLOOKUP('Données projet'!$B$15,Paramètres!$A$1:$I$89,5,0)</f>
        <v>1.0995790944434703E-13</v>
      </c>
      <c r="EL133" s="14">
        <f t="shared" ref="EL133:EL153" si="153">EXP(-1.0587+0.8836*LN(EK133)+0.284)</f>
        <v>1.6337280948049956E-12</v>
      </c>
      <c r="EM133" s="22">
        <f t="shared" si="127"/>
        <v>3.036919790734272E-12</v>
      </c>
      <c r="EN133" s="62">
        <f t="shared" si="128"/>
        <v>279.84329503937374</v>
      </c>
      <c r="EO133" s="62">
        <f ca="1">AVERAGE(OFFSET($EN$3,0,0,'Données projet'!$E$15+1,1))-AVERAGE(OFFSET($H$3,0,0,'Données projet'!$E$15+1,1))</f>
        <v>452.74627739105745</v>
      </c>
      <c r="EP133" s="62">
        <f t="shared" ref="EP133:EP196" si="154">$EP$3</f>
        <v>281.80695725575106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1.1368683772161603E-13</v>
      </c>
      <c r="FF133" s="18">
        <f>FE133*VLOOKUP('Données projet'!$B$16,Paramètres!$A$1:$I$89,3,0)*VLOOKUP('Données projet'!$B$16,Paramètres!$A$1:$I$89,5,0)</f>
        <v>1.223725121235475E-13</v>
      </c>
      <c r="FG133" s="14">
        <f t="shared" ref="FG133:FG153" si="155">EXP(-1.0587+0.8836*LN(FF133)+0.284)</f>
        <v>1.7956824466038182E-12</v>
      </c>
      <c r="FH133" s="22">
        <f t="shared" si="130"/>
        <v>3.3406123864501612E-12</v>
      </c>
      <c r="FI133" s="62">
        <f t="shared" si="131"/>
        <v>279.84329503937408</v>
      </c>
      <c r="FJ133" s="62">
        <f ca="1">AVERAGE(OFFSET($FI$3,0,0,'Données projet'!$E$16+1,1))-AVERAGE(OFFSET($H$3,0,0,'Données projet'!$E$16+1,1))</f>
        <v>492.72391755143508</v>
      </c>
      <c r="FK133" s="62">
        <f t="shared" ref="FK133:FK196" si="156">$FK$3</f>
        <v>304.88554179994355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66.320898647101103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143.77000000000001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-5.6843418860808015E-14</v>
      </c>
      <c r="O134" s="14">
        <f>N134*VLOOKUP('Données projet'!$B$9,Paramètres!$A$1:$I$89,3,0)*VLOOKUP('Données projet'!$B$9,Paramètres!$A$1:$I$89,5,0)</f>
        <v>-5.1431925385259088E-14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388.8309693898596</v>
      </c>
      <c r="T134" s="62">
        <f t="shared" si="142"/>
        <v>549.06702041234382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1.4321812574892872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1.4321812574892872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6.7984728957526396E-14</v>
      </c>
      <c r="AK134" s="14">
        <f t="shared" si="143"/>
        <v>1.0682447123141398E-12</v>
      </c>
      <c r="AL134" s="22">
        <f t="shared" si="112"/>
        <v>1.978932943548152E-12</v>
      </c>
      <c r="AM134" s="62">
        <f t="shared" si="113"/>
        <v>280.07731704456552</v>
      </c>
      <c r="AN134" s="62">
        <f ca="1">AVERAGE(OFFSET($AM$3,0,0,'Données projet'!$E$10+1,1))-AVERAGE(OFFSET($H$3,0,0,'Données projet'!$E$10+1,1))</f>
        <v>197.85998851681552</v>
      </c>
      <c r="AO134" s="62">
        <f t="shared" si="144"/>
        <v>474.54844785896239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7.2145112607176429</v>
      </c>
      <c r="AV134" s="23">
        <f>EXP(-LN(2)/25)*AV133+(1-EXP(-LN(2)/25))/(LN(2)/25)*Calculateur!AQ134*Calculateur!AS134*VLOOKUP('Données projet'!$B$10,Paramètres!$A$1:$I$89,3,0)*0.475*44/12</f>
        <v>2.6716895042204944</v>
      </c>
      <c r="AW134" s="23">
        <f>EXP(-LN(2)/2)*AW133+(1-EXP(-LN(2)/2))/(LN(2)/2)*AQ134*AT134*VLOOKUP('Données projet'!$B$10,Paramètres!$A$1:$I$89,3,0)*0.475*44/12</f>
        <v>2.7361928925680196E-14</v>
      </c>
      <c r="AX134" s="23">
        <f t="shared" si="114"/>
        <v>9.8862007649381649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1.1368683772161603E-13</v>
      </c>
      <c r="BE134" s="14">
        <f>BD134*VLOOKUP('Données projet'!$B$11,Paramètres!$A$1:$I$89,3,0)*VLOOKUP('Données projet'!$B$11,Paramètres!$A$1:$I$89,5,0)</f>
        <v>6.7984728957526396E-14</v>
      </c>
      <c r="BF134" s="14">
        <f t="shared" si="145"/>
        <v>1.0682447123141398E-12</v>
      </c>
      <c r="BG134" s="22">
        <f t="shared" si="115"/>
        <v>1.978932943548152E-12</v>
      </c>
      <c r="BH134" s="62">
        <f t="shared" si="116"/>
        <v>280.07731704456552</v>
      </c>
      <c r="BI134" s="62">
        <f ca="1">AVERAGE(OFFSET($BH$3,0,0,'Données projet'!$E$11+1,1))-AVERAGE(OFFSET($H$3,0,0,'Données projet'!$E$11+1,1))</f>
        <v>197.85998851681552</v>
      </c>
      <c r="BJ134" s="62">
        <f t="shared" si="146"/>
        <v>474.54844785896239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7.2145112607176429</v>
      </c>
      <c r="BQ134" s="23">
        <f>EXP(-LN(2)/25)*BQ133+(1-EXP(-LN(2)/25))/(LN(2)/25)*Calculateur!BL134*Calculateur!BN134*VLOOKUP('Données projet'!$B$11,Paramètres!$A$1:$I$89,3,0)*0.475*44/12</f>
        <v>2.6716895042204944</v>
      </c>
      <c r="BR134" s="23">
        <f>EXP(-LN(2)/2)*BR133+(1-EXP(-LN(2)/2))/(LN(2)/2)*BL134*BO134*VLOOKUP('Données projet'!$B$11,Paramètres!$A$1:$I$89,3,0)*0.475*44/12</f>
        <v>2.7361928925680196E-14</v>
      </c>
      <c r="BS134" s="24">
        <f t="shared" si="117"/>
        <v>9.8862007649381649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>
        <f>BY134*VLOOKUP('Données projet'!$B$12,Paramètres!$A$1:$I$89,3,0)*VLOOKUP('Données projet'!$B$12,Paramètres!$A$1:$I$89,5,0)</f>
        <v>0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72.97248599808384</v>
      </c>
      <c r="CE134" s="62">
        <f t="shared" si="148"/>
        <v>346.88163654003574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7.8637593706938231</v>
      </c>
      <c r="CL134" s="23">
        <f>EXP(-LN(2)/25)*CL133+(1-EXP(-LN(2)/25))/(LN(2)/25)*Calculateur!CG134*Calculateur!CI134*VLOOKUP('Données projet'!$B$12,Paramètres!$A$1:$I$89,3,0)*0.475*44/12</f>
        <v>0.79370256931649263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8.6574619400103163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>
        <f>CT134*VLOOKUP('Données projet'!$B$13,Paramètres!$A$1:$I$89,3,0)*VLOOKUP('Données projet'!$B$13,Paramètres!$A$1:$I$89,5,0)</f>
        <v>0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67.303283896086128</v>
      </c>
      <c r="CZ134" s="62">
        <f t="shared" si="150"/>
        <v>318.97925671653547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7.1409068380116665</v>
      </c>
      <c r="DG134" s="23">
        <f>EXP(-LN(2)/25)*DG133+(1-EXP(-LN(2)/25))/(LN(2)/25)*Calculateur!DB134*Calculateur!DD134*VLOOKUP('Données projet'!$B$13,Paramètres!$A$1:$I$89,3,0)*0.475*44/12</f>
        <v>0.72074383731803948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7.861650675329706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>
        <f>DO134*VLOOKUP('Données projet'!$B$14,Paramètres!$A$1:$I$89,3,0)*VLOOKUP('Données projet'!$B$14,Paramètres!$A$1:$I$89,5,0)</f>
        <v>0</v>
      </c>
      <c r="DQ134" s="14" t="e">
        <f t="shared" si="151"/>
        <v>#NUM!</v>
      </c>
      <c r="DR134" s="22" t="e">
        <f t="shared" si="124"/>
        <v>#NUM!</v>
      </c>
      <c r="DS134" s="62" t="e">
        <f t="shared" si="125"/>
        <v>#NUM!</v>
      </c>
      <c r="DT134" s="62">
        <f ca="1">AVERAGE(OFFSET($DS$3,0,0,'Données projet'!$E$14+1,1))-AVERAGE(OFFSET($H$3,0,0,'Données projet'!$E$14+1,1))</f>
        <v>75.244137291704476</v>
      </c>
      <c r="DU134" s="62">
        <f t="shared" si="152"/>
        <v>366.065475656937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8.3615916934776742</v>
      </c>
      <c r="EB134" s="23">
        <f>EXP(-LN(2)/25)*EB133+(1-EXP(-LN(2)/25))/(LN(2)/25)*Calculateur!DW134*Calculateur!DY134*VLOOKUP('Données projet'!$B$14,Paramètres!$A$1:$I$89,3,0)*0.475*44/12</f>
        <v>0.84394962992148659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9.2055413233991601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1.1368683772161603E-13</v>
      </c>
      <c r="EK134" s="18">
        <f>EJ134*VLOOKUP('Données projet'!$B$15,Paramètres!$A$1:$I$89,3,0)*VLOOKUP('Données projet'!$B$15,Paramètres!$A$1:$I$89,5,0)</f>
        <v>1.0995790944434703E-13</v>
      </c>
      <c r="EL134" s="14">
        <f t="shared" si="153"/>
        <v>1.6337280948049956E-12</v>
      </c>
      <c r="EM134" s="22">
        <f t="shared" si="127"/>
        <v>3.036919790734272E-12</v>
      </c>
      <c r="EN134" s="62">
        <f t="shared" si="128"/>
        <v>280.07731704456654</v>
      </c>
      <c r="EO134" s="62">
        <f ca="1">AVERAGE(OFFSET($EN$3,0,0,'Données projet'!$E$15+1,1))-AVERAGE(OFFSET($H$3,0,0,'Données projet'!$E$15+1,1))</f>
        <v>452.74627739105745</v>
      </c>
      <c r="EP134" s="62">
        <f t="shared" si="154"/>
        <v>281.80695725575106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1.1368683772161603E-13</v>
      </c>
      <c r="FF134" s="18">
        <f>FE134*VLOOKUP('Données projet'!$B$16,Paramètres!$A$1:$I$89,3,0)*VLOOKUP('Données projet'!$B$16,Paramètres!$A$1:$I$89,5,0)</f>
        <v>1.223725121235475E-13</v>
      </c>
      <c r="FG134" s="14">
        <f t="shared" si="155"/>
        <v>1.7956824466038182E-12</v>
      </c>
      <c r="FH134" s="22">
        <f t="shared" si="130"/>
        <v>3.3406123864501612E-12</v>
      </c>
      <c r="FI134" s="62">
        <f t="shared" si="131"/>
        <v>280.07731704456688</v>
      </c>
      <c r="FJ134" s="62">
        <f ca="1">AVERAGE(OFFSET($FI$3,0,0,'Données projet'!$E$16+1,1))-AVERAGE(OFFSET($H$3,0,0,'Données projet'!$E$16+1,1))</f>
        <v>492.72391755143508</v>
      </c>
      <c r="FK134" s="62">
        <f t="shared" si="156"/>
        <v>304.88554179994355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66.384722830335505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143.77000000000001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-5.6843418860808015E-14</v>
      </c>
      <c r="O135" s="14">
        <f>N135*VLOOKUP('Données projet'!$B$9,Paramètres!$A$1:$I$89,3,0)*VLOOKUP('Données projet'!$B$9,Paramètres!$A$1:$I$89,5,0)</f>
        <v>-5.1431925385259088E-14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388.8309693898596</v>
      </c>
      <c r="T135" s="62">
        <f t="shared" si="142"/>
        <v>549.06702041234382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1.4040970565742339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1.4040970565742339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6.7984728957526396E-14</v>
      </c>
      <c r="AK135" s="14">
        <f t="shared" si="143"/>
        <v>1.0682447123141398E-12</v>
      </c>
      <c r="AL135" s="22">
        <f t="shared" si="112"/>
        <v>1.978932943548152E-12</v>
      </c>
      <c r="AM135" s="62">
        <f t="shared" si="113"/>
        <v>280.30727929116301</v>
      </c>
      <c r="AN135" s="62">
        <f ca="1">AVERAGE(OFFSET($AM$3,0,0,'Données projet'!$E$10+1,1))-AVERAGE(OFFSET($H$3,0,0,'Données projet'!$E$10+1,1))</f>
        <v>197.85998851681552</v>
      </c>
      <c r="AO135" s="62">
        <f t="shared" si="144"/>
        <v>474.54844785896239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7.0730390953123337</v>
      </c>
      <c r="AV135" s="23">
        <f>EXP(-LN(2)/25)*AV134+(1-EXP(-LN(2)/25))/(LN(2)/25)*Calculateur!AQ135*Calculateur!AS135*VLOOKUP('Données projet'!$B$10,Paramètres!$A$1:$I$89,3,0)*0.475*44/12</f>
        <v>2.59863201422954</v>
      </c>
      <c r="AW135" s="23">
        <f>EXP(-LN(2)/2)*AW134+(1-EXP(-LN(2)/2))/(LN(2)/2)*AQ135*AT135*VLOOKUP('Données projet'!$B$10,Paramètres!$A$1:$I$89,3,0)*0.475*44/12</f>
        <v>1.9347805489692811E-14</v>
      </c>
      <c r="AX135" s="23">
        <f t="shared" si="114"/>
        <v>9.6716711095418937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1.1368683772161603E-13</v>
      </c>
      <c r="BE135" s="14">
        <f>BD135*VLOOKUP('Données projet'!$B$11,Paramètres!$A$1:$I$89,3,0)*VLOOKUP('Données projet'!$B$11,Paramètres!$A$1:$I$89,5,0)</f>
        <v>6.7984728957526396E-14</v>
      </c>
      <c r="BF135" s="14">
        <f t="shared" si="145"/>
        <v>1.0682447123141398E-12</v>
      </c>
      <c r="BG135" s="22">
        <f t="shared" si="115"/>
        <v>1.978932943548152E-12</v>
      </c>
      <c r="BH135" s="62">
        <f t="shared" si="116"/>
        <v>280.30727929116301</v>
      </c>
      <c r="BI135" s="62">
        <f ca="1">AVERAGE(OFFSET($BH$3,0,0,'Données projet'!$E$11+1,1))-AVERAGE(OFFSET($H$3,0,0,'Données projet'!$E$11+1,1))</f>
        <v>197.85998851681552</v>
      </c>
      <c r="BJ135" s="62">
        <f t="shared" si="146"/>
        <v>474.54844785896239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7.0730390953123337</v>
      </c>
      <c r="BQ135" s="23">
        <f>EXP(-LN(2)/25)*BQ134+(1-EXP(-LN(2)/25))/(LN(2)/25)*Calculateur!BL135*Calculateur!BN135*VLOOKUP('Données projet'!$B$11,Paramètres!$A$1:$I$89,3,0)*0.475*44/12</f>
        <v>2.59863201422954</v>
      </c>
      <c r="BR135" s="23">
        <f>EXP(-LN(2)/2)*BR134+(1-EXP(-LN(2)/2))/(LN(2)/2)*BL135*BO135*VLOOKUP('Données projet'!$B$11,Paramètres!$A$1:$I$89,3,0)*0.475*44/12</f>
        <v>1.9347805489692811E-14</v>
      </c>
      <c r="BS135" s="24">
        <f t="shared" si="117"/>
        <v>9.6716711095418937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>
        <f>BY135*VLOOKUP('Données projet'!$B$12,Paramètres!$A$1:$I$89,3,0)*VLOOKUP('Données projet'!$B$12,Paramètres!$A$1:$I$89,5,0)</f>
        <v>0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72.97248599808384</v>
      </c>
      <c r="CE135" s="62">
        <f t="shared" si="148"/>
        <v>346.88163654003574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7.7095558458541262</v>
      </c>
      <c r="CL135" s="23">
        <f>EXP(-LN(2)/25)*CL134+(1-EXP(-LN(2)/25))/(LN(2)/25)*Calculateur!CG135*Calculateur!CI135*VLOOKUP('Données projet'!$B$12,Paramètres!$A$1:$I$89,3,0)*0.475*44/12</f>
        <v>0.77199873081952908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8.4815545766736555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>
        <f>CT135*VLOOKUP('Données projet'!$B$13,Paramètres!$A$1:$I$89,3,0)*VLOOKUP('Données projet'!$B$13,Paramètres!$A$1:$I$89,5,0)</f>
        <v>0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67.303283896086128</v>
      </c>
      <c r="CZ135" s="62">
        <f t="shared" si="150"/>
        <v>318.97925671653547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7.0008780104413564</v>
      </c>
      <c r="DG135" s="23">
        <f>EXP(-LN(2)/25)*DG134+(1-EXP(-LN(2)/25))/(LN(2)/25)*Calculateur!DB135*Calculateur!DD135*VLOOKUP('Données projet'!$B$13,Paramètres!$A$1:$I$89,3,0)*0.475*44/12</f>
        <v>0.70103505918430653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7.7019130696256628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>
        <f>DO135*VLOOKUP('Données projet'!$B$14,Paramètres!$A$1:$I$89,3,0)*VLOOKUP('Données projet'!$B$14,Paramètres!$A$1:$I$89,5,0)</f>
        <v>0</v>
      </c>
      <c r="DQ135" s="14" t="e">
        <f t="shared" si="151"/>
        <v>#NUM!</v>
      </c>
      <c r="DR135" s="22" t="e">
        <f t="shared" si="124"/>
        <v>#NUM!</v>
      </c>
      <c r="DS135" s="62" t="e">
        <f t="shared" si="125"/>
        <v>#NUM!</v>
      </c>
      <c r="DT135" s="62">
        <f ca="1">AVERAGE(OFFSET($DS$3,0,0,'Données projet'!$E$14+1,1))-AVERAGE(OFFSET($H$3,0,0,'Données projet'!$E$14+1,1))</f>
        <v>75.244137291704476</v>
      </c>
      <c r="DU135" s="62">
        <f t="shared" si="152"/>
        <v>366.065475656937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8.1976259804359195</v>
      </c>
      <c r="EB135" s="23">
        <f>EXP(-LN(2)/25)*EB134+(1-EXP(-LN(2)/25))/(LN(2)/25)*Calculateur!DW135*Calculateur!DY135*VLOOKUP('Données projet'!$B$14,Paramètres!$A$1:$I$89,3,0)*0.475*44/12</f>
        <v>0.82087178290990137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9.0184977633458203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1.1368683772161603E-13</v>
      </c>
      <c r="EK135" s="18">
        <f>EJ135*VLOOKUP('Données projet'!$B$15,Paramètres!$A$1:$I$89,3,0)*VLOOKUP('Données projet'!$B$15,Paramètres!$A$1:$I$89,5,0)</f>
        <v>1.0995790944434703E-13</v>
      </c>
      <c r="EL135" s="14">
        <f t="shared" si="153"/>
        <v>1.6337280948049956E-12</v>
      </c>
      <c r="EM135" s="22">
        <f t="shared" si="127"/>
        <v>3.036919790734272E-12</v>
      </c>
      <c r="EN135" s="62">
        <f t="shared" si="128"/>
        <v>280.30727929116404</v>
      </c>
      <c r="EO135" s="62">
        <f ca="1">AVERAGE(OFFSET($EN$3,0,0,'Données projet'!$E$15+1,1))-AVERAGE(OFFSET($H$3,0,0,'Données projet'!$E$15+1,1))</f>
        <v>452.74627739105745</v>
      </c>
      <c r="EP135" s="62">
        <f t="shared" si="154"/>
        <v>281.80695725575106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1.1368683772161603E-13</v>
      </c>
      <c r="FF135" s="18">
        <f>FE135*VLOOKUP('Données projet'!$B$16,Paramètres!$A$1:$I$89,3,0)*VLOOKUP('Données projet'!$B$16,Paramètres!$A$1:$I$89,5,0)</f>
        <v>1.223725121235475E-13</v>
      </c>
      <c r="FG135" s="14">
        <f t="shared" si="155"/>
        <v>1.7956824466038182E-12</v>
      </c>
      <c r="FH135" s="22">
        <f t="shared" si="130"/>
        <v>3.3406123864501612E-12</v>
      </c>
      <c r="FI135" s="62">
        <f t="shared" si="131"/>
        <v>280.30727929116438</v>
      </c>
      <c r="FJ135" s="62">
        <f ca="1">AVERAGE(OFFSET($FI$3,0,0,'Données projet'!$E$16+1,1))-AVERAGE(OFFSET($H$3,0,0,'Données projet'!$E$16+1,1))</f>
        <v>492.72391755143508</v>
      </c>
      <c r="FK135" s="62">
        <f t="shared" si="156"/>
        <v>304.88554179994355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66.447439806680279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143.77000000000001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-5.6843418860808015E-14</v>
      </c>
      <c r="O136" s="14">
        <f>N136*VLOOKUP('Données projet'!$B$9,Paramètres!$A$1:$I$89,3,0)*VLOOKUP('Données projet'!$B$9,Paramètres!$A$1:$I$89,5,0)</f>
        <v>-5.1431925385259088E-14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388.8309693898596</v>
      </c>
      <c r="T136" s="62">
        <f t="shared" si="142"/>
        <v>549.06702041234382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1.3765635697094538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1.3765635697094538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6.7984728957526396E-14</v>
      </c>
      <c r="AK136" s="14">
        <f t="shared" si="143"/>
        <v>1.0682447123141398E-12</v>
      </c>
      <c r="AL136" s="22">
        <f t="shared" si="112"/>
        <v>1.978932943548152E-12</v>
      </c>
      <c r="AM136" s="62">
        <f t="shared" si="113"/>
        <v>280.53325220690067</v>
      </c>
      <c r="AN136" s="62">
        <f ca="1">AVERAGE(OFFSET($AM$3,0,0,'Données projet'!$E$10+1,1))-AVERAGE(OFFSET($H$3,0,0,'Données projet'!$E$10+1,1))</f>
        <v>197.85998851681552</v>
      </c>
      <c r="AO136" s="62">
        <f t="shared" si="144"/>
        <v>474.54844785896239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6.9343411127811221</v>
      </c>
      <c r="AV136" s="23">
        <f>EXP(-LN(2)/25)*AV135+(1-EXP(-LN(2)/25))/(LN(2)/25)*Calculateur!AQ136*Calculateur!AS136*VLOOKUP('Données projet'!$B$10,Paramètres!$A$1:$I$89,3,0)*0.475*44/12</f>
        <v>2.527572285144315</v>
      </c>
      <c r="AW136" s="23">
        <f>EXP(-LN(2)/2)*AW135+(1-EXP(-LN(2)/2))/(LN(2)/2)*AQ136*AT136*VLOOKUP('Données projet'!$B$10,Paramètres!$A$1:$I$89,3,0)*0.475*44/12</f>
        <v>1.3680964462840098E-14</v>
      </c>
      <c r="AX136" s="23">
        <f t="shared" si="114"/>
        <v>9.4619133979254517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1.1368683772161603E-13</v>
      </c>
      <c r="BE136" s="14">
        <f>BD136*VLOOKUP('Données projet'!$B$11,Paramètres!$A$1:$I$89,3,0)*VLOOKUP('Données projet'!$B$11,Paramètres!$A$1:$I$89,5,0)</f>
        <v>6.7984728957526396E-14</v>
      </c>
      <c r="BF136" s="14">
        <f t="shared" si="145"/>
        <v>1.0682447123141398E-12</v>
      </c>
      <c r="BG136" s="22">
        <f t="shared" si="115"/>
        <v>1.978932943548152E-12</v>
      </c>
      <c r="BH136" s="62">
        <f t="shared" si="116"/>
        <v>280.53325220690067</v>
      </c>
      <c r="BI136" s="62">
        <f ca="1">AVERAGE(OFFSET($BH$3,0,0,'Données projet'!$E$11+1,1))-AVERAGE(OFFSET($H$3,0,0,'Données projet'!$E$11+1,1))</f>
        <v>197.85998851681552</v>
      </c>
      <c r="BJ136" s="62">
        <f t="shared" si="146"/>
        <v>474.54844785896239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6.9343411127811221</v>
      </c>
      <c r="BQ136" s="23">
        <f>EXP(-LN(2)/25)*BQ135+(1-EXP(-LN(2)/25))/(LN(2)/25)*Calculateur!BL136*Calculateur!BN136*VLOOKUP('Données projet'!$B$11,Paramètres!$A$1:$I$89,3,0)*0.475*44/12</f>
        <v>2.527572285144315</v>
      </c>
      <c r="BR136" s="23">
        <f>EXP(-LN(2)/2)*BR135+(1-EXP(-LN(2)/2))/(LN(2)/2)*BL136*BO136*VLOOKUP('Données projet'!$B$11,Paramètres!$A$1:$I$89,3,0)*0.475*44/12</f>
        <v>1.3680964462840098E-14</v>
      </c>
      <c r="BS136" s="24">
        <f t="shared" si="117"/>
        <v>9.4619133979254517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>
        <f>BY136*VLOOKUP('Données projet'!$B$12,Paramètres!$A$1:$I$89,3,0)*VLOOKUP('Données projet'!$B$12,Paramètres!$A$1:$I$89,5,0)</f>
        <v>0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72.97248599808384</v>
      </c>
      <c r="CE136" s="62">
        <f t="shared" si="148"/>
        <v>346.88163654003574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7.5583761580816731</v>
      </c>
      <c r="CL136" s="23">
        <f>EXP(-LN(2)/25)*CL135+(1-EXP(-LN(2)/25))/(LN(2)/25)*Calculateur!CG136*Calculateur!CI136*VLOOKUP('Données projet'!$B$12,Paramètres!$A$1:$I$89,3,0)*0.475*44/12</f>
        <v>0.75088838492762022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8.3092645430092933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>
        <f>CT136*VLOOKUP('Données projet'!$B$13,Paramètres!$A$1:$I$89,3,0)*VLOOKUP('Données projet'!$B$13,Paramètres!$A$1:$I$89,5,0)</f>
        <v>0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67.303283896086128</v>
      </c>
      <c r="CZ136" s="62">
        <f t="shared" si="150"/>
        <v>318.97925671653547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6.8635950627705489</v>
      </c>
      <c r="DG136" s="23">
        <f>EXP(-LN(2)/25)*DG135+(1-EXP(-LN(2)/25))/(LN(2)/25)*Calculateur!DB136*Calculateur!DD136*VLOOKUP('Données projet'!$B$13,Paramètres!$A$1:$I$89,3,0)*0.475*44/12</f>
        <v>0.68186521862508009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7.5454602813956289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>
        <f>DO136*VLOOKUP('Données projet'!$B$14,Paramètres!$A$1:$I$89,3,0)*VLOOKUP('Données projet'!$B$14,Paramètres!$A$1:$I$89,5,0)</f>
        <v>0</v>
      </c>
      <c r="DQ136" s="14" t="e">
        <f t="shared" si="151"/>
        <v>#NUM!</v>
      </c>
      <c r="DR136" s="22" t="e">
        <f t="shared" si="124"/>
        <v>#NUM!</v>
      </c>
      <c r="DS136" s="62" t="e">
        <f t="shared" si="125"/>
        <v>#NUM!</v>
      </c>
      <c r="DT136" s="62">
        <f ca="1">AVERAGE(OFFSET($DS$3,0,0,'Données projet'!$E$14+1,1))-AVERAGE(OFFSET($H$3,0,0,'Données projet'!$E$14+1,1))</f>
        <v>75.244137291704476</v>
      </c>
      <c r="DU136" s="62">
        <f t="shared" si="152"/>
        <v>366.065475656937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8.036875535017705</v>
      </c>
      <c r="EB136" s="23">
        <f>EXP(-LN(2)/25)*EB135+(1-EXP(-LN(2)/25))/(LN(2)/25)*Calculateur!DW136*Calculateur!DY136*VLOOKUP('Données projet'!$B$14,Paramètres!$A$1:$I$89,3,0)*0.475*44/12</f>
        <v>0.79842500083845913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8.8353005358561649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1.1368683772161603E-13</v>
      </c>
      <c r="EK136" s="18">
        <f>EJ136*VLOOKUP('Données projet'!$B$15,Paramètres!$A$1:$I$89,3,0)*VLOOKUP('Données projet'!$B$15,Paramètres!$A$1:$I$89,5,0)</f>
        <v>1.0995790944434703E-13</v>
      </c>
      <c r="EL136" s="14">
        <f t="shared" si="153"/>
        <v>1.6337280948049956E-12</v>
      </c>
      <c r="EM136" s="22">
        <f t="shared" si="127"/>
        <v>3.036919790734272E-12</v>
      </c>
      <c r="EN136" s="62">
        <f t="shared" si="128"/>
        <v>280.53325220690169</v>
      </c>
      <c r="EO136" s="62">
        <f ca="1">AVERAGE(OFFSET($EN$3,0,0,'Données projet'!$E$15+1,1))-AVERAGE(OFFSET($H$3,0,0,'Données projet'!$E$15+1,1))</f>
        <v>452.74627739105745</v>
      </c>
      <c r="EP136" s="62">
        <f t="shared" si="154"/>
        <v>281.80695725575106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1.1368683772161603E-13</v>
      </c>
      <c r="FF136" s="18">
        <f>FE136*VLOOKUP('Données projet'!$B$16,Paramètres!$A$1:$I$89,3,0)*VLOOKUP('Données projet'!$B$16,Paramètres!$A$1:$I$89,5,0)</f>
        <v>1.223725121235475E-13</v>
      </c>
      <c r="FG136" s="14">
        <f t="shared" si="155"/>
        <v>1.7956824466038182E-12</v>
      </c>
      <c r="FH136" s="22">
        <f t="shared" si="130"/>
        <v>3.3406123864501612E-12</v>
      </c>
      <c r="FI136" s="62">
        <f t="shared" si="131"/>
        <v>280.53325220690203</v>
      </c>
      <c r="FJ136" s="62">
        <f ca="1">AVERAGE(OFFSET($FI$3,0,0,'Données projet'!$E$16+1,1))-AVERAGE(OFFSET($H$3,0,0,'Données projet'!$E$16+1,1))</f>
        <v>492.72391755143508</v>
      </c>
      <c r="FK136" s="62">
        <f t="shared" si="156"/>
        <v>304.88554179994355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66.509068783699632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143.77000000000001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-5.6843418860808015E-14</v>
      </c>
      <c r="O137" s="14">
        <f>N137*VLOOKUP('Données projet'!$B$9,Paramètres!$A$1:$I$89,3,0)*VLOOKUP('Données projet'!$B$9,Paramètres!$A$1:$I$89,5,0)</f>
        <v>-5.1431925385259088E-14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388.8309693898596</v>
      </c>
      <c r="T137" s="62">
        <f t="shared" si="142"/>
        <v>549.06702041234382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1.3495699977283233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1.3495699977283233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6.7984728957526396E-14</v>
      </c>
      <c r="AK137" s="14">
        <f t="shared" si="143"/>
        <v>1.0682447123141398E-12</v>
      </c>
      <c r="AL137" s="22">
        <f t="shared" si="112"/>
        <v>1.978932943548152E-12</v>
      </c>
      <c r="AM137" s="62">
        <f t="shared" si="113"/>
        <v>280.75530499775005</v>
      </c>
      <c r="AN137" s="62">
        <f ca="1">AVERAGE(OFFSET($AM$3,0,0,'Données projet'!$E$10+1,1))-AVERAGE(OFFSET($H$3,0,0,'Données projet'!$E$10+1,1))</f>
        <v>197.85998851681552</v>
      </c>
      <c r="AO137" s="62">
        <f t="shared" si="144"/>
        <v>474.54844785896239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6.7983629130899317</v>
      </c>
      <c r="AV137" s="23">
        <f>EXP(-LN(2)/25)*AV136+(1-EXP(-LN(2)/25))/(LN(2)/25)*Calculateur!AQ137*Calculateur!AS137*VLOOKUP('Données projet'!$B$10,Paramètres!$A$1:$I$89,3,0)*0.475*44/12</f>
        <v>2.4584556880877941</v>
      </c>
      <c r="AW137" s="23">
        <f>EXP(-LN(2)/2)*AW136+(1-EXP(-LN(2)/2))/(LN(2)/2)*AQ137*AT137*VLOOKUP('Données projet'!$B$10,Paramètres!$A$1:$I$89,3,0)*0.475*44/12</f>
        <v>9.6739027448464056E-15</v>
      </c>
      <c r="AX137" s="23">
        <f t="shared" si="114"/>
        <v>9.2568186011777343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1.1368683772161603E-13</v>
      </c>
      <c r="BE137" s="14">
        <f>BD137*VLOOKUP('Données projet'!$B$11,Paramètres!$A$1:$I$89,3,0)*VLOOKUP('Données projet'!$B$11,Paramètres!$A$1:$I$89,5,0)</f>
        <v>6.7984728957526396E-14</v>
      </c>
      <c r="BF137" s="14">
        <f t="shared" si="145"/>
        <v>1.0682447123141398E-12</v>
      </c>
      <c r="BG137" s="22">
        <f t="shared" si="115"/>
        <v>1.978932943548152E-12</v>
      </c>
      <c r="BH137" s="62">
        <f t="shared" si="116"/>
        <v>280.75530499775005</v>
      </c>
      <c r="BI137" s="62">
        <f ca="1">AVERAGE(OFFSET($BH$3,0,0,'Données projet'!$E$11+1,1))-AVERAGE(OFFSET($H$3,0,0,'Données projet'!$E$11+1,1))</f>
        <v>197.85998851681552</v>
      </c>
      <c r="BJ137" s="62">
        <f t="shared" si="146"/>
        <v>474.54844785896239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6.7983629130899317</v>
      </c>
      <c r="BQ137" s="23">
        <f>EXP(-LN(2)/25)*BQ136+(1-EXP(-LN(2)/25))/(LN(2)/25)*Calculateur!BL137*Calculateur!BN137*VLOOKUP('Données projet'!$B$11,Paramètres!$A$1:$I$89,3,0)*0.475*44/12</f>
        <v>2.4584556880877941</v>
      </c>
      <c r="BR137" s="23">
        <f>EXP(-LN(2)/2)*BR136+(1-EXP(-LN(2)/2))/(LN(2)/2)*BL137*BO137*VLOOKUP('Données projet'!$B$11,Paramètres!$A$1:$I$89,3,0)*0.475*44/12</f>
        <v>9.6739027448464056E-15</v>
      </c>
      <c r="BS137" s="24">
        <f t="shared" si="117"/>
        <v>9.2568186011777343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>
        <f>BY137*VLOOKUP('Données projet'!$B$12,Paramètres!$A$1:$I$89,3,0)*VLOOKUP('Données projet'!$B$12,Paramètres!$A$1:$I$89,5,0)</f>
        <v>0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72.97248599808384</v>
      </c>
      <c r="CE137" s="62">
        <f t="shared" si="148"/>
        <v>346.88163654003574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7.4101610117759327</v>
      </c>
      <c r="CL137" s="23">
        <f>EXP(-LN(2)/25)*CL136+(1-EXP(-LN(2)/25))/(LN(2)/25)*Calculateur!CG137*Calculateur!CI137*VLOOKUP('Données projet'!$B$12,Paramètres!$A$1:$I$89,3,0)*0.475*44/12</f>
        <v>0.7303553025542705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8.1405163143302026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>
        <f>CT137*VLOOKUP('Données projet'!$B$13,Paramètres!$A$1:$I$89,3,0)*VLOOKUP('Données projet'!$B$13,Paramètres!$A$1:$I$89,5,0)</f>
        <v>0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67.303283896086128</v>
      </c>
      <c r="CZ137" s="62">
        <f t="shared" si="150"/>
        <v>318.97925671653547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6.7290041499692359</v>
      </c>
      <c r="DG137" s="23">
        <f>EXP(-LN(2)/25)*DG136+(1-EXP(-LN(2)/25))/(LN(2)/25)*Calculateur!DB137*Calculateur!DD137*VLOOKUP('Données projet'!$B$13,Paramètres!$A$1:$I$89,3,0)*0.475*44/12</f>
        <v>0.66321957836404388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7.3922237283332795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>
        <f>DO137*VLOOKUP('Données projet'!$B$14,Paramètres!$A$1:$I$89,3,0)*VLOOKUP('Données projet'!$B$14,Paramètres!$A$1:$I$89,5,0)</f>
        <v>0</v>
      </c>
      <c r="DQ137" s="14" t="e">
        <f t="shared" si="151"/>
        <v>#NUM!</v>
      </c>
      <c r="DR137" s="22" t="e">
        <f t="shared" si="124"/>
        <v>#NUM!</v>
      </c>
      <c r="DS137" s="62" t="e">
        <f t="shared" si="125"/>
        <v>#NUM!</v>
      </c>
      <c r="DT137" s="62">
        <f ca="1">AVERAGE(OFFSET($DS$3,0,0,'Données projet'!$E$14+1,1))-AVERAGE(OFFSET($H$3,0,0,'Données projet'!$E$14+1,1))</f>
        <v>75.244137291704476</v>
      </c>
      <c r="DU137" s="62">
        <f t="shared" si="152"/>
        <v>366.065475656937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7.879277307786051</v>
      </c>
      <c r="EB137" s="23">
        <f>EXP(-LN(2)/25)*EB136+(1-EXP(-LN(2)/25))/(LN(2)/25)*Calculateur!DW137*Calculateur!DY137*VLOOKUP('Données projet'!$B$14,Paramètres!$A$1:$I$89,3,0)*0.475*44/12</f>
        <v>0.77659202720318554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8.6558693349892373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1.1368683772161603E-13</v>
      </c>
      <c r="EK137" s="18">
        <f>EJ137*VLOOKUP('Données projet'!$B$15,Paramètres!$A$1:$I$89,3,0)*VLOOKUP('Données projet'!$B$15,Paramètres!$A$1:$I$89,5,0)</f>
        <v>1.0995790944434703E-13</v>
      </c>
      <c r="EL137" s="14">
        <f t="shared" si="153"/>
        <v>1.6337280948049956E-12</v>
      </c>
      <c r="EM137" s="22">
        <f t="shared" si="127"/>
        <v>3.036919790734272E-12</v>
      </c>
      <c r="EN137" s="62">
        <f t="shared" si="128"/>
        <v>280.75530499775107</v>
      </c>
      <c r="EO137" s="62">
        <f ca="1">AVERAGE(OFFSET($EN$3,0,0,'Données projet'!$E$15+1,1))-AVERAGE(OFFSET($H$3,0,0,'Données projet'!$E$15+1,1))</f>
        <v>452.74627739105745</v>
      </c>
      <c r="EP137" s="62">
        <f t="shared" si="154"/>
        <v>281.80695725575106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1.1368683772161603E-13</v>
      </c>
      <c r="FF137" s="18">
        <f>FE137*VLOOKUP('Données projet'!$B$16,Paramètres!$A$1:$I$89,3,0)*VLOOKUP('Données projet'!$B$16,Paramètres!$A$1:$I$89,5,0)</f>
        <v>1.223725121235475E-13</v>
      </c>
      <c r="FG137" s="14">
        <f t="shared" si="155"/>
        <v>1.7956824466038182E-12</v>
      </c>
      <c r="FH137" s="22">
        <f t="shared" si="130"/>
        <v>3.3406123864501612E-12</v>
      </c>
      <c r="FI137" s="62">
        <f t="shared" si="131"/>
        <v>280.75530499775141</v>
      </c>
      <c r="FJ137" s="62">
        <f ca="1">AVERAGE(OFFSET($FI$3,0,0,'Données projet'!$E$16+1,1))-AVERAGE(OFFSET($H$3,0,0,'Données projet'!$E$16+1,1))</f>
        <v>492.72391755143508</v>
      </c>
      <c r="FK137" s="62">
        <f t="shared" si="156"/>
        <v>304.88554179994355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66.569628635749467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143.77000000000001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-5.6843418860808015E-14</v>
      </c>
      <c r="O138" s="14">
        <f>N138*VLOOKUP('Données projet'!$B$9,Paramètres!$A$1:$I$89,3,0)*VLOOKUP('Données projet'!$B$9,Paramètres!$A$1:$I$89,5,0)</f>
        <v>-5.1431925385259088E-14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388.8309693898596</v>
      </c>
      <c r="T138" s="62">
        <f t="shared" si="142"/>
        <v>549.06702041234382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1.3231057532292896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1.3231057532292896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6.7984728957526396E-14</v>
      </c>
      <c r="AK138" s="14">
        <f t="shared" si="143"/>
        <v>1.0682447123141398E-12</v>
      </c>
      <c r="AL138" s="22">
        <f t="shared" si="112"/>
        <v>1.978932943548152E-12</v>
      </c>
      <c r="AM138" s="62">
        <f t="shared" si="113"/>
        <v>280.97350566911376</v>
      </c>
      <c r="AN138" s="62">
        <f ca="1">AVERAGE(OFFSET($AM$3,0,0,'Données projet'!$E$10+1,1))-AVERAGE(OFFSET($H$3,0,0,'Données projet'!$E$10+1,1))</f>
        <v>197.85998851681552</v>
      </c>
      <c r="AO138" s="62">
        <f t="shared" si="144"/>
        <v>474.54844785896239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6.6650511629561731</v>
      </c>
      <c r="AV138" s="23">
        <f>EXP(-LN(2)/25)*AV137+(1-EXP(-LN(2)/25))/(LN(2)/25)*Calculateur!AQ138*Calculateur!AS138*VLOOKUP('Données projet'!$B$10,Paramètres!$A$1:$I$89,3,0)*0.475*44/12</f>
        <v>2.3912290880124676</v>
      </c>
      <c r="AW138" s="23">
        <f>EXP(-LN(2)/2)*AW137+(1-EXP(-LN(2)/2))/(LN(2)/2)*AQ138*AT138*VLOOKUP('Données projet'!$B$10,Paramètres!$A$1:$I$89,3,0)*0.475*44/12</f>
        <v>6.8404822314200489E-15</v>
      </c>
      <c r="AX138" s="23">
        <f t="shared" si="114"/>
        <v>9.0562802509686477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1.1368683772161603E-13</v>
      </c>
      <c r="BE138" s="14">
        <f>BD138*VLOOKUP('Données projet'!$B$11,Paramètres!$A$1:$I$89,3,0)*VLOOKUP('Données projet'!$B$11,Paramètres!$A$1:$I$89,5,0)</f>
        <v>6.7984728957526396E-14</v>
      </c>
      <c r="BF138" s="14">
        <f t="shared" si="145"/>
        <v>1.0682447123141398E-12</v>
      </c>
      <c r="BG138" s="22">
        <f t="shared" si="115"/>
        <v>1.978932943548152E-12</v>
      </c>
      <c r="BH138" s="62">
        <f t="shared" si="116"/>
        <v>280.97350566911376</v>
      </c>
      <c r="BI138" s="62">
        <f ca="1">AVERAGE(OFFSET($BH$3,0,0,'Données projet'!$E$11+1,1))-AVERAGE(OFFSET($H$3,0,0,'Données projet'!$E$11+1,1))</f>
        <v>197.85998851681552</v>
      </c>
      <c r="BJ138" s="62">
        <f t="shared" si="146"/>
        <v>474.54844785896239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6.6650511629561731</v>
      </c>
      <c r="BQ138" s="23">
        <f>EXP(-LN(2)/25)*BQ137+(1-EXP(-LN(2)/25))/(LN(2)/25)*Calculateur!BL138*Calculateur!BN138*VLOOKUP('Données projet'!$B$11,Paramètres!$A$1:$I$89,3,0)*0.475*44/12</f>
        <v>2.3912290880124676</v>
      </c>
      <c r="BR138" s="23">
        <f>EXP(-LN(2)/2)*BR137+(1-EXP(-LN(2)/2))/(LN(2)/2)*BL138*BO138*VLOOKUP('Données projet'!$B$11,Paramètres!$A$1:$I$89,3,0)*0.475*44/12</f>
        <v>6.8404822314200489E-15</v>
      </c>
      <c r="BS138" s="24">
        <f t="shared" si="117"/>
        <v>9.0562802509686477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>
        <f>BY138*VLOOKUP('Données projet'!$B$12,Paramètres!$A$1:$I$89,3,0)*VLOOKUP('Données projet'!$B$12,Paramètres!$A$1:$I$89,5,0)</f>
        <v>0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72.97248599808384</v>
      </c>
      <c r="CE138" s="62">
        <f t="shared" si="148"/>
        <v>346.88163654003574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7.2648522740869357</v>
      </c>
      <c r="CL138" s="23">
        <f>EXP(-LN(2)/25)*CL137+(1-EXP(-LN(2)/25))/(LN(2)/25)*Calculateur!CG138*Calculateur!CI138*VLOOKUP('Données projet'!$B$12,Paramètres!$A$1:$I$89,3,0)*0.475*44/12</f>
        <v>0.71038369839820792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7.9752359724851436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>
        <f>CT138*VLOOKUP('Données projet'!$B$13,Paramètres!$A$1:$I$89,3,0)*VLOOKUP('Données projet'!$B$13,Paramètres!$A$1:$I$89,5,0)</f>
        <v>0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67.303283896086128</v>
      </c>
      <c r="CZ138" s="62">
        <f t="shared" si="150"/>
        <v>318.97925671653547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6.5970524828756059</v>
      </c>
      <c r="DG138" s="23">
        <f>EXP(-LN(2)/25)*DG137+(1-EXP(-LN(2)/25))/(LN(2)/25)*Calculateur!DB138*Calculateur!DD138*VLOOKUP('Données projet'!$B$13,Paramètres!$A$1:$I$89,3,0)*0.475*44/12</f>
        <v>0.64508380411647726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7.2421362869920829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>
        <f>DO138*VLOOKUP('Données projet'!$B$14,Paramètres!$A$1:$I$89,3,0)*VLOOKUP('Données projet'!$B$14,Paramètres!$A$1:$I$89,5,0)</f>
        <v>0</v>
      </c>
      <c r="DQ138" s="14" t="e">
        <f t="shared" si="151"/>
        <v>#NUM!</v>
      </c>
      <c r="DR138" s="22" t="e">
        <f t="shared" si="124"/>
        <v>#NUM!</v>
      </c>
      <c r="DS138" s="62" t="e">
        <f t="shared" si="125"/>
        <v>#NUM!</v>
      </c>
      <c r="DT138" s="62">
        <f ca="1">AVERAGE(OFFSET($DS$3,0,0,'Données projet'!$E$14+1,1))-AVERAGE(OFFSET($H$3,0,0,'Données projet'!$E$14+1,1))</f>
        <v>75.244137291704476</v>
      </c>
      <c r="DU138" s="62">
        <f t="shared" si="152"/>
        <v>366.065475656937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7.7247694856649822</v>
      </c>
      <c r="EB138" s="23">
        <f>EXP(-LN(2)/25)*EB137+(1-EXP(-LN(2)/25))/(LN(2)/25)*Calculateur!DW138*Calculateur!DY138*VLOOKUP('Données projet'!$B$14,Paramètres!$A$1:$I$89,3,0)*0.475*44/12</f>
        <v>0.75535607738011468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8.480125563045096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1.1368683772161603E-13</v>
      </c>
      <c r="EK138" s="18">
        <f>EJ138*VLOOKUP('Données projet'!$B$15,Paramètres!$A$1:$I$89,3,0)*VLOOKUP('Données projet'!$B$15,Paramètres!$A$1:$I$89,5,0)</f>
        <v>1.0995790944434703E-13</v>
      </c>
      <c r="EL138" s="14">
        <f t="shared" si="153"/>
        <v>1.6337280948049956E-12</v>
      </c>
      <c r="EM138" s="22">
        <f t="shared" si="127"/>
        <v>3.036919790734272E-12</v>
      </c>
      <c r="EN138" s="62">
        <f t="shared" si="128"/>
        <v>280.97350566911479</v>
      </c>
      <c r="EO138" s="62">
        <f ca="1">AVERAGE(OFFSET($EN$3,0,0,'Données projet'!$E$15+1,1))-AVERAGE(OFFSET($H$3,0,0,'Données projet'!$E$15+1,1))</f>
        <v>452.74627739105745</v>
      </c>
      <c r="EP138" s="62">
        <f t="shared" si="154"/>
        <v>281.80695725575106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1.1368683772161603E-13</v>
      </c>
      <c r="FF138" s="18">
        <f>FE138*VLOOKUP('Données projet'!$B$16,Paramètres!$A$1:$I$89,3,0)*VLOOKUP('Données projet'!$B$16,Paramètres!$A$1:$I$89,5,0)</f>
        <v>1.223725121235475E-13</v>
      </c>
      <c r="FG138" s="14">
        <f t="shared" si="155"/>
        <v>1.7956824466038182E-12</v>
      </c>
      <c r="FH138" s="22">
        <f t="shared" si="130"/>
        <v>3.3406123864501612E-12</v>
      </c>
      <c r="FI138" s="62">
        <f t="shared" si="131"/>
        <v>280.97350566911513</v>
      </c>
      <c r="FJ138" s="62">
        <f ca="1">AVERAGE(OFFSET($FI$3,0,0,'Données projet'!$E$16+1,1))-AVERAGE(OFFSET($H$3,0,0,'Données projet'!$E$16+1,1))</f>
        <v>492.72391755143508</v>
      </c>
      <c r="FK138" s="62">
        <f t="shared" si="156"/>
        <v>304.88554179994355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66.629137909757759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143.77000000000001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-5.6843418860808015E-14</v>
      </c>
      <c r="O139" s="14">
        <f>N139*VLOOKUP('Données projet'!$B$9,Paramètres!$A$1:$I$89,3,0)*VLOOKUP('Données projet'!$B$9,Paramètres!$A$1:$I$89,5,0)</f>
        <v>-5.1431925385259088E-14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388.8309693898596</v>
      </c>
      <c r="T139" s="62">
        <f t="shared" si="142"/>
        <v>549.06702041234382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1.2971604564232866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1.2971604564232866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6.7984728957526396E-14</v>
      </c>
      <c r="AK139" s="14">
        <f t="shared" si="143"/>
        <v>1.0682447123141398E-12</v>
      </c>
      <c r="AL139" s="22">
        <f t="shared" si="112"/>
        <v>1.978932943548152E-12</v>
      </c>
      <c r="AM139" s="62">
        <f t="shared" si="113"/>
        <v>281.18792104665295</v>
      </c>
      <c r="AN139" s="62">
        <f ca="1">AVERAGE(OFFSET($AM$3,0,0,'Données projet'!$E$10+1,1))-AVERAGE(OFFSET($H$3,0,0,'Données projet'!$E$10+1,1))</f>
        <v>197.85998851681552</v>
      </c>
      <c r="AO139" s="62">
        <f t="shared" si="144"/>
        <v>474.54844785896239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6.5343535749303987</v>
      </c>
      <c r="AV139" s="23">
        <f>EXP(-LN(2)/25)*AV138+(1-EXP(-LN(2)/25))/(LN(2)/25)*Calculateur!AQ139*Calculateur!AS139*VLOOKUP('Données projet'!$B$10,Paramètres!$A$1:$I$89,3,0)*0.475*44/12</f>
        <v>2.3258408028514941</v>
      </c>
      <c r="AW139" s="23">
        <f>EXP(-LN(2)/2)*AW138+(1-EXP(-LN(2)/2))/(LN(2)/2)*AQ139*AT139*VLOOKUP('Données projet'!$B$10,Paramètres!$A$1:$I$89,3,0)*0.475*44/12</f>
        <v>4.8369513724232028E-15</v>
      </c>
      <c r="AX139" s="23">
        <f t="shared" si="114"/>
        <v>8.8601943777818981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1.1368683772161603E-13</v>
      </c>
      <c r="BE139" s="14">
        <f>BD139*VLOOKUP('Données projet'!$B$11,Paramètres!$A$1:$I$89,3,0)*VLOOKUP('Données projet'!$B$11,Paramètres!$A$1:$I$89,5,0)</f>
        <v>6.7984728957526396E-14</v>
      </c>
      <c r="BF139" s="14">
        <f t="shared" si="145"/>
        <v>1.0682447123141398E-12</v>
      </c>
      <c r="BG139" s="22">
        <f t="shared" si="115"/>
        <v>1.978932943548152E-12</v>
      </c>
      <c r="BH139" s="62">
        <f t="shared" si="116"/>
        <v>281.18792104665295</v>
      </c>
      <c r="BI139" s="62">
        <f ca="1">AVERAGE(OFFSET($BH$3,0,0,'Données projet'!$E$11+1,1))-AVERAGE(OFFSET($H$3,0,0,'Données projet'!$E$11+1,1))</f>
        <v>197.85998851681552</v>
      </c>
      <c r="BJ139" s="62">
        <f t="shared" si="146"/>
        <v>474.54844785896239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6.5343535749303987</v>
      </c>
      <c r="BQ139" s="23">
        <f>EXP(-LN(2)/25)*BQ138+(1-EXP(-LN(2)/25))/(LN(2)/25)*Calculateur!BL139*Calculateur!BN139*VLOOKUP('Données projet'!$B$11,Paramètres!$A$1:$I$89,3,0)*0.475*44/12</f>
        <v>2.3258408028514941</v>
      </c>
      <c r="BR139" s="23">
        <f>EXP(-LN(2)/2)*BR138+(1-EXP(-LN(2)/2))/(LN(2)/2)*BL139*BO139*VLOOKUP('Données projet'!$B$11,Paramètres!$A$1:$I$89,3,0)*0.475*44/12</f>
        <v>4.8369513724232028E-15</v>
      </c>
      <c r="BS139" s="24">
        <f t="shared" si="117"/>
        <v>8.8601943777818981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>
        <f>BY139*VLOOKUP('Données projet'!$B$12,Paramètres!$A$1:$I$89,3,0)*VLOOKUP('Données projet'!$B$12,Paramètres!$A$1:$I$89,5,0)</f>
        <v>0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72.97248599808384</v>
      </c>
      <c r="CE139" s="62">
        <f t="shared" si="148"/>
        <v>346.88163654003574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7.1223929521144411</v>
      </c>
      <c r="CL139" s="23">
        <f>EXP(-LN(2)/25)*CL138+(1-EXP(-LN(2)/25))/(LN(2)/25)*Calculateur!CG139*Calculateur!CI139*VLOOKUP('Données projet'!$B$12,Paramètres!$A$1:$I$89,3,0)*0.475*44/12</f>
        <v>0.69095821880805386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7.8133511709224948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>
        <f>CT139*VLOOKUP('Données projet'!$B$13,Paramètres!$A$1:$I$89,3,0)*VLOOKUP('Données projet'!$B$13,Paramètres!$A$1:$I$89,5,0)</f>
        <v>0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67.303283896086128</v>
      </c>
      <c r="CZ139" s="62">
        <f t="shared" si="150"/>
        <v>318.97925671653547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6.4676883074911125</v>
      </c>
      <c r="DG139" s="23">
        <f>EXP(-LN(2)/25)*DG138+(1-EXP(-LN(2)/25))/(LN(2)/25)*Calculateur!DB139*Calculateur!DD139*VLOOKUP('Données projet'!$B$13,Paramètres!$A$1:$I$89,3,0)*0.475*44/12</f>
        <v>0.62744395356942928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7.0951322610605416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>
        <f>DO139*VLOOKUP('Données projet'!$B$14,Paramètres!$A$1:$I$89,3,0)*VLOOKUP('Données projet'!$B$14,Paramètres!$A$1:$I$89,5,0)</f>
        <v>0</v>
      </c>
      <c r="DQ139" s="14" t="e">
        <f t="shared" si="151"/>
        <v>#NUM!</v>
      </c>
      <c r="DR139" s="22" t="e">
        <f t="shared" si="124"/>
        <v>#NUM!</v>
      </c>
      <c r="DS139" s="62" t="e">
        <f t="shared" si="125"/>
        <v>#NUM!</v>
      </c>
      <c r="DT139" s="62">
        <f ca="1">AVERAGE(OFFSET($DS$3,0,0,'Données projet'!$E$14+1,1))-AVERAGE(OFFSET($H$3,0,0,'Données projet'!$E$14+1,1))</f>
        <v>75.244137291704476</v>
      </c>
      <c r="DU139" s="62">
        <f t="shared" si="152"/>
        <v>366.065475656937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7.5732914676952419</v>
      </c>
      <c r="EB139" s="23">
        <f>EXP(-LN(2)/25)*EB138+(1-EXP(-LN(2)/25))/(LN(2)/25)*Calculateur!DW139*Calculateur!DY139*VLOOKUP('Données projet'!$B$14,Paramètres!$A$1:$I$89,3,0)*0.475*44/12</f>
        <v>0.7347008257217057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8.3079922934169481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1.1368683772161603E-13</v>
      </c>
      <c r="EK139" s="18">
        <f>EJ139*VLOOKUP('Données projet'!$B$15,Paramètres!$A$1:$I$89,3,0)*VLOOKUP('Données projet'!$B$15,Paramètres!$A$1:$I$89,5,0)</f>
        <v>1.0995790944434703E-13</v>
      </c>
      <c r="EL139" s="14">
        <f t="shared" si="153"/>
        <v>1.6337280948049956E-12</v>
      </c>
      <c r="EM139" s="22">
        <f t="shared" si="127"/>
        <v>3.036919790734272E-12</v>
      </c>
      <c r="EN139" s="62">
        <f t="shared" si="128"/>
        <v>281.18792104665397</v>
      </c>
      <c r="EO139" s="62">
        <f ca="1">AVERAGE(OFFSET($EN$3,0,0,'Données projet'!$E$15+1,1))-AVERAGE(OFFSET($H$3,0,0,'Données projet'!$E$15+1,1))</f>
        <v>452.74627739105745</v>
      </c>
      <c r="EP139" s="62">
        <f t="shared" si="154"/>
        <v>281.80695725575106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1.1368683772161603E-13</v>
      </c>
      <c r="FF139" s="18">
        <f>FE139*VLOOKUP('Données projet'!$B$16,Paramètres!$A$1:$I$89,3,0)*VLOOKUP('Données projet'!$B$16,Paramètres!$A$1:$I$89,5,0)</f>
        <v>1.223725121235475E-13</v>
      </c>
      <c r="FG139" s="14">
        <f t="shared" si="155"/>
        <v>1.7956824466038182E-12</v>
      </c>
      <c r="FH139" s="22">
        <f t="shared" si="130"/>
        <v>3.3406123864501612E-12</v>
      </c>
      <c r="FI139" s="62">
        <f t="shared" si="131"/>
        <v>281.18792104665431</v>
      </c>
      <c r="FJ139" s="62">
        <f ca="1">AVERAGE(OFFSET($FI$3,0,0,'Données projet'!$E$16+1,1))-AVERAGE(OFFSET($H$3,0,0,'Données projet'!$E$16+1,1))</f>
        <v>492.72391755143508</v>
      </c>
      <c r="FK139" s="62">
        <f t="shared" si="156"/>
        <v>304.88554179994355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66.687614830904806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143.77000000000001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-5.6843418860808015E-14</v>
      </c>
      <c r="O140" s="14">
        <f>N140*VLOOKUP('Données projet'!$B$9,Paramètres!$A$1:$I$89,3,0)*VLOOKUP('Données projet'!$B$9,Paramètres!$A$1:$I$89,5,0)</f>
        <v>-5.1431925385259088E-14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388.8309693898596</v>
      </c>
      <c r="T140" s="62">
        <f t="shared" si="142"/>
        <v>549.06702041234382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1.2717239310625807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1.2717239310625807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6.7984728957526396E-14</v>
      </c>
      <c r="AK140" s="14">
        <f t="shared" si="143"/>
        <v>1.0682447123141398E-12</v>
      </c>
      <c r="AL140" s="22">
        <f t="shared" si="112"/>
        <v>1.978932943548152E-12</v>
      </c>
      <c r="AM140" s="62">
        <f t="shared" si="113"/>
        <v>281.39861679675289</v>
      </c>
      <c r="AN140" s="62">
        <f ca="1">AVERAGE(OFFSET($AM$3,0,0,'Données projet'!$E$10+1,1))-AVERAGE(OFFSET($H$3,0,0,'Données projet'!$E$10+1,1))</f>
        <v>197.85998851681552</v>
      </c>
      <c r="AO140" s="62">
        <f t="shared" si="144"/>
        <v>474.54844785896239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6.4062188868881531</v>
      </c>
      <c r="AV140" s="23">
        <f>EXP(-LN(2)/25)*AV139+(1-EXP(-LN(2)/25))/(LN(2)/25)*Calculateur!AQ140*Calculateur!AS140*VLOOKUP('Données projet'!$B$10,Paramètres!$A$1:$I$89,3,0)*0.475*44/12</f>
        <v>2.2622405637868681</v>
      </c>
      <c r="AW140" s="23">
        <f>EXP(-LN(2)/2)*AW139+(1-EXP(-LN(2)/2))/(LN(2)/2)*AQ140*AT140*VLOOKUP('Données projet'!$B$10,Paramètres!$A$1:$I$89,3,0)*0.475*44/12</f>
        <v>3.4202411157100244E-15</v>
      </c>
      <c r="AX140" s="23">
        <f t="shared" si="114"/>
        <v>8.6684594506750248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1.1368683772161603E-13</v>
      </c>
      <c r="BE140" s="14">
        <f>BD140*VLOOKUP('Données projet'!$B$11,Paramètres!$A$1:$I$89,3,0)*VLOOKUP('Données projet'!$B$11,Paramètres!$A$1:$I$89,5,0)</f>
        <v>6.7984728957526396E-14</v>
      </c>
      <c r="BF140" s="14">
        <f t="shared" si="145"/>
        <v>1.0682447123141398E-12</v>
      </c>
      <c r="BG140" s="22">
        <f t="shared" si="115"/>
        <v>1.978932943548152E-12</v>
      </c>
      <c r="BH140" s="62">
        <f t="shared" si="116"/>
        <v>281.39861679675289</v>
      </c>
      <c r="BI140" s="62">
        <f ca="1">AVERAGE(OFFSET($BH$3,0,0,'Données projet'!$E$11+1,1))-AVERAGE(OFFSET($H$3,0,0,'Données projet'!$E$11+1,1))</f>
        <v>197.85998851681552</v>
      </c>
      <c r="BJ140" s="62">
        <f t="shared" si="146"/>
        <v>474.54844785896239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6.4062188868881531</v>
      </c>
      <c r="BQ140" s="23">
        <f>EXP(-LN(2)/25)*BQ139+(1-EXP(-LN(2)/25))/(LN(2)/25)*Calculateur!BL140*Calculateur!BN140*VLOOKUP('Données projet'!$B$11,Paramètres!$A$1:$I$89,3,0)*0.475*44/12</f>
        <v>2.2622405637868681</v>
      </c>
      <c r="BR140" s="23">
        <f>EXP(-LN(2)/2)*BR139+(1-EXP(-LN(2)/2))/(LN(2)/2)*BL140*BO140*VLOOKUP('Données projet'!$B$11,Paramètres!$A$1:$I$89,3,0)*0.475*44/12</f>
        <v>3.4202411157100244E-15</v>
      </c>
      <c r="BS140" s="24">
        <f t="shared" si="117"/>
        <v>8.6684594506750248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>
        <f>BY140*VLOOKUP('Données projet'!$B$12,Paramètres!$A$1:$I$89,3,0)*VLOOKUP('Données projet'!$B$12,Paramètres!$A$1:$I$89,5,0)</f>
        <v>0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72.97248599808384</v>
      </c>
      <c r="CE140" s="62">
        <f t="shared" si="148"/>
        <v>346.88163654003574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6.9827271705542202</v>
      </c>
      <c r="CL140" s="23">
        <f>EXP(-LN(2)/25)*CL139+(1-EXP(-LN(2)/25))/(LN(2)/25)*Calculateur!CG140*Calculateur!CI140*VLOOKUP('Données projet'!$B$12,Paramètres!$A$1:$I$89,3,0)*0.475*44/12</f>
        <v>0.67206392997883413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7.6547911005330542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>
        <f>CT140*VLOOKUP('Données projet'!$B$13,Paramètres!$A$1:$I$89,3,0)*VLOOKUP('Données projet'!$B$13,Paramètres!$A$1:$I$89,5,0)</f>
        <v>0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67.303283896086128</v>
      </c>
      <c r="CZ140" s="62">
        <f t="shared" si="150"/>
        <v>318.97925671653547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6.3408608846815531</v>
      </c>
      <c r="DG140" s="23">
        <f>EXP(-LN(2)/25)*DG139+(1-EXP(-LN(2)/25))/(LN(2)/25)*Calculateur!DB140*Calculateur!DD140*VLOOKUP('Données projet'!$B$13,Paramètres!$A$1:$I$89,3,0)*0.475*44/12</f>
        <v>0.61028646566322975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6.9511473503447831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>
        <f>DO140*VLOOKUP('Données projet'!$B$14,Paramètres!$A$1:$I$89,3,0)*VLOOKUP('Données projet'!$B$14,Paramètres!$A$1:$I$89,5,0)</f>
        <v>0</v>
      </c>
      <c r="DQ140" s="14" t="e">
        <f t="shared" si="151"/>
        <v>#NUM!</v>
      </c>
      <c r="DR140" s="22" t="e">
        <f t="shared" si="124"/>
        <v>#NUM!</v>
      </c>
      <c r="DS140" s="62" t="e">
        <f t="shared" si="125"/>
        <v>#NUM!</v>
      </c>
      <c r="DT140" s="62">
        <f ca="1">AVERAGE(OFFSET($DS$3,0,0,'Données projet'!$E$14+1,1))-AVERAGE(OFFSET($H$3,0,0,'Données projet'!$E$14+1,1))</f>
        <v>75.244137291704476</v>
      </c>
      <c r="DU140" s="62">
        <f t="shared" si="152"/>
        <v>366.065475656937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7.4247838412654206</v>
      </c>
      <c r="EB140" s="23">
        <f>EXP(-LN(2)/25)*EB139+(1-EXP(-LN(2)/25))/(LN(2)/25)*Calculateur!DW140*Calculateur!DY140*VLOOKUP('Données projet'!$B$14,Paramètres!$A$1:$I$89,3,0)*0.475*44/12</f>
        <v>0.7146103930061084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8.1393942342715295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1.1368683772161603E-13</v>
      </c>
      <c r="EK140" s="18">
        <f>EJ140*VLOOKUP('Données projet'!$B$15,Paramètres!$A$1:$I$89,3,0)*VLOOKUP('Données projet'!$B$15,Paramètres!$A$1:$I$89,5,0)</f>
        <v>1.0995790944434703E-13</v>
      </c>
      <c r="EL140" s="14">
        <f t="shared" si="153"/>
        <v>1.6337280948049956E-12</v>
      </c>
      <c r="EM140" s="22">
        <f t="shared" si="127"/>
        <v>3.036919790734272E-12</v>
      </c>
      <c r="EN140" s="62">
        <f t="shared" si="128"/>
        <v>281.39861679675391</v>
      </c>
      <c r="EO140" s="62">
        <f ca="1">AVERAGE(OFFSET($EN$3,0,0,'Données projet'!$E$15+1,1))-AVERAGE(OFFSET($H$3,0,0,'Données projet'!$E$15+1,1))</f>
        <v>452.74627739105745</v>
      </c>
      <c r="EP140" s="62">
        <f t="shared" si="154"/>
        <v>281.80695725575106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1.1368683772161603E-13</v>
      </c>
      <c r="FF140" s="18">
        <f>FE140*VLOOKUP('Données projet'!$B$16,Paramètres!$A$1:$I$89,3,0)*VLOOKUP('Données projet'!$B$16,Paramètres!$A$1:$I$89,5,0)</f>
        <v>1.223725121235475E-13</v>
      </c>
      <c r="FG140" s="14">
        <f t="shared" si="155"/>
        <v>1.7956824466038182E-12</v>
      </c>
      <c r="FH140" s="22">
        <f t="shared" si="130"/>
        <v>3.3406123864501612E-12</v>
      </c>
      <c r="FI140" s="62">
        <f t="shared" si="131"/>
        <v>281.39861679675425</v>
      </c>
      <c r="FJ140" s="62">
        <f ca="1">AVERAGE(OFFSET($FI$3,0,0,'Données projet'!$E$16+1,1))-AVERAGE(OFFSET($H$3,0,0,'Données projet'!$E$16+1,1))</f>
        <v>492.72391755143508</v>
      </c>
      <c r="FK140" s="62">
        <f t="shared" si="156"/>
        <v>304.88554179994355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66.745077308204785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143.77000000000001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-5.6843418860808015E-14</v>
      </c>
      <c r="O141" s="14">
        <f>N141*VLOOKUP('Données projet'!$B$9,Paramètres!$A$1:$I$89,3,0)*VLOOKUP('Données projet'!$B$9,Paramètres!$A$1:$I$89,5,0)</f>
        <v>-5.1431925385259088E-14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388.8309693898596</v>
      </c>
      <c r="T141" s="62">
        <f t="shared" si="142"/>
        <v>549.06702041234382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1.2467862004494499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1.2467862004494499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6.7984728957526396E-14</v>
      </c>
      <c r="AK141" s="14">
        <f t="shared" si="143"/>
        <v>1.0682447123141398E-12</v>
      </c>
      <c r="AL141" s="22">
        <f t="shared" si="112"/>
        <v>1.978932943548152E-12</v>
      </c>
      <c r="AM141" s="62">
        <f t="shared" si="113"/>
        <v>281.60565744663359</v>
      </c>
      <c r="AN141" s="62">
        <f ca="1">AVERAGE(OFFSET($AM$3,0,0,'Données projet'!$E$10+1,1))-AVERAGE(OFFSET($H$3,0,0,'Données projet'!$E$10+1,1))</f>
        <v>197.85998851681552</v>
      </c>
      <c r="AO141" s="62">
        <f t="shared" si="144"/>
        <v>474.54844785896239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6.2805968419239733</v>
      </c>
      <c r="AV141" s="23">
        <f>EXP(-LN(2)/25)*AV140+(1-EXP(-LN(2)/25))/(LN(2)/25)*Calculateur!AQ141*Calculateur!AS141*VLOOKUP('Données projet'!$B$10,Paramètres!$A$1:$I$89,3,0)*0.475*44/12</f>
        <v>2.2003794766040552</v>
      </c>
      <c r="AW141" s="23">
        <f>EXP(-LN(2)/2)*AW140+(1-EXP(-LN(2)/2))/(LN(2)/2)*AQ141*AT141*VLOOKUP('Données projet'!$B$10,Paramètres!$A$1:$I$89,3,0)*0.475*44/12</f>
        <v>2.4184756862116014E-15</v>
      </c>
      <c r="AX141" s="23">
        <f t="shared" si="114"/>
        <v>8.4809763185280307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1.1368683772161603E-13</v>
      </c>
      <c r="BE141" s="14">
        <f>BD141*VLOOKUP('Données projet'!$B$11,Paramètres!$A$1:$I$89,3,0)*VLOOKUP('Données projet'!$B$11,Paramètres!$A$1:$I$89,5,0)</f>
        <v>6.7984728957526396E-14</v>
      </c>
      <c r="BF141" s="14">
        <f t="shared" si="145"/>
        <v>1.0682447123141398E-12</v>
      </c>
      <c r="BG141" s="22">
        <f t="shared" si="115"/>
        <v>1.978932943548152E-12</v>
      </c>
      <c r="BH141" s="62">
        <f t="shared" si="116"/>
        <v>281.60565744663359</v>
      </c>
      <c r="BI141" s="62">
        <f ca="1">AVERAGE(OFFSET($BH$3,0,0,'Données projet'!$E$11+1,1))-AVERAGE(OFFSET($H$3,0,0,'Données projet'!$E$11+1,1))</f>
        <v>197.85998851681552</v>
      </c>
      <c r="BJ141" s="62">
        <f t="shared" si="146"/>
        <v>474.54844785896239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6.2805968419239733</v>
      </c>
      <c r="BQ141" s="23">
        <f>EXP(-LN(2)/25)*BQ140+(1-EXP(-LN(2)/25))/(LN(2)/25)*Calculateur!BL141*Calculateur!BN141*VLOOKUP('Données projet'!$B$11,Paramètres!$A$1:$I$89,3,0)*0.475*44/12</f>
        <v>2.2003794766040552</v>
      </c>
      <c r="BR141" s="23">
        <f>EXP(-LN(2)/2)*BR140+(1-EXP(-LN(2)/2))/(LN(2)/2)*BL141*BO141*VLOOKUP('Données projet'!$B$11,Paramètres!$A$1:$I$89,3,0)*0.475*44/12</f>
        <v>2.4184756862116014E-15</v>
      </c>
      <c r="BS141" s="24">
        <f t="shared" si="117"/>
        <v>8.4809763185280307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>
        <f>BY141*VLOOKUP('Données projet'!$B$12,Paramètres!$A$1:$I$89,3,0)*VLOOKUP('Données projet'!$B$12,Paramètres!$A$1:$I$89,5,0)</f>
        <v>0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72.97248599808384</v>
      </c>
      <c r="CE141" s="62">
        <f t="shared" si="148"/>
        <v>346.88163654003574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6.8458001497826801</v>
      </c>
      <c r="CL141" s="23">
        <f>EXP(-LN(2)/25)*CL140+(1-EXP(-LN(2)/25))/(LN(2)/25)*Calculateur!CG141*Calculateur!CI141*VLOOKUP('Données projet'!$B$12,Paramètres!$A$1:$I$89,3,0)*0.475*44/12</f>
        <v>0.65368630647125681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7.499486456253937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>
        <f>CT141*VLOOKUP('Données projet'!$B$13,Paramètres!$A$1:$I$89,3,0)*VLOOKUP('Données projet'!$B$13,Paramètres!$A$1:$I$89,5,0)</f>
        <v>0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67.303283896086128</v>
      </c>
      <c r="CZ141" s="62">
        <f t="shared" si="150"/>
        <v>318.97925671653547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6.2165204702761994</v>
      </c>
      <c r="DG141" s="23">
        <f>EXP(-LN(2)/25)*DG140+(1-EXP(-LN(2)/25))/(LN(2)/25)*Calculateur!DB141*Calculateur!DD141*VLOOKUP('Données projet'!$B$13,Paramètres!$A$1:$I$89,3,0)*0.475*44/12</f>
        <v>0.59359815016609829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6.8101186204422977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>
        <f>DO141*VLOOKUP('Données projet'!$B$14,Paramètres!$A$1:$I$89,3,0)*VLOOKUP('Données projet'!$B$14,Paramètres!$A$1:$I$89,5,0)</f>
        <v>0</v>
      </c>
      <c r="DQ141" s="14" t="e">
        <f t="shared" si="151"/>
        <v>#NUM!</v>
      </c>
      <c r="DR141" s="22" t="e">
        <f t="shared" si="124"/>
        <v>#NUM!</v>
      </c>
      <c r="DS141" s="62" t="e">
        <f t="shared" si="125"/>
        <v>#NUM!</v>
      </c>
      <c r="DT141" s="62">
        <f ca="1">AVERAGE(OFFSET($DS$3,0,0,'Données projet'!$E$14+1,1))-AVERAGE(OFFSET($H$3,0,0,'Données projet'!$E$14+1,1))</f>
        <v>75.244137291704476</v>
      </c>
      <c r="DU141" s="62">
        <f t="shared" si="152"/>
        <v>366.065475656937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7.2791883588091801</v>
      </c>
      <c r="EB141" s="23">
        <f>EXP(-LN(2)/25)*EB140+(1-EXP(-LN(2)/25))/(LN(2)/25)*Calculateur!DW141*Calculateur!DY141*VLOOKUP('Données projet'!$B$14,Paramètres!$A$1:$I$89,3,0)*0.475*44/12</f>
        <v>0.69506933422962902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7.9742576930388092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1.1368683772161603E-13</v>
      </c>
      <c r="EK141" s="18">
        <f>EJ141*VLOOKUP('Données projet'!$B$15,Paramètres!$A$1:$I$89,3,0)*VLOOKUP('Données projet'!$B$15,Paramètres!$A$1:$I$89,5,0)</f>
        <v>1.0995790944434703E-13</v>
      </c>
      <c r="EL141" s="14">
        <f t="shared" si="153"/>
        <v>1.6337280948049956E-12</v>
      </c>
      <c r="EM141" s="22">
        <f t="shared" si="127"/>
        <v>3.036919790734272E-12</v>
      </c>
      <c r="EN141" s="62">
        <f t="shared" si="128"/>
        <v>281.60565744663461</v>
      </c>
      <c r="EO141" s="62">
        <f ca="1">AVERAGE(OFFSET($EN$3,0,0,'Données projet'!$E$15+1,1))-AVERAGE(OFFSET($H$3,0,0,'Données projet'!$E$15+1,1))</f>
        <v>452.74627739105745</v>
      </c>
      <c r="EP141" s="62">
        <f t="shared" si="154"/>
        <v>281.80695725575106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1.1368683772161603E-13</v>
      </c>
      <c r="FF141" s="18">
        <f>FE141*VLOOKUP('Données projet'!$B$16,Paramètres!$A$1:$I$89,3,0)*VLOOKUP('Données projet'!$B$16,Paramètres!$A$1:$I$89,5,0)</f>
        <v>1.223725121235475E-13</v>
      </c>
      <c r="FG141" s="14">
        <f t="shared" si="155"/>
        <v>1.7956824466038182E-12</v>
      </c>
      <c r="FH141" s="22">
        <f t="shared" si="130"/>
        <v>3.3406123864501612E-12</v>
      </c>
      <c r="FI141" s="62">
        <f t="shared" si="131"/>
        <v>281.60565744663495</v>
      </c>
      <c r="FJ141" s="62">
        <f ca="1">AVERAGE(OFFSET($FI$3,0,0,'Données projet'!$E$16+1,1))-AVERAGE(OFFSET($H$3,0,0,'Données projet'!$E$16+1,1))</f>
        <v>492.72391755143508</v>
      </c>
      <c r="FK141" s="62">
        <f t="shared" si="156"/>
        <v>304.88554179994355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66.801542939990441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143.77000000000001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-5.6843418860808015E-14</v>
      </c>
      <c r="O142" s="14">
        <f>N142*VLOOKUP('Données projet'!$B$9,Paramètres!$A$1:$I$89,3,0)*VLOOKUP('Données projet'!$B$9,Paramètres!$A$1:$I$89,5,0)</f>
        <v>-5.1431925385259088E-14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388.8309693898596</v>
      </c>
      <c r="T142" s="62">
        <f t="shared" si="142"/>
        <v>549.06702041234382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1.2223374835231289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1.2223374835231289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6.7984728957526396E-14</v>
      </c>
      <c r="AK142" s="14">
        <f t="shared" si="143"/>
        <v>1.0682447123141398E-12</v>
      </c>
      <c r="AL142" s="22">
        <f t="shared" si="112"/>
        <v>1.978932943548152E-12</v>
      </c>
      <c r="AM142" s="62">
        <f t="shared" si="113"/>
        <v>281.80910640411258</v>
      </c>
      <c r="AN142" s="62">
        <f ca="1">AVERAGE(OFFSET($AM$3,0,0,'Données projet'!$E$10+1,1))-AVERAGE(OFFSET($H$3,0,0,'Données projet'!$E$10+1,1))</f>
        <v>197.85998851681552</v>
      </c>
      <c r="AO142" s="62">
        <f t="shared" si="144"/>
        <v>474.54844785896239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6.1574381686396586</v>
      </c>
      <c r="AV142" s="23">
        <f>EXP(-LN(2)/25)*AV141+(1-EXP(-LN(2)/25))/(LN(2)/25)*Calculateur!AQ142*Calculateur!AS142*VLOOKUP('Données projet'!$B$10,Paramètres!$A$1:$I$89,3,0)*0.475*44/12</f>
        <v>2.1402099841033895</v>
      </c>
      <c r="AW142" s="23">
        <f>EXP(-LN(2)/2)*AW141+(1-EXP(-LN(2)/2))/(LN(2)/2)*AQ142*AT142*VLOOKUP('Données projet'!$B$10,Paramètres!$A$1:$I$89,3,0)*0.475*44/12</f>
        <v>1.7101205578550122E-15</v>
      </c>
      <c r="AX142" s="23">
        <f t="shared" si="114"/>
        <v>8.297648152743049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1.1368683772161603E-13</v>
      </c>
      <c r="BE142" s="14">
        <f>BD142*VLOOKUP('Données projet'!$B$11,Paramètres!$A$1:$I$89,3,0)*VLOOKUP('Données projet'!$B$11,Paramètres!$A$1:$I$89,5,0)</f>
        <v>6.7984728957526396E-14</v>
      </c>
      <c r="BF142" s="14">
        <f t="shared" si="145"/>
        <v>1.0682447123141398E-12</v>
      </c>
      <c r="BG142" s="22">
        <f t="shared" si="115"/>
        <v>1.978932943548152E-12</v>
      </c>
      <c r="BH142" s="62">
        <f t="shared" si="116"/>
        <v>281.80910640411258</v>
      </c>
      <c r="BI142" s="62">
        <f ca="1">AVERAGE(OFFSET($BH$3,0,0,'Données projet'!$E$11+1,1))-AVERAGE(OFFSET($H$3,0,0,'Données projet'!$E$11+1,1))</f>
        <v>197.85998851681552</v>
      </c>
      <c r="BJ142" s="62">
        <f t="shared" si="146"/>
        <v>474.54844785896239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6.1574381686396586</v>
      </c>
      <c r="BQ142" s="23">
        <f>EXP(-LN(2)/25)*BQ141+(1-EXP(-LN(2)/25))/(LN(2)/25)*Calculateur!BL142*Calculateur!BN142*VLOOKUP('Données projet'!$B$11,Paramètres!$A$1:$I$89,3,0)*0.475*44/12</f>
        <v>2.1402099841033895</v>
      </c>
      <c r="BR142" s="23">
        <f>EXP(-LN(2)/2)*BR141+(1-EXP(-LN(2)/2))/(LN(2)/2)*BL142*BO142*VLOOKUP('Données projet'!$B$11,Paramètres!$A$1:$I$89,3,0)*0.475*44/12</f>
        <v>1.7101205578550122E-15</v>
      </c>
      <c r="BS142" s="24">
        <f t="shared" si="117"/>
        <v>8.297648152743049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>
        <f>BY142*VLOOKUP('Données projet'!$B$12,Paramètres!$A$1:$I$89,3,0)*VLOOKUP('Données projet'!$B$12,Paramètres!$A$1:$I$89,5,0)</f>
        <v>0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72.97248599808384</v>
      </c>
      <c r="CE142" s="62">
        <f t="shared" si="148"/>
        <v>346.88163654003574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6.711558184371234</v>
      </c>
      <c r="CL142" s="23">
        <f>EXP(-LN(2)/25)*CL141+(1-EXP(-LN(2)/25))/(LN(2)/25)*Calculateur!CG142*Calculateur!CI142*VLOOKUP('Données projet'!$B$12,Paramètres!$A$1:$I$89,3,0)*0.475*44/12</f>
        <v>0.6358112200449314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7.347369404416165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>
        <f>CT142*VLOOKUP('Données projet'!$B$13,Paramètres!$A$1:$I$89,3,0)*VLOOKUP('Données projet'!$B$13,Paramètres!$A$1:$I$89,5,0)</f>
        <v>0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67.303283896086128</v>
      </c>
      <c r="CZ142" s="62">
        <f t="shared" si="150"/>
        <v>318.97925671653547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6.0946182955571704</v>
      </c>
      <c r="DG142" s="23">
        <f>EXP(-LN(2)/25)*DG141+(1-EXP(-LN(2)/25))/(LN(2)/25)*Calculateur!DB142*Calculateur!DD142*VLOOKUP('Données projet'!$B$13,Paramètres!$A$1:$I$89,3,0)*0.475*44/12</f>
        <v>0.57736617753383634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6.6719844730910065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>
        <f>DO142*VLOOKUP('Données projet'!$B$14,Paramètres!$A$1:$I$89,3,0)*VLOOKUP('Données projet'!$B$14,Paramètres!$A$1:$I$89,5,0)</f>
        <v>0</v>
      </c>
      <c r="DQ142" s="14" t="e">
        <f t="shared" si="151"/>
        <v>#NUM!</v>
      </c>
      <c r="DR142" s="22" t="e">
        <f t="shared" si="124"/>
        <v>#NUM!</v>
      </c>
      <c r="DS142" s="62" t="e">
        <f t="shared" si="125"/>
        <v>#NUM!</v>
      </c>
      <c r="DT142" s="62">
        <f ca="1">AVERAGE(OFFSET($DS$3,0,0,'Données projet'!$E$14+1,1))-AVERAGE(OFFSET($H$3,0,0,'Données projet'!$E$14+1,1))</f>
        <v>75.244137291704476</v>
      </c>
      <c r="DU142" s="62">
        <f t="shared" si="152"/>
        <v>366.065475656937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7.1364479149594304</v>
      </c>
      <c r="EB142" s="23">
        <f>EXP(-LN(2)/25)*EB141+(1-EXP(-LN(2)/25))/(LN(2)/25)*Calculateur!DW142*Calculateur!DY142*VLOOKUP('Données projet'!$B$14,Paramètres!$A$1:$I$89,3,0)*0.475*44/12</f>
        <v>0.6760626267330121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7.8125105416924425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1.1368683772161603E-13</v>
      </c>
      <c r="EK142" s="18">
        <f>EJ142*VLOOKUP('Données projet'!$B$15,Paramètres!$A$1:$I$89,3,0)*VLOOKUP('Données projet'!$B$15,Paramètres!$A$1:$I$89,5,0)</f>
        <v>1.0995790944434703E-13</v>
      </c>
      <c r="EL142" s="14">
        <f t="shared" si="153"/>
        <v>1.6337280948049956E-12</v>
      </c>
      <c r="EM142" s="22">
        <f t="shared" si="127"/>
        <v>3.036919790734272E-12</v>
      </c>
      <c r="EN142" s="62">
        <f t="shared" si="128"/>
        <v>281.80910640411361</v>
      </c>
      <c r="EO142" s="62">
        <f ca="1">AVERAGE(OFFSET($EN$3,0,0,'Données projet'!$E$15+1,1))-AVERAGE(OFFSET($H$3,0,0,'Données projet'!$E$15+1,1))</f>
        <v>452.74627739105745</v>
      </c>
      <c r="EP142" s="62">
        <f t="shared" si="154"/>
        <v>281.80695725575106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1.1368683772161603E-13</v>
      </c>
      <c r="FF142" s="18">
        <f>FE142*VLOOKUP('Données projet'!$B$16,Paramètres!$A$1:$I$89,3,0)*VLOOKUP('Données projet'!$B$16,Paramètres!$A$1:$I$89,5,0)</f>
        <v>1.223725121235475E-13</v>
      </c>
      <c r="FG142" s="14">
        <f t="shared" si="155"/>
        <v>1.7956824466038182E-12</v>
      </c>
      <c r="FH142" s="22">
        <f t="shared" si="130"/>
        <v>3.3406123864501612E-12</v>
      </c>
      <c r="FI142" s="62">
        <f t="shared" si="131"/>
        <v>281.80910640411395</v>
      </c>
      <c r="FJ142" s="62">
        <f ca="1">AVERAGE(OFFSET($FI$3,0,0,'Données projet'!$E$16+1,1))-AVERAGE(OFFSET($H$3,0,0,'Données projet'!$E$16+1,1))</f>
        <v>492.72391755143508</v>
      </c>
      <c r="FK142" s="62">
        <f t="shared" si="156"/>
        <v>304.88554179994355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66.857029019302885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143.77000000000001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-5.6843418860808015E-14</v>
      </c>
      <c r="O143" s="14">
        <f>N143*VLOOKUP('Données projet'!$B$9,Paramètres!$A$1:$I$89,3,0)*VLOOKUP('Données projet'!$B$9,Paramètres!$A$1:$I$89,5,0)</f>
        <v>-5.1431925385259088E-14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388.8309693898596</v>
      </c>
      <c r="T143" s="62">
        <f t="shared" si="142"/>
        <v>549.06702041234382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1.198368191023488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1.198368191023488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6.7984728957526396E-14</v>
      </c>
      <c r="AK143" s="14">
        <f t="shared" si="143"/>
        <v>1.0682447123141398E-12</v>
      </c>
      <c r="AL143" s="22">
        <f t="shared" si="112"/>
        <v>1.978932943548152E-12</v>
      </c>
      <c r="AM143" s="62">
        <f t="shared" si="113"/>
        <v>282.00902597702293</v>
      </c>
      <c r="AN143" s="62">
        <f ca="1">AVERAGE(OFFSET($AM$3,0,0,'Données projet'!$E$10+1,1))-AVERAGE(OFFSET($H$3,0,0,'Données projet'!$E$10+1,1))</f>
        <v>197.85998851681552</v>
      </c>
      <c r="AO143" s="62">
        <f t="shared" si="144"/>
        <v>474.54844785896239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6.0366945618190764</v>
      </c>
      <c r="AV143" s="23">
        <f>EXP(-LN(2)/25)*AV142+(1-EXP(-LN(2)/25))/(LN(2)/25)*Calculateur!AQ143*Calculateur!AS143*VLOOKUP('Données projet'!$B$10,Paramètres!$A$1:$I$89,3,0)*0.475*44/12</f>
        <v>2.0816858295393308</v>
      </c>
      <c r="AW143" s="23">
        <f>EXP(-LN(2)/2)*AW142+(1-EXP(-LN(2)/2))/(LN(2)/2)*AQ143*AT143*VLOOKUP('Données projet'!$B$10,Paramètres!$A$1:$I$89,3,0)*0.475*44/12</f>
        <v>1.2092378431058007E-15</v>
      </c>
      <c r="AX143" s="23">
        <f t="shared" si="114"/>
        <v>8.1183803913584089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1.1368683772161603E-13</v>
      </c>
      <c r="BE143" s="14">
        <f>BD143*VLOOKUP('Données projet'!$B$11,Paramètres!$A$1:$I$89,3,0)*VLOOKUP('Données projet'!$B$11,Paramètres!$A$1:$I$89,5,0)</f>
        <v>6.7984728957526396E-14</v>
      </c>
      <c r="BF143" s="14">
        <f t="shared" si="145"/>
        <v>1.0682447123141398E-12</v>
      </c>
      <c r="BG143" s="22">
        <f t="shared" si="115"/>
        <v>1.978932943548152E-12</v>
      </c>
      <c r="BH143" s="62">
        <f t="shared" si="116"/>
        <v>282.00902597702293</v>
      </c>
      <c r="BI143" s="62">
        <f ca="1">AVERAGE(OFFSET($BH$3,0,0,'Données projet'!$E$11+1,1))-AVERAGE(OFFSET($H$3,0,0,'Données projet'!$E$11+1,1))</f>
        <v>197.85998851681552</v>
      </c>
      <c r="BJ143" s="62">
        <f t="shared" si="146"/>
        <v>474.54844785896239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6.0366945618190764</v>
      </c>
      <c r="BQ143" s="23">
        <f>EXP(-LN(2)/25)*BQ142+(1-EXP(-LN(2)/25))/(LN(2)/25)*Calculateur!BL143*Calculateur!BN143*VLOOKUP('Données projet'!$B$11,Paramètres!$A$1:$I$89,3,0)*0.475*44/12</f>
        <v>2.0816858295393308</v>
      </c>
      <c r="BR143" s="23">
        <f>EXP(-LN(2)/2)*BR142+(1-EXP(-LN(2)/2))/(LN(2)/2)*BL143*BO143*VLOOKUP('Données projet'!$B$11,Paramètres!$A$1:$I$89,3,0)*0.475*44/12</f>
        <v>1.2092378431058007E-15</v>
      </c>
      <c r="BS143" s="24">
        <f t="shared" si="117"/>
        <v>8.1183803913584089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>
        <f>BY143*VLOOKUP('Données projet'!$B$12,Paramètres!$A$1:$I$89,3,0)*VLOOKUP('Données projet'!$B$12,Paramètres!$A$1:$I$89,5,0)</f>
        <v>0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72.97248599808384</v>
      </c>
      <c r="CE143" s="62">
        <f t="shared" si="148"/>
        <v>346.88163654003574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6.5799486220219929</v>
      </c>
      <c r="CL143" s="23">
        <f>EXP(-LN(2)/25)*CL142+(1-EXP(-LN(2)/25))/(LN(2)/25)*Calculateur!CG143*Calculateur!CI143*VLOOKUP('Données projet'!$B$12,Paramètres!$A$1:$I$89,3,0)*0.475*44/12</f>
        <v>0.61842492879694388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7.1983735508189373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>
        <f>CT143*VLOOKUP('Données projet'!$B$13,Paramètres!$A$1:$I$89,3,0)*VLOOKUP('Données projet'!$B$13,Paramètres!$A$1:$I$89,5,0)</f>
        <v>0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67.303283896086128</v>
      </c>
      <c r="CZ143" s="62">
        <f t="shared" si="150"/>
        <v>318.97925671653547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5.9751065481313965</v>
      </c>
      <c r="DG143" s="23">
        <f>EXP(-LN(2)/25)*DG142+(1-EXP(-LN(2)/25))/(LN(2)/25)*Calculateur!DB143*Calculateur!DD143*VLOOKUP('Données projet'!$B$13,Paramètres!$A$1:$I$89,3,0)*0.475*44/12</f>
        <v>0.56157806904680585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6.536684617178202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>
        <f>DO143*VLOOKUP('Données projet'!$B$14,Paramètres!$A$1:$I$89,3,0)*VLOOKUP('Données projet'!$B$14,Paramètres!$A$1:$I$89,5,0)</f>
        <v>0</v>
      </c>
      <c r="DQ143" s="14" t="e">
        <f t="shared" si="151"/>
        <v>#NUM!</v>
      </c>
      <c r="DR143" s="22" t="e">
        <f t="shared" si="124"/>
        <v>#NUM!</v>
      </c>
      <c r="DS143" s="62" t="e">
        <f t="shared" si="125"/>
        <v>#NUM!</v>
      </c>
      <c r="DT143" s="62">
        <f ca="1">AVERAGE(OFFSET($DS$3,0,0,'Données projet'!$E$14+1,1))-AVERAGE(OFFSET($H$3,0,0,'Données projet'!$E$14+1,1))</f>
        <v>75.244137291704476</v>
      </c>
      <c r="DU143" s="62">
        <f t="shared" si="152"/>
        <v>366.065475656937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6.9965065241505009</v>
      </c>
      <c r="EB143" s="23">
        <f>EXP(-LN(2)/25)*EB142+(1-EXP(-LN(2)/25))/(LN(2)/25)*Calculateur!DW143*Calculateur!DY143*VLOOKUP('Données projet'!$B$14,Paramètres!$A$1:$I$89,3,0)*0.475*44/12</f>
        <v>0.65757565865240952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7.6540821828029104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1.1368683772161603E-13</v>
      </c>
      <c r="EK143" s="18">
        <f>EJ143*VLOOKUP('Données projet'!$B$15,Paramètres!$A$1:$I$89,3,0)*VLOOKUP('Données projet'!$B$15,Paramètres!$A$1:$I$89,5,0)</f>
        <v>1.0995790944434703E-13</v>
      </c>
      <c r="EL143" s="14">
        <f t="shared" si="153"/>
        <v>1.6337280948049956E-12</v>
      </c>
      <c r="EM143" s="22">
        <f t="shared" si="127"/>
        <v>3.036919790734272E-12</v>
      </c>
      <c r="EN143" s="62">
        <f t="shared" si="128"/>
        <v>282.00902597702395</v>
      </c>
      <c r="EO143" s="62">
        <f ca="1">AVERAGE(OFFSET($EN$3,0,0,'Données projet'!$E$15+1,1))-AVERAGE(OFFSET($H$3,0,0,'Données projet'!$E$15+1,1))</f>
        <v>452.74627739105745</v>
      </c>
      <c r="EP143" s="62">
        <f t="shared" si="154"/>
        <v>281.80695725575106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1.1368683772161603E-13</v>
      </c>
      <c r="FF143" s="18">
        <f>FE143*VLOOKUP('Données projet'!$B$16,Paramètres!$A$1:$I$89,3,0)*VLOOKUP('Données projet'!$B$16,Paramètres!$A$1:$I$89,5,0)</f>
        <v>1.223725121235475E-13</v>
      </c>
      <c r="FG143" s="14">
        <f t="shared" si="155"/>
        <v>1.7956824466038182E-12</v>
      </c>
      <c r="FH143" s="22">
        <f t="shared" si="130"/>
        <v>3.3406123864501612E-12</v>
      </c>
      <c r="FI143" s="62">
        <f t="shared" si="131"/>
        <v>282.00902597702429</v>
      </c>
      <c r="FJ143" s="62">
        <f ca="1">AVERAGE(OFFSET($FI$3,0,0,'Données projet'!$E$16+1,1))-AVERAGE(OFFSET($H$3,0,0,'Données projet'!$E$16+1,1))</f>
        <v>492.72391755143508</v>
      </c>
      <c r="FK143" s="62">
        <f t="shared" si="156"/>
        <v>304.88554179994355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66.911552539187539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143.77000000000001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-5.6843418860808015E-14</v>
      </c>
      <c r="O144" s="14">
        <f>N144*VLOOKUP('Données projet'!$B$9,Paramètres!$A$1:$I$89,3,0)*VLOOKUP('Données projet'!$B$9,Paramètres!$A$1:$I$89,5,0)</f>
        <v>-5.1431925385259088E-14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388.8309693898596</v>
      </c>
      <c r="T144" s="62">
        <f t="shared" si="142"/>
        <v>549.06702041234382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1.1748689217299404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1.1748689217299404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6.7984728957526396E-14</v>
      </c>
      <c r="AK144" s="14">
        <f t="shared" si="143"/>
        <v>1.0682447123141398E-12</v>
      </c>
      <c r="AL144" s="22">
        <f t="shared" si="112"/>
        <v>1.978932943548152E-12</v>
      </c>
      <c r="AM144" s="62">
        <f t="shared" si="113"/>
        <v>282.20547739229653</v>
      </c>
      <c r="AN144" s="62">
        <f ca="1">AVERAGE(OFFSET($AM$3,0,0,'Données projet'!$E$10+1,1))-AVERAGE(OFFSET($H$3,0,0,'Données projet'!$E$10+1,1))</f>
        <v>197.85998851681552</v>
      </c>
      <c r="AO144" s="62">
        <f t="shared" si="144"/>
        <v>474.54844785896239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5.9183186634819176</v>
      </c>
      <c r="AV144" s="23">
        <f>EXP(-LN(2)/25)*AV143+(1-EXP(-LN(2)/25))/(LN(2)/25)*Calculateur!AQ144*Calculateur!AS144*VLOOKUP('Données projet'!$B$10,Paramètres!$A$1:$I$89,3,0)*0.475*44/12</f>
        <v>2.0247620210594777</v>
      </c>
      <c r="AW144" s="23">
        <f>EXP(-LN(2)/2)*AW143+(1-EXP(-LN(2)/2))/(LN(2)/2)*AQ144*AT144*VLOOKUP('Données projet'!$B$10,Paramètres!$A$1:$I$89,3,0)*0.475*44/12</f>
        <v>8.5506027892750611E-16</v>
      </c>
      <c r="AX144" s="23">
        <f t="shared" si="114"/>
        <v>7.9430806845413962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1.1368683772161603E-13</v>
      </c>
      <c r="BE144" s="14">
        <f>BD144*VLOOKUP('Données projet'!$B$11,Paramètres!$A$1:$I$89,3,0)*VLOOKUP('Données projet'!$B$11,Paramètres!$A$1:$I$89,5,0)</f>
        <v>6.7984728957526396E-14</v>
      </c>
      <c r="BF144" s="14">
        <f t="shared" si="145"/>
        <v>1.0682447123141398E-12</v>
      </c>
      <c r="BG144" s="22">
        <f t="shared" si="115"/>
        <v>1.978932943548152E-12</v>
      </c>
      <c r="BH144" s="62">
        <f t="shared" si="116"/>
        <v>282.20547739229653</v>
      </c>
      <c r="BI144" s="62">
        <f ca="1">AVERAGE(OFFSET($BH$3,0,0,'Données projet'!$E$11+1,1))-AVERAGE(OFFSET($H$3,0,0,'Données projet'!$E$11+1,1))</f>
        <v>197.85998851681552</v>
      </c>
      <c r="BJ144" s="62">
        <f t="shared" si="146"/>
        <v>474.54844785896239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5.9183186634819176</v>
      </c>
      <c r="BQ144" s="23">
        <f>EXP(-LN(2)/25)*BQ143+(1-EXP(-LN(2)/25))/(LN(2)/25)*Calculateur!BL144*Calculateur!BN144*VLOOKUP('Données projet'!$B$11,Paramètres!$A$1:$I$89,3,0)*0.475*44/12</f>
        <v>2.0247620210594777</v>
      </c>
      <c r="BR144" s="23">
        <f>EXP(-LN(2)/2)*BR143+(1-EXP(-LN(2)/2))/(LN(2)/2)*BL144*BO144*VLOOKUP('Données projet'!$B$11,Paramètres!$A$1:$I$89,3,0)*0.475*44/12</f>
        <v>8.5506027892750611E-16</v>
      </c>
      <c r="BS144" s="24">
        <f t="shared" si="117"/>
        <v>7.9430806845413962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>
        <f>BY144*VLOOKUP('Données projet'!$B$12,Paramètres!$A$1:$I$89,3,0)*VLOOKUP('Données projet'!$B$12,Paramètres!$A$1:$I$89,5,0)</f>
        <v>0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72.97248599808384</v>
      </c>
      <c r="CE144" s="62">
        <f t="shared" si="148"/>
        <v>346.88163654003574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6.4509198429165133</v>
      </c>
      <c r="CL144" s="23">
        <f>EXP(-LN(2)/25)*CL143+(1-EXP(-LN(2)/25))/(LN(2)/25)*Calculateur!CG144*Calculateur!CI144*VLOOKUP('Données projet'!$B$12,Paramètres!$A$1:$I$89,3,0)*0.475*44/12</f>
        <v>0.60151406659743789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7.052433909513951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>
        <f>CT144*VLOOKUP('Données projet'!$B$13,Paramètres!$A$1:$I$89,3,0)*VLOOKUP('Données projet'!$B$13,Paramètres!$A$1:$I$89,5,0)</f>
        <v>0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67.303283896086128</v>
      </c>
      <c r="CZ144" s="62">
        <f t="shared" si="150"/>
        <v>318.97925671653547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5.8579383531776745</v>
      </c>
      <c r="DG144" s="23">
        <f>EXP(-LN(2)/25)*DG143+(1-EXP(-LN(2)/25))/(LN(2)/25)*Calculateur!DB144*Calculateur!DD144*VLOOKUP('Données projet'!$B$13,Paramètres!$A$1:$I$89,3,0)*0.475*44/12</f>
        <v>0.54622168721661379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6.404160040394288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>
        <f>DO144*VLOOKUP('Données projet'!$B$14,Paramètres!$A$1:$I$89,3,0)*VLOOKUP('Données projet'!$B$14,Paramètres!$A$1:$I$89,5,0)</f>
        <v>0</v>
      </c>
      <c r="DQ144" s="14" t="e">
        <f t="shared" si="151"/>
        <v>#NUM!</v>
      </c>
      <c r="DR144" s="22" t="e">
        <f t="shared" si="124"/>
        <v>#NUM!</v>
      </c>
      <c r="DS144" s="62" t="e">
        <f t="shared" si="125"/>
        <v>#NUM!</v>
      </c>
      <c r="DT144" s="62">
        <f ca="1">AVERAGE(OFFSET($DS$3,0,0,'Données projet'!$E$14+1,1))-AVERAGE(OFFSET($H$3,0,0,'Données projet'!$E$14+1,1))</f>
        <v>75.244137291704476</v>
      </c>
      <c r="DU144" s="62">
        <f t="shared" si="152"/>
        <v>366.065475656937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6.8593092986595137</v>
      </c>
      <c r="EB144" s="23">
        <f>EXP(-LN(2)/25)*EB143+(1-EXP(-LN(2)/25))/(LN(2)/25)*Calculateur!DW144*Calculateur!DY144*VLOOKUP('Données projet'!$B$14,Paramètres!$A$1:$I$89,3,0)*0.475*44/12</f>
        <v>0.63959421768615843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7.4989035163456723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1.1368683772161603E-13</v>
      </c>
      <c r="EK144" s="18">
        <f>EJ144*VLOOKUP('Données projet'!$B$15,Paramètres!$A$1:$I$89,3,0)*VLOOKUP('Données projet'!$B$15,Paramètres!$A$1:$I$89,5,0)</f>
        <v>1.0995790944434703E-13</v>
      </c>
      <c r="EL144" s="14">
        <f t="shared" si="153"/>
        <v>1.6337280948049956E-12</v>
      </c>
      <c r="EM144" s="22">
        <f t="shared" si="127"/>
        <v>3.036919790734272E-12</v>
      </c>
      <c r="EN144" s="62">
        <f t="shared" si="128"/>
        <v>282.20547739229755</v>
      </c>
      <c r="EO144" s="62">
        <f ca="1">AVERAGE(OFFSET($EN$3,0,0,'Données projet'!$E$15+1,1))-AVERAGE(OFFSET($H$3,0,0,'Données projet'!$E$15+1,1))</f>
        <v>452.74627739105745</v>
      </c>
      <c r="EP144" s="62">
        <f t="shared" si="154"/>
        <v>281.80695725575106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1.1368683772161603E-13</v>
      </c>
      <c r="FF144" s="18">
        <f>FE144*VLOOKUP('Données projet'!$B$16,Paramètres!$A$1:$I$89,3,0)*VLOOKUP('Données projet'!$B$16,Paramètres!$A$1:$I$89,5,0)</f>
        <v>1.223725121235475E-13</v>
      </c>
      <c r="FG144" s="14">
        <f t="shared" si="155"/>
        <v>1.7956824466038182E-12</v>
      </c>
      <c r="FH144" s="22">
        <f t="shared" si="130"/>
        <v>3.3406123864501612E-12</v>
      </c>
      <c r="FI144" s="62">
        <f t="shared" si="131"/>
        <v>282.20547739229789</v>
      </c>
      <c r="FJ144" s="62">
        <f ca="1">AVERAGE(OFFSET($FI$3,0,0,'Données projet'!$E$16+1,1))-AVERAGE(OFFSET($H$3,0,0,'Données projet'!$E$16+1,1))</f>
        <v>492.72391755143508</v>
      </c>
      <c r="FK144" s="62">
        <f t="shared" si="156"/>
        <v>304.88554179994355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66.965130197898503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143.77000000000001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-5.6843418860808015E-14</v>
      </c>
      <c r="O145" s="14">
        <f>N145*VLOOKUP('Données projet'!$B$9,Paramètres!$A$1:$I$89,3,0)*VLOOKUP('Données projet'!$B$9,Paramètres!$A$1:$I$89,5,0)</f>
        <v>-5.1431925385259088E-14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388.8309693898596</v>
      </c>
      <c r="T145" s="62">
        <f t="shared" si="142"/>
        <v>549.06702041234382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1.1518304587741002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1.1518304587741002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6.7984728957526396E-14</v>
      </c>
      <c r="AK145" s="14">
        <f t="shared" si="143"/>
        <v>1.0682447123141398E-12</v>
      </c>
      <c r="AL145" s="22">
        <f t="shared" si="112"/>
        <v>1.978932943548152E-12</v>
      </c>
      <c r="AM145" s="62">
        <f t="shared" si="113"/>
        <v>282.39852081471463</v>
      </c>
      <c r="AN145" s="62">
        <f ca="1">AVERAGE(OFFSET($AM$3,0,0,'Données projet'!$E$10+1,1))-AVERAGE(OFFSET($H$3,0,0,'Données projet'!$E$10+1,1))</f>
        <v>197.85998851681552</v>
      </c>
      <c r="AO145" s="62">
        <f t="shared" si="144"/>
        <v>474.54844785896239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5.8022640443089823</v>
      </c>
      <c r="AV145" s="23">
        <f>EXP(-LN(2)/25)*AV144+(1-EXP(-LN(2)/25))/(LN(2)/25)*Calculateur!AQ145*Calculateur!AS145*VLOOKUP('Données projet'!$B$10,Paramètres!$A$1:$I$89,3,0)*0.475*44/12</f>
        <v>1.9693947971159993</v>
      </c>
      <c r="AW145" s="23">
        <f>EXP(-LN(2)/2)*AW144+(1-EXP(-LN(2)/2))/(LN(2)/2)*AQ145*AT145*VLOOKUP('Données projet'!$B$10,Paramètres!$A$1:$I$89,3,0)*0.475*44/12</f>
        <v>6.0461892155290035E-16</v>
      </c>
      <c r="AX145" s="23">
        <f t="shared" si="114"/>
        <v>7.7716588414249825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1.1368683772161603E-13</v>
      </c>
      <c r="BE145" s="14">
        <f>BD145*VLOOKUP('Données projet'!$B$11,Paramètres!$A$1:$I$89,3,0)*VLOOKUP('Données projet'!$B$11,Paramètres!$A$1:$I$89,5,0)</f>
        <v>6.7984728957526396E-14</v>
      </c>
      <c r="BF145" s="14">
        <f t="shared" si="145"/>
        <v>1.0682447123141398E-12</v>
      </c>
      <c r="BG145" s="22">
        <f t="shared" si="115"/>
        <v>1.978932943548152E-12</v>
      </c>
      <c r="BH145" s="62">
        <f t="shared" si="116"/>
        <v>282.39852081471463</v>
      </c>
      <c r="BI145" s="62">
        <f ca="1">AVERAGE(OFFSET($BH$3,0,0,'Données projet'!$E$11+1,1))-AVERAGE(OFFSET($H$3,0,0,'Données projet'!$E$11+1,1))</f>
        <v>197.85998851681552</v>
      </c>
      <c r="BJ145" s="62">
        <f t="shared" si="146"/>
        <v>474.54844785896239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5.8022640443089823</v>
      </c>
      <c r="BQ145" s="23">
        <f>EXP(-LN(2)/25)*BQ144+(1-EXP(-LN(2)/25))/(LN(2)/25)*Calculateur!BL145*Calculateur!BN145*VLOOKUP('Données projet'!$B$11,Paramètres!$A$1:$I$89,3,0)*0.475*44/12</f>
        <v>1.9693947971159993</v>
      </c>
      <c r="BR145" s="23">
        <f>EXP(-LN(2)/2)*BR144+(1-EXP(-LN(2)/2))/(LN(2)/2)*BL145*BO145*VLOOKUP('Données projet'!$B$11,Paramètres!$A$1:$I$89,3,0)*0.475*44/12</f>
        <v>6.0461892155290035E-16</v>
      </c>
      <c r="BS145" s="24">
        <f t="shared" si="117"/>
        <v>7.7716588414249825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>
        <f>BY145*VLOOKUP('Données projet'!$B$12,Paramètres!$A$1:$I$89,3,0)*VLOOKUP('Données projet'!$B$12,Paramètres!$A$1:$I$89,5,0)</f>
        <v>0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72.97248599808384</v>
      </c>
      <c r="CE145" s="62">
        <f t="shared" si="148"/>
        <v>346.88163654003574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6.3244212394695083</v>
      </c>
      <c r="CL145" s="23">
        <f>EXP(-LN(2)/25)*CL144+(1-EXP(-LN(2)/25))/(LN(2)/25)*Calculateur!CG145*Calculateur!CI145*VLOOKUP('Données projet'!$B$12,Paramètres!$A$1:$I$89,3,0)*0.475*44/12</f>
        <v>0.58506563281408097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6.9094868722835896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>
        <f>CT145*VLOOKUP('Données projet'!$B$13,Paramètres!$A$1:$I$89,3,0)*VLOOKUP('Données projet'!$B$13,Paramètres!$A$1:$I$89,5,0)</f>
        <v>0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67.303283896086128</v>
      </c>
      <c r="CZ145" s="62">
        <f t="shared" si="150"/>
        <v>318.97925671653547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5.7430677550614524</v>
      </c>
      <c r="DG145" s="23">
        <f>EXP(-LN(2)/25)*DG144+(1-EXP(-LN(2)/25))/(LN(2)/25)*Calculateur!DB145*Calculateur!DD145*VLOOKUP('Données projet'!$B$13,Paramètres!$A$1:$I$89,3,0)*0.475*44/12</f>
        <v>0.53128522645512533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6.2743529815165777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>
        <f>DO145*VLOOKUP('Données projet'!$B$14,Paramètres!$A$1:$I$89,3,0)*VLOOKUP('Données projet'!$B$14,Paramètres!$A$1:$I$89,5,0)</f>
        <v>0</v>
      </c>
      <c r="DQ145" s="14" t="e">
        <f t="shared" si="151"/>
        <v>#NUM!</v>
      </c>
      <c r="DR145" s="22" t="e">
        <f t="shared" si="124"/>
        <v>#NUM!</v>
      </c>
      <c r="DS145" s="62" t="e">
        <f t="shared" si="125"/>
        <v>#NUM!</v>
      </c>
      <c r="DT145" s="62">
        <f ca="1">AVERAGE(OFFSET($DS$3,0,0,'Données projet'!$E$14+1,1))-AVERAGE(OFFSET($H$3,0,0,'Données projet'!$E$14+1,1))</f>
        <v>75.244137291704476</v>
      </c>
      <c r="DU145" s="62">
        <f t="shared" si="152"/>
        <v>366.065475656937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6.7248024270783606</v>
      </c>
      <c r="EB145" s="23">
        <f>EXP(-LN(2)/25)*EB144+(1-EXP(-LN(2)/25))/(LN(2)/25)*Calculateur!DW145*Calculateur!DY145*VLOOKUP('Données projet'!$B$14,Paramètres!$A$1:$I$89,3,0)*0.475*44/12</f>
        <v>0.62210448016873232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7.3469069072470932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1.1368683772161603E-13</v>
      </c>
      <c r="EK145" s="18">
        <f>EJ145*VLOOKUP('Données projet'!$B$15,Paramètres!$A$1:$I$89,3,0)*VLOOKUP('Données projet'!$B$15,Paramètres!$A$1:$I$89,5,0)</f>
        <v>1.0995790944434703E-13</v>
      </c>
      <c r="EL145" s="14">
        <f t="shared" si="153"/>
        <v>1.6337280948049956E-12</v>
      </c>
      <c r="EM145" s="22">
        <f t="shared" si="127"/>
        <v>3.036919790734272E-12</v>
      </c>
      <c r="EN145" s="62">
        <f t="shared" si="128"/>
        <v>282.39852081471565</v>
      </c>
      <c r="EO145" s="62">
        <f ca="1">AVERAGE(OFFSET($EN$3,0,0,'Données projet'!$E$15+1,1))-AVERAGE(OFFSET($H$3,0,0,'Données projet'!$E$15+1,1))</f>
        <v>452.74627739105745</v>
      </c>
      <c r="EP145" s="62">
        <f t="shared" si="154"/>
        <v>281.80695725575106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1.1368683772161603E-13</v>
      </c>
      <c r="FF145" s="18">
        <f>FE145*VLOOKUP('Données projet'!$B$16,Paramètres!$A$1:$I$89,3,0)*VLOOKUP('Données projet'!$B$16,Paramètres!$A$1:$I$89,5,0)</f>
        <v>1.223725121235475E-13</v>
      </c>
      <c r="FG145" s="14">
        <f t="shared" si="155"/>
        <v>1.7956824466038182E-12</v>
      </c>
      <c r="FH145" s="22">
        <f t="shared" si="130"/>
        <v>3.3406123864501612E-12</v>
      </c>
      <c r="FI145" s="62">
        <f t="shared" si="131"/>
        <v>282.39852081471599</v>
      </c>
      <c r="FJ145" s="62">
        <f ca="1">AVERAGE(OFFSET($FI$3,0,0,'Données projet'!$E$16+1,1))-AVERAGE(OFFSET($H$3,0,0,'Données projet'!$E$16+1,1))</f>
        <v>492.72391755143508</v>
      </c>
      <c r="FK145" s="62">
        <f t="shared" si="156"/>
        <v>304.88554179994355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67.017778404012546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143.77000000000001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-5.6843418860808015E-14</v>
      </c>
      <c r="O146" s="14">
        <f>N146*VLOOKUP('Données projet'!$B$9,Paramètres!$A$1:$I$89,3,0)*VLOOKUP('Données projet'!$B$9,Paramètres!$A$1:$I$89,5,0)</f>
        <v>-5.1431925385259088E-14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388.8309693898596</v>
      </c>
      <c r="T146" s="62">
        <f t="shared" si="142"/>
        <v>549.06702041234382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1.1292437660247492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1.1292437660247492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6.7984728957526396E-14</v>
      </c>
      <c r="AK146" s="14">
        <f t="shared" si="143"/>
        <v>1.0682447123141398E-12</v>
      </c>
      <c r="AL146" s="22">
        <f t="shared" si="112"/>
        <v>1.978932943548152E-12</v>
      </c>
      <c r="AM146" s="62">
        <f t="shared" si="113"/>
        <v>282.58821536533435</v>
      </c>
      <c r="AN146" s="62">
        <f ca="1">AVERAGE(OFFSET($AM$3,0,0,'Données projet'!$E$10+1,1))-AVERAGE(OFFSET($H$3,0,0,'Données projet'!$E$10+1,1))</f>
        <v>197.85998851681552</v>
      </c>
      <c r="AO146" s="62">
        <f t="shared" si="144"/>
        <v>474.54844785896239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5.6884851854317002</v>
      </c>
      <c r="AV146" s="23">
        <f>EXP(-LN(2)/25)*AV145+(1-EXP(-LN(2)/25))/(LN(2)/25)*Calculateur!AQ146*Calculateur!AS146*VLOOKUP('Données projet'!$B$10,Paramètres!$A$1:$I$89,3,0)*0.475*44/12</f>
        <v>1.9155415928228909</v>
      </c>
      <c r="AW146" s="23">
        <f>EXP(-LN(2)/2)*AW145+(1-EXP(-LN(2)/2))/(LN(2)/2)*AQ146*AT146*VLOOKUP('Données projet'!$B$10,Paramètres!$A$1:$I$89,3,0)*0.475*44/12</f>
        <v>4.2753013946375306E-16</v>
      </c>
      <c r="AX146" s="23">
        <f t="shared" si="114"/>
        <v>7.6040267782545907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1.1368683772161603E-13</v>
      </c>
      <c r="BE146" s="14">
        <f>BD146*VLOOKUP('Données projet'!$B$11,Paramètres!$A$1:$I$89,3,0)*VLOOKUP('Données projet'!$B$11,Paramètres!$A$1:$I$89,5,0)</f>
        <v>6.7984728957526396E-14</v>
      </c>
      <c r="BF146" s="14">
        <f t="shared" si="145"/>
        <v>1.0682447123141398E-12</v>
      </c>
      <c r="BG146" s="22">
        <f t="shared" si="115"/>
        <v>1.978932943548152E-12</v>
      </c>
      <c r="BH146" s="62">
        <f t="shared" si="116"/>
        <v>282.58821536533435</v>
      </c>
      <c r="BI146" s="62">
        <f ca="1">AVERAGE(OFFSET($BH$3,0,0,'Données projet'!$E$11+1,1))-AVERAGE(OFFSET($H$3,0,0,'Données projet'!$E$11+1,1))</f>
        <v>197.85998851681552</v>
      </c>
      <c r="BJ146" s="62">
        <f t="shared" si="146"/>
        <v>474.54844785896239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5.6884851854317002</v>
      </c>
      <c r="BQ146" s="23">
        <f>EXP(-LN(2)/25)*BQ145+(1-EXP(-LN(2)/25))/(LN(2)/25)*Calculateur!BL146*Calculateur!BN146*VLOOKUP('Données projet'!$B$11,Paramètres!$A$1:$I$89,3,0)*0.475*44/12</f>
        <v>1.9155415928228909</v>
      </c>
      <c r="BR146" s="23">
        <f>EXP(-LN(2)/2)*BR145+(1-EXP(-LN(2)/2))/(LN(2)/2)*BL146*BO146*VLOOKUP('Données projet'!$B$11,Paramètres!$A$1:$I$89,3,0)*0.475*44/12</f>
        <v>4.2753013946375306E-16</v>
      </c>
      <c r="BS146" s="24">
        <f t="shared" si="117"/>
        <v>7.6040267782545907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>
        <f>BY146*VLOOKUP('Données projet'!$B$12,Paramètres!$A$1:$I$89,3,0)*VLOOKUP('Données projet'!$B$12,Paramètres!$A$1:$I$89,5,0)</f>
        <v>0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72.97248599808384</v>
      </c>
      <c r="CE146" s="62">
        <f t="shared" si="148"/>
        <v>346.88163654003574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6.2004031964795692</v>
      </c>
      <c r="CL146" s="23">
        <f>EXP(-LN(2)/25)*CL145+(1-EXP(-LN(2)/25))/(LN(2)/25)*Calculateur!CG146*Calculateur!CI146*VLOOKUP('Données projet'!$B$12,Paramètres!$A$1:$I$89,3,0)*0.475*44/12</f>
        <v>0.56906698231751551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6.7694701787970848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>
        <f>CT146*VLOOKUP('Données projet'!$B$13,Paramètres!$A$1:$I$89,3,0)*VLOOKUP('Données projet'!$B$13,Paramètres!$A$1:$I$89,5,0)</f>
        <v>0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67.303283896086128</v>
      </c>
      <c r="CZ146" s="62">
        <f t="shared" si="150"/>
        <v>318.97925671653547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5.6304496993101427</v>
      </c>
      <c r="DG146" s="23">
        <f>EXP(-LN(2)/25)*DG145+(1-EXP(-LN(2)/25))/(LN(2)/25)*Calculateur!DB146*Calculateur!DD146*VLOOKUP('Données projet'!$B$13,Paramètres!$A$1:$I$89,3,0)*0.475*44/12</f>
        <v>0.51675720399863412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6.1472069033087768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>
        <f>DO146*VLOOKUP('Données projet'!$B$14,Paramètres!$A$1:$I$89,3,0)*VLOOKUP('Données projet'!$B$14,Paramètres!$A$1:$I$89,5,0)</f>
        <v>0</v>
      </c>
      <c r="DQ146" s="14" t="e">
        <f t="shared" si="151"/>
        <v>#NUM!</v>
      </c>
      <c r="DR146" s="22" t="e">
        <f t="shared" si="124"/>
        <v>#NUM!</v>
      </c>
      <c r="DS146" s="62" t="e">
        <f t="shared" si="125"/>
        <v>#NUM!</v>
      </c>
      <c r="DT146" s="62">
        <f ca="1">AVERAGE(OFFSET($DS$3,0,0,'Données projet'!$E$14+1,1))-AVERAGE(OFFSET($H$3,0,0,'Données projet'!$E$14+1,1))</f>
        <v>75.244137291704476</v>
      </c>
      <c r="DU146" s="62">
        <f t="shared" si="152"/>
        <v>366.065475656937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6.5929331532078228</v>
      </c>
      <c r="EB146" s="23">
        <f>EXP(-LN(2)/25)*EB145+(1-EXP(-LN(2)/25))/(LN(2)/25)*Calculateur!DW146*Calculateur!DY146*VLOOKUP('Données projet'!$B$14,Paramètres!$A$1:$I$89,3,0)*0.475*44/12</f>
        <v>0.60509300044346559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7.1980261536512886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1.1368683772161603E-13</v>
      </c>
      <c r="EK146" s="18">
        <f>EJ146*VLOOKUP('Données projet'!$B$15,Paramètres!$A$1:$I$89,3,0)*VLOOKUP('Données projet'!$B$15,Paramètres!$A$1:$I$89,5,0)</f>
        <v>1.0995790944434703E-13</v>
      </c>
      <c r="EL146" s="14">
        <f t="shared" si="153"/>
        <v>1.6337280948049956E-12</v>
      </c>
      <c r="EM146" s="22">
        <f t="shared" si="127"/>
        <v>3.036919790734272E-12</v>
      </c>
      <c r="EN146" s="62">
        <f t="shared" si="128"/>
        <v>282.58821536533537</v>
      </c>
      <c r="EO146" s="62">
        <f ca="1">AVERAGE(OFFSET($EN$3,0,0,'Données projet'!$E$15+1,1))-AVERAGE(OFFSET($H$3,0,0,'Données projet'!$E$15+1,1))</f>
        <v>452.74627739105745</v>
      </c>
      <c r="EP146" s="62">
        <f t="shared" si="154"/>
        <v>281.80695725575106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1.1368683772161603E-13</v>
      </c>
      <c r="FF146" s="18">
        <f>FE146*VLOOKUP('Données projet'!$B$16,Paramètres!$A$1:$I$89,3,0)*VLOOKUP('Données projet'!$B$16,Paramètres!$A$1:$I$89,5,0)</f>
        <v>1.223725121235475E-13</v>
      </c>
      <c r="FG146" s="14">
        <f t="shared" si="155"/>
        <v>1.7956824466038182E-12</v>
      </c>
      <c r="FH146" s="22">
        <f t="shared" si="130"/>
        <v>3.3406123864501612E-12</v>
      </c>
      <c r="FI146" s="62">
        <f t="shared" si="131"/>
        <v>282.58821536533571</v>
      </c>
      <c r="FJ146" s="62">
        <f ca="1">AVERAGE(OFFSET($FI$3,0,0,'Données projet'!$E$16+1,1))-AVERAGE(OFFSET($H$3,0,0,'Données projet'!$E$16+1,1))</f>
        <v>492.72391755143508</v>
      </c>
      <c r="FK146" s="62">
        <f t="shared" si="156"/>
        <v>304.88554179994355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67.069513281454277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143.77000000000001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-5.6843418860808015E-14</v>
      </c>
      <c r="O147" s="14">
        <f>N147*VLOOKUP('Données projet'!$B$9,Paramètres!$A$1:$I$89,3,0)*VLOOKUP('Données projet'!$B$9,Paramètres!$A$1:$I$89,5,0)</f>
        <v>-5.1431925385259088E-14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388.8309693898596</v>
      </c>
      <c r="T147" s="62">
        <f t="shared" si="142"/>
        <v>549.06702041234382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1.1070999845436906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1.1070999845436906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6.7984728957526396E-14</v>
      </c>
      <c r="AK147" s="14">
        <f t="shared" si="143"/>
        <v>1.0682447123141398E-12</v>
      </c>
      <c r="AL147" s="22">
        <f t="shared" si="112"/>
        <v>1.978932943548152E-12</v>
      </c>
      <c r="AM147" s="62">
        <f t="shared" si="113"/>
        <v>282.77461913959417</v>
      </c>
      <c r="AN147" s="62">
        <f ca="1">AVERAGE(OFFSET($AM$3,0,0,'Données projet'!$E$10+1,1))-AVERAGE(OFFSET($H$3,0,0,'Données projet'!$E$10+1,1))</f>
        <v>197.85998851681552</v>
      </c>
      <c r="AO147" s="62">
        <f t="shared" si="144"/>
        <v>474.54844785896239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5.5769374605787503</v>
      </c>
      <c r="AV147" s="23">
        <f>EXP(-LN(2)/25)*AV146+(1-EXP(-LN(2)/25))/(LN(2)/25)*Calculateur!AQ147*Calculateur!AS147*VLOOKUP('Données projet'!$B$10,Paramètres!$A$1:$I$89,3,0)*0.475*44/12</f>
        <v>1.8631610072331946</v>
      </c>
      <c r="AW147" s="23">
        <f>EXP(-LN(2)/2)*AW146+(1-EXP(-LN(2)/2))/(LN(2)/2)*AQ147*AT147*VLOOKUP('Données projet'!$B$10,Paramètres!$A$1:$I$89,3,0)*0.475*44/12</f>
        <v>3.0230946077645017E-16</v>
      </c>
      <c r="AX147" s="23">
        <f t="shared" si="114"/>
        <v>7.4400984678119446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1.1368683772161603E-13</v>
      </c>
      <c r="BE147" s="14">
        <f>BD147*VLOOKUP('Données projet'!$B$11,Paramètres!$A$1:$I$89,3,0)*VLOOKUP('Données projet'!$B$11,Paramètres!$A$1:$I$89,5,0)</f>
        <v>6.7984728957526396E-14</v>
      </c>
      <c r="BF147" s="14">
        <f t="shared" si="145"/>
        <v>1.0682447123141398E-12</v>
      </c>
      <c r="BG147" s="22">
        <f t="shared" si="115"/>
        <v>1.978932943548152E-12</v>
      </c>
      <c r="BH147" s="62">
        <f t="shared" si="116"/>
        <v>282.77461913959417</v>
      </c>
      <c r="BI147" s="62">
        <f ca="1">AVERAGE(OFFSET($BH$3,0,0,'Données projet'!$E$11+1,1))-AVERAGE(OFFSET($H$3,0,0,'Données projet'!$E$11+1,1))</f>
        <v>197.85998851681552</v>
      </c>
      <c r="BJ147" s="62">
        <f t="shared" si="146"/>
        <v>474.54844785896239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5.5769374605787503</v>
      </c>
      <c r="BQ147" s="23">
        <f>EXP(-LN(2)/25)*BQ146+(1-EXP(-LN(2)/25))/(LN(2)/25)*Calculateur!BL147*Calculateur!BN147*VLOOKUP('Données projet'!$B$11,Paramètres!$A$1:$I$89,3,0)*0.475*44/12</f>
        <v>1.8631610072331946</v>
      </c>
      <c r="BR147" s="23">
        <f>EXP(-LN(2)/2)*BR146+(1-EXP(-LN(2)/2))/(LN(2)/2)*BL147*BO147*VLOOKUP('Données projet'!$B$11,Paramètres!$A$1:$I$89,3,0)*0.475*44/12</f>
        <v>3.0230946077645017E-16</v>
      </c>
      <c r="BS147" s="24">
        <f t="shared" si="117"/>
        <v>7.4400984678119446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>
        <f>BY147*VLOOKUP('Données projet'!$B$12,Paramètres!$A$1:$I$89,3,0)*VLOOKUP('Données projet'!$B$12,Paramètres!$A$1:$I$89,5,0)</f>
        <v>0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72.97248599808384</v>
      </c>
      <c r="CE147" s="62">
        <f t="shared" si="148"/>
        <v>346.88163654003574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6.0788170716691257</v>
      </c>
      <c r="CL147" s="23">
        <f>EXP(-LN(2)/25)*CL146+(1-EXP(-LN(2)/25))/(LN(2)/25)*Calculateur!CG147*Calculateur!CI147*VLOOKUP('Données projet'!$B$12,Paramètres!$A$1:$I$89,3,0)*0.475*44/12</f>
        <v>0.55350581576011104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6.632322887429237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>
        <f>CT147*VLOOKUP('Données projet'!$B$13,Paramètres!$A$1:$I$89,3,0)*VLOOKUP('Données projet'!$B$13,Paramètres!$A$1:$I$89,5,0)</f>
        <v>0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67.303283896086128</v>
      </c>
      <c r="CZ147" s="62">
        <f t="shared" si="150"/>
        <v>318.97925671653547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5.5200400149418849</v>
      </c>
      <c r="DG147" s="23">
        <f>EXP(-LN(2)/25)*DG146+(1-EXP(-LN(2)/25))/(LN(2)/25)*Calculateur!DB147*Calculateur!DD147*VLOOKUP('Données projet'!$B$13,Paramètres!$A$1:$I$89,3,0)*0.475*44/12</f>
        <v>0.5026264510802112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6.0226664660220965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>
        <f>DO147*VLOOKUP('Données projet'!$B$14,Paramètres!$A$1:$I$89,3,0)*VLOOKUP('Données projet'!$B$14,Paramètres!$A$1:$I$89,5,0)</f>
        <v>0</v>
      </c>
      <c r="DQ147" s="14" t="e">
        <f t="shared" si="151"/>
        <v>#NUM!</v>
      </c>
      <c r="DR147" s="22" t="e">
        <f t="shared" si="124"/>
        <v>#NUM!</v>
      </c>
      <c r="DS147" s="62" t="e">
        <f t="shared" si="125"/>
        <v>#NUM!</v>
      </c>
      <c r="DT147" s="62">
        <f ca="1">AVERAGE(OFFSET($DS$3,0,0,'Données projet'!$E$14+1,1))-AVERAGE(OFFSET($H$3,0,0,'Données projet'!$E$14+1,1))</f>
        <v>75.244137291704476</v>
      </c>
      <c r="DU147" s="62">
        <f t="shared" si="152"/>
        <v>366.065475656937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6.4636497553655712</v>
      </c>
      <c r="EB147" s="23">
        <f>EXP(-LN(2)/25)*EB146+(1-EXP(-LN(2)/25))/(LN(2)/25)*Calculateur!DW147*Calculateur!DY147*VLOOKUP('Données projet'!$B$14,Paramètres!$A$1:$I$89,3,0)*0.475*44/12</f>
        <v>0.58854670052588109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7.0521964558914521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1.1368683772161603E-13</v>
      </c>
      <c r="EK147" s="18">
        <f>EJ147*VLOOKUP('Données projet'!$B$15,Paramètres!$A$1:$I$89,3,0)*VLOOKUP('Données projet'!$B$15,Paramètres!$A$1:$I$89,5,0)</f>
        <v>1.0995790944434703E-13</v>
      </c>
      <c r="EL147" s="14">
        <f t="shared" si="153"/>
        <v>1.6337280948049956E-12</v>
      </c>
      <c r="EM147" s="22">
        <f t="shared" si="127"/>
        <v>3.036919790734272E-12</v>
      </c>
      <c r="EN147" s="62">
        <f t="shared" si="128"/>
        <v>282.77461913959519</v>
      </c>
      <c r="EO147" s="62">
        <f ca="1">AVERAGE(OFFSET($EN$3,0,0,'Données projet'!$E$15+1,1))-AVERAGE(OFFSET($H$3,0,0,'Données projet'!$E$15+1,1))</f>
        <v>452.74627739105745</v>
      </c>
      <c r="EP147" s="62">
        <f t="shared" si="154"/>
        <v>281.80695725575106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1.1368683772161603E-13</v>
      </c>
      <c r="FF147" s="18">
        <f>FE147*VLOOKUP('Données projet'!$B$16,Paramètres!$A$1:$I$89,3,0)*VLOOKUP('Données projet'!$B$16,Paramètres!$A$1:$I$89,5,0)</f>
        <v>1.223725121235475E-13</v>
      </c>
      <c r="FG147" s="14">
        <f t="shared" si="155"/>
        <v>1.7956824466038182E-12</v>
      </c>
      <c r="FH147" s="22">
        <f t="shared" si="130"/>
        <v>3.3406123864501612E-12</v>
      </c>
      <c r="FI147" s="62">
        <f t="shared" si="131"/>
        <v>282.77461913959553</v>
      </c>
      <c r="FJ147" s="62">
        <f ca="1">AVERAGE(OFFSET($FI$3,0,0,'Données projet'!$E$16+1,1))-AVERAGE(OFFSET($H$3,0,0,'Données projet'!$E$16+1,1))</f>
        <v>492.72391755143508</v>
      </c>
      <c r="FK147" s="62">
        <f t="shared" si="156"/>
        <v>304.88554179994355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67.120350674434221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143.77000000000001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-5.6843418860808015E-14</v>
      </c>
      <c r="O148" s="14">
        <f>N148*VLOOKUP('Données projet'!$B$9,Paramètres!$A$1:$I$89,3,0)*VLOOKUP('Données projet'!$B$9,Paramètres!$A$1:$I$89,5,0)</f>
        <v>-5.1431925385259088E-14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388.8309693898596</v>
      </c>
      <c r="T148" s="62">
        <f t="shared" si="142"/>
        <v>549.06702041234382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1.0853904291111025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1.0853904291111025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6.7984728957526396E-14</v>
      </c>
      <c r="AK148" s="14">
        <f t="shared" si="143"/>
        <v>1.0682447123141398E-12</v>
      </c>
      <c r="AL148" s="22">
        <f t="shared" si="112"/>
        <v>1.978932943548152E-12</v>
      </c>
      <c r="AM148" s="62">
        <f t="shared" si="113"/>
        <v>282.95778922510704</v>
      </c>
      <c r="AN148" s="62">
        <f ca="1">AVERAGE(OFFSET($AM$3,0,0,'Données projet'!$E$10+1,1))-AVERAGE(OFFSET($H$3,0,0,'Données projet'!$E$10+1,1))</f>
        <v>197.85998851681552</v>
      </c>
      <c r="AO148" s="62">
        <f t="shared" si="144"/>
        <v>474.54844785896239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5.4675771185727724</v>
      </c>
      <c r="AV148" s="23">
        <f>EXP(-LN(2)/25)*AV147+(1-EXP(-LN(2)/25))/(LN(2)/25)*Calculateur!AQ148*Calculateur!AS148*VLOOKUP('Données projet'!$B$10,Paramètres!$A$1:$I$89,3,0)*0.475*44/12</f>
        <v>1.8122127715110239</v>
      </c>
      <c r="AW148" s="23">
        <f>EXP(-LN(2)/2)*AW147+(1-EXP(-LN(2)/2))/(LN(2)/2)*AQ148*AT148*VLOOKUP('Données projet'!$B$10,Paramètres!$A$1:$I$89,3,0)*0.475*44/12</f>
        <v>2.1376506973187653E-16</v>
      </c>
      <c r="AX148" s="23">
        <f t="shared" si="114"/>
        <v>7.2797898900837961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1.1368683772161603E-13</v>
      </c>
      <c r="BE148" s="14">
        <f>BD148*VLOOKUP('Données projet'!$B$11,Paramètres!$A$1:$I$89,3,0)*VLOOKUP('Données projet'!$B$11,Paramètres!$A$1:$I$89,5,0)</f>
        <v>6.7984728957526396E-14</v>
      </c>
      <c r="BF148" s="14">
        <f t="shared" si="145"/>
        <v>1.0682447123141398E-12</v>
      </c>
      <c r="BG148" s="22">
        <f t="shared" si="115"/>
        <v>1.978932943548152E-12</v>
      </c>
      <c r="BH148" s="62">
        <f t="shared" si="116"/>
        <v>282.95778922510704</v>
      </c>
      <c r="BI148" s="62">
        <f ca="1">AVERAGE(OFFSET($BH$3,0,0,'Données projet'!$E$11+1,1))-AVERAGE(OFFSET($H$3,0,0,'Données projet'!$E$11+1,1))</f>
        <v>197.85998851681552</v>
      </c>
      <c r="BJ148" s="62">
        <f t="shared" si="146"/>
        <v>474.54844785896239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5.4675771185727724</v>
      </c>
      <c r="BQ148" s="23">
        <f>EXP(-LN(2)/25)*BQ147+(1-EXP(-LN(2)/25))/(LN(2)/25)*Calculateur!BL148*Calculateur!BN148*VLOOKUP('Données projet'!$B$11,Paramètres!$A$1:$I$89,3,0)*0.475*44/12</f>
        <v>1.8122127715110239</v>
      </c>
      <c r="BR148" s="23">
        <f>EXP(-LN(2)/2)*BR147+(1-EXP(-LN(2)/2))/(LN(2)/2)*BL148*BO148*VLOOKUP('Données projet'!$B$11,Paramètres!$A$1:$I$89,3,0)*0.475*44/12</f>
        <v>2.1376506973187653E-16</v>
      </c>
      <c r="BS148" s="24">
        <f t="shared" si="117"/>
        <v>7.2797898900837961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>
        <f>BY148*VLOOKUP('Données projet'!$B$12,Paramètres!$A$1:$I$89,3,0)*VLOOKUP('Données projet'!$B$12,Paramètres!$A$1:$I$89,5,0)</f>
        <v>0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72.97248599808384</v>
      </c>
      <c r="CE148" s="62">
        <f t="shared" si="148"/>
        <v>346.88163654003574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5.9596151766060013</v>
      </c>
      <c r="CL148" s="23">
        <f>EXP(-LN(2)/25)*CL147+(1-EXP(-LN(2)/25))/(LN(2)/25)*Calculateur!CG148*Calculateur!CI148*VLOOKUP('Données projet'!$B$12,Paramètres!$A$1:$I$89,3,0)*0.475*44/12</f>
        <v>0.538370170120545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6.497985346726546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>
        <f>CT148*VLOOKUP('Données projet'!$B$13,Paramètres!$A$1:$I$89,3,0)*VLOOKUP('Données projet'!$B$13,Paramètres!$A$1:$I$89,5,0)</f>
        <v>0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67.303283896086128</v>
      </c>
      <c r="CZ148" s="62">
        <f t="shared" si="150"/>
        <v>318.97925671653547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5.411795397140831</v>
      </c>
      <c r="DG148" s="23">
        <f>EXP(-LN(2)/25)*DG147+(1-EXP(-LN(2)/25))/(LN(2)/25)*Calculateur!DB148*Calculateur!DD148*VLOOKUP('Données projet'!$B$13,Paramètres!$A$1:$I$89,3,0)*0.475*44/12</f>
        <v>0.48888210434344653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5.9006775014842772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>
        <f>DO148*VLOOKUP('Données projet'!$B$14,Paramètres!$A$1:$I$89,3,0)*VLOOKUP('Données projet'!$B$14,Paramètres!$A$1:$I$89,5,0)</f>
        <v>0</v>
      </c>
      <c r="DQ148" s="14" t="e">
        <f t="shared" si="151"/>
        <v>#NUM!</v>
      </c>
      <c r="DR148" s="22" t="e">
        <f t="shared" si="124"/>
        <v>#NUM!</v>
      </c>
      <c r="DS148" s="62" t="e">
        <f t="shared" si="125"/>
        <v>#NUM!</v>
      </c>
      <c r="DT148" s="62">
        <f ca="1">AVERAGE(OFFSET($DS$3,0,0,'Données projet'!$E$14+1,1))-AVERAGE(OFFSET($H$3,0,0,'Données projet'!$E$14+1,1))</f>
        <v>75.244137291704476</v>
      </c>
      <c r="DU148" s="62">
        <f t="shared" si="152"/>
        <v>366.065475656937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6.3369015260999202</v>
      </c>
      <c r="EB148" s="23">
        <f>EXP(-LN(2)/25)*EB147+(1-EXP(-LN(2)/25))/(LN(2)/25)*Calculateur!DW148*Calculateur!DY148*VLOOKUP('Données projet'!$B$14,Paramètres!$A$1:$I$89,3,0)*0.475*44/12</f>
        <v>0.57245286004967499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6.9093543861495954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1.1368683772161603E-13</v>
      </c>
      <c r="EK148" s="18">
        <f>EJ148*VLOOKUP('Données projet'!$B$15,Paramètres!$A$1:$I$89,3,0)*VLOOKUP('Données projet'!$B$15,Paramètres!$A$1:$I$89,5,0)</f>
        <v>1.0995790944434703E-13</v>
      </c>
      <c r="EL148" s="14">
        <f t="shared" si="153"/>
        <v>1.6337280948049956E-12</v>
      </c>
      <c r="EM148" s="22">
        <f t="shared" si="127"/>
        <v>3.036919790734272E-12</v>
      </c>
      <c r="EN148" s="62">
        <f t="shared" si="128"/>
        <v>282.95778922510806</v>
      </c>
      <c r="EO148" s="62">
        <f ca="1">AVERAGE(OFFSET($EN$3,0,0,'Données projet'!$E$15+1,1))-AVERAGE(OFFSET($H$3,0,0,'Données projet'!$E$15+1,1))</f>
        <v>452.74627739105745</v>
      </c>
      <c r="EP148" s="62">
        <f t="shared" si="154"/>
        <v>281.80695725575106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1.1368683772161603E-13</v>
      </c>
      <c r="FF148" s="18">
        <f>FE148*VLOOKUP('Données projet'!$B$16,Paramètres!$A$1:$I$89,3,0)*VLOOKUP('Données projet'!$B$16,Paramètres!$A$1:$I$89,5,0)</f>
        <v>1.223725121235475E-13</v>
      </c>
      <c r="FG148" s="14">
        <f t="shared" si="155"/>
        <v>1.7956824466038182E-12</v>
      </c>
      <c r="FH148" s="22">
        <f t="shared" si="130"/>
        <v>3.3406123864501612E-12</v>
      </c>
      <c r="FI148" s="62">
        <f t="shared" si="131"/>
        <v>282.9577892251084</v>
      </c>
      <c r="FJ148" s="62">
        <f ca="1">AVERAGE(OFFSET($FI$3,0,0,'Données projet'!$E$16+1,1))-AVERAGE(OFFSET($H$3,0,0,'Données projet'!$E$16+1,1))</f>
        <v>492.72391755143508</v>
      </c>
      <c r="FK148" s="62">
        <f t="shared" si="156"/>
        <v>304.88554179994355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67.170306152301379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143.77000000000001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-5.6843418860808015E-14</v>
      </c>
      <c r="O149" s="14">
        <f>N149*VLOOKUP('Données projet'!$B$9,Paramètres!$A$1:$I$89,3,0)*VLOOKUP('Données projet'!$B$9,Paramètres!$A$1:$I$89,5,0)</f>
        <v>-5.1431925385259088E-14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388.8309693898596</v>
      </c>
      <c r="T149" s="62">
        <f t="shared" si="142"/>
        <v>549.06702041234382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1.0641065848190263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1.0641065848190263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6.7984728957526396E-14</v>
      </c>
      <c r="AK149" s="14">
        <f t="shared" si="143"/>
        <v>1.0682447123141398E-12</v>
      </c>
      <c r="AL149" s="22">
        <f t="shared" si="112"/>
        <v>1.978932943548152E-12</v>
      </c>
      <c r="AM149" s="62">
        <f t="shared" si="113"/>
        <v>283.13778171914328</v>
      </c>
      <c r="AN149" s="62">
        <f ca="1">AVERAGE(OFFSET($AM$3,0,0,'Données projet'!$E$10+1,1))-AVERAGE(OFFSET($H$3,0,0,'Données projet'!$E$10+1,1))</f>
        <v>197.85998851681552</v>
      </c>
      <c r="AO149" s="62">
        <f t="shared" si="144"/>
        <v>474.54844785896239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5.3603612661703091</v>
      </c>
      <c r="AV149" s="23">
        <f>EXP(-LN(2)/25)*AV148+(1-EXP(-LN(2)/25))/(LN(2)/25)*Calculateur!AQ149*Calculateur!AS149*VLOOKUP('Données projet'!$B$10,Paramètres!$A$1:$I$89,3,0)*0.475*44/12</f>
        <v>1.7626577179739271</v>
      </c>
      <c r="AW149" s="23">
        <f>EXP(-LN(2)/2)*AW148+(1-EXP(-LN(2)/2))/(LN(2)/2)*AQ149*AT149*VLOOKUP('Données projet'!$B$10,Paramètres!$A$1:$I$89,3,0)*0.475*44/12</f>
        <v>1.5115473038822509E-16</v>
      </c>
      <c r="AX149" s="23">
        <f t="shared" si="114"/>
        <v>7.1230189841442364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1.1368683772161603E-13</v>
      </c>
      <c r="BE149" s="14">
        <f>BD149*VLOOKUP('Données projet'!$B$11,Paramètres!$A$1:$I$89,3,0)*VLOOKUP('Données projet'!$B$11,Paramètres!$A$1:$I$89,5,0)</f>
        <v>6.7984728957526396E-14</v>
      </c>
      <c r="BF149" s="14">
        <f t="shared" si="145"/>
        <v>1.0682447123141398E-12</v>
      </c>
      <c r="BG149" s="22">
        <f t="shared" si="115"/>
        <v>1.978932943548152E-12</v>
      </c>
      <c r="BH149" s="62">
        <f t="shared" si="116"/>
        <v>283.13778171914328</v>
      </c>
      <c r="BI149" s="62">
        <f ca="1">AVERAGE(OFFSET($BH$3,0,0,'Données projet'!$E$11+1,1))-AVERAGE(OFFSET($H$3,0,0,'Données projet'!$E$11+1,1))</f>
        <v>197.85998851681552</v>
      </c>
      <c r="BJ149" s="62">
        <f t="shared" si="146"/>
        <v>474.54844785896239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5.3603612661703091</v>
      </c>
      <c r="BQ149" s="23">
        <f>EXP(-LN(2)/25)*BQ148+(1-EXP(-LN(2)/25))/(LN(2)/25)*Calculateur!BL149*Calculateur!BN149*VLOOKUP('Données projet'!$B$11,Paramètres!$A$1:$I$89,3,0)*0.475*44/12</f>
        <v>1.7626577179739271</v>
      </c>
      <c r="BR149" s="23">
        <f>EXP(-LN(2)/2)*BR148+(1-EXP(-LN(2)/2))/(LN(2)/2)*BL149*BO149*VLOOKUP('Données projet'!$B$11,Paramètres!$A$1:$I$89,3,0)*0.475*44/12</f>
        <v>1.5115473038822509E-16</v>
      </c>
      <c r="BS149" s="24">
        <f t="shared" si="117"/>
        <v>7.1230189841442364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>
        <f>BY149*VLOOKUP('Données projet'!$B$12,Paramètres!$A$1:$I$89,3,0)*VLOOKUP('Données projet'!$B$12,Paramètres!$A$1:$I$89,5,0)</f>
        <v>0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72.97248599808384</v>
      </c>
      <c r="CE149" s="62">
        <f t="shared" si="148"/>
        <v>346.88163654003574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5.8427507579990881</v>
      </c>
      <c r="CL149" s="23">
        <f>EXP(-LN(2)/25)*CL148+(1-EXP(-LN(2)/25))/(LN(2)/25)*Calculateur!CG149*Calculateur!CI149*VLOOKUP('Données projet'!$B$12,Paramètres!$A$1:$I$89,3,0)*0.475*44/12</f>
        <v>0.52364840950694191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6.3663991675060299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>
        <f>CT149*VLOOKUP('Données projet'!$B$13,Paramètres!$A$1:$I$89,3,0)*VLOOKUP('Données projet'!$B$13,Paramètres!$A$1:$I$89,5,0)</f>
        <v>0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67.303283896086128</v>
      </c>
      <c r="CZ149" s="62">
        <f t="shared" si="150"/>
        <v>318.97925671653547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5.3056733902721582</v>
      </c>
      <c r="DG149" s="23">
        <f>EXP(-LN(2)/25)*DG148+(1-EXP(-LN(2)/25))/(LN(2)/25)*Calculateur!DB149*Calculateur!DD149*VLOOKUP('Données projet'!$B$13,Paramètres!$A$1:$I$89,3,0)*0.475*44/12</f>
        <v>0.47551359749098249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5.7811869877631406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>
        <f>DO149*VLOOKUP('Données projet'!$B$14,Paramètres!$A$1:$I$89,3,0)*VLOOKUP('Données projet'!$B$14,Paramètres!$A$1:$I$89,5,0)</f>
        <v>0</v>
      </c>
      <c r="DQ149" s="14" t="e">
        <f t="shared" si="151"/>
        <v>#NUM!</v>
      </c>
      <c r="DR149" s="22" t="e">
        <f t="shared" si="124"/>
        <v>#NUM!</v>
      </c>
      <c r="DS149" s="62" t="e">
        <f t="shared" si="125"/>
        <v>#NUM!</v>
      </c>
      <c r="DT149" s="62">
        <f ca="1">AVERAGE(OFFSET($DS$3,0,0,'Données projet'!$E$14+1,1))-AVERAGE(OFFSET($H$3,0,0,'Données projet'!$E$14+1,1))</f>
        <v>75.244137291704476</v>
      </c>
      <c r="DU149" s="62">
        <f t="shared" si="152"/>
        <v>366.065475656937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6.2126387523013822</v>
      </c>
      <c r="EB149" s="23">
        <f>EXP(-LN(2)/25)*EB148+(1-EXP(-LN(2)/25))/(LN(2)/25)*Calculateur!DW149*Calculateur!DY149*VLOOKUP('Données projet'!$B$14,Paramètres!$A$1:$I$89,3,0)*0.475*44/12</f>
        <v>0.55679910648762909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6.7694378587890114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1.1368683772161603E-13</v>
      </c>
      <c r="EK149" s="18">
        <f>EJ149*VLOOKUP('Données projet'!$B$15,Paramètres!$A$1:$I$89,3,0)*VLOOKUP('Données projet'!$B$15,Paramètres!$A$1:$I$89,5,0)</f>
        <v>1.0995790944434703E-13</v>
      </c>
      <c r="EL149" s="14">
        <f t="shared" si="153"/>
        <v>1.6337280948049956E-12</v>
      </c>
      <c r="EM149" s="22">
        <f t="shared" si="127"/>
        <v>3.036919790734272E-12</v>
      </c>
      <c r="EN149" s="62">
        <f t="shared" si="128"/>
        <v>283.1377817191443</v>
      </c>
      <c r="EO149" s="62">
        <f ca="1">AVERAGE(OFFSET($EN$3,0,0,'Données projet'!$E$15+1,1))-AVERAGE(OFFSET($H$3,0,0,'Données projet'!$E$15+1,1))</f>
        <v>452.74627739105745</v>
      </c>
      <c r="EP149" s="62">
        <f t="shared" si="154"/>
        <v>281.80695725575106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1.1368683772161603E-13</v>
      </c>
      <c r="FF149" s="18">
        <f>FE149*VLOOKUP('Données projet'!$B$16,Paramètres!$A$1:$I$89,3,0)*VLOOKUP('Données projet'!$B$16,Paramètres!$A$1:$I$89,5,0)</f>
        <v>1.223725121235475E-13</v>
      </c>
      <c r="FG149" s="14">
        <f t="shared" si="155"/>
        <v>1.7956824466038182E-12</v>
      </c>
      <c r="FH149" s="22">
        <f t="shared" si="130"/>
        <v>3.3406123864501612E-12</v>
      </c>
      <c r="FI149" s="62">
        <f t="shared" si="131"/>
        <v>283.13778171914464</v>
      </c>
      <c r="FJ149" s="62">
        <f ca="1">AVERAGE(OFFSET($FI$3,0,0,'Données projet'!$E$16+1,1))-AVERAGE(OFFSET($H$3,0,0,'Données projet'!$E$16+1,1))</f>
        <v>492.72391755143508</v>
      </c>
      <c r="FK149" s="62">
        <f t="shared" si="156"/>
        <v>304.88554179994355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67.21939501431126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143.77000000000001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-5.6843418860808015E-14</v>
      </c>
      <c r="O150" s="14">
        <f>N150*VLOOKUP('Données projet'!$B$9,Paramètres!$A$1:$I$89,3,0)*VLOOKUP('Données projet'!$B$9,Paramètres!$A$1:$I$89,5,0)</f>
        <v>-5.1431925385259088E-14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388.8309693898596</v>
      </c>
      <c r="T150" s="62">
        <f t="shared" si="142"/>
        <v>549.06702041234382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1.0432401037316545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1.0432401037316545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6.7984728957526396E-14</v>
      </c>
      <c r="AK150" s="14">
        <f t="shared" si="143"/>
        <v>1.0682447123141398E-12</v>
      </c>
      <c r="AL150" s="22">
        <f t="shared" si="112"/>
        <v>1.978932943548152E-12</v>
      </c>
      <c r="AM150" s="62">
        <f t="shared" si="113"/>
        <v>283.31465174581081</v>
      </c>
      <c r="AN150" s="62">
        <f ca="1">AVERAGE(OFFSET($AM$3,0,0,'Données projet'!$E$10+1,1))-AVERAGE(OFFSET($H$3,0,0,'Données projet'!$E$10+1,1))</f>
        <v>197.85998851681552</v>
      </c>
      <c r="AO150" s="62">
        <f t="shared" si="144"/>
        <v>474.54844785896239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5.2552478512382459</v>
      </c>
      <c r="AV150" s="23">
        <f>EXP(-LN(2)/25)*AV149+(1-EXP(-LN(2)/25))/(LN(2)/25)*Calculateur!AQ150*Calculateur!AS150*VLOOKUP('Données projet'!$B$10,Paramètres!$A$1:$I$89,3,0)*0.475*44/12</f>
        <v>1.7144577499817892</v>
      </c>
      <c r="AW150" s="23">
        <f>EXP(-LN(2)/2)*AW149+(1-EXP(-LN(2)/2))/(LN(2)/2)*AQ150*AT150*VLOOKUP('Données projet'!$B$10,Paramètres!$A$1:$I$89,3,0)*0.475*44/12</f>
        <v>1.0688253486593826E-16</v>
      </c>
      <c r="AX150" s="23">
        <f t="shared" si="114"/>
        <v>6.9697056012200349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1.1368683772161603E-13</v>
      </c>
      <c r="BE150" s="14">
        <f>BD150*VLOOKUP('Données projet'!$B$11,Paramètres!$A$1:$I$89,3,0)*VLOOKUP('Données projet'!$B$11,Paramètres!$A$1:$I$89,5,0)</f>
        <v>6.7984728957526396E-14</v>
      </c>
      <c r="BF150" s="14">
        <f t="shared" si="145"/>
        <v>1.0682447123141398E-12</v>
      </c>
      <c r="BG150" s="22">
        <f t="shared" si="115"/>
        <v>1.978932943548152E-12</v>
      </c>
      <c r="BH150" s="62">
        <f t="shared" si="116"/>
        <v>283.31465174581081</v>
      </c>
      <c r="BI150" s="62">
        <f ca="1">AVERAGE(OFFSET($BH$3,0,0,'Données projet'!$E$11+1,1))-AVERAGE(OFFSET($H$3,0,0,'Données projet'!$E$11+1,1))</f>
        <v>197.85998851681552</v>
      </c>
      <c r="BJ150" s="62">
        <f t="shared" si="146"/>
        <v>474.54844785896239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5.2552478512382459</v>
      </c>
      <c r="BQ150" s="23">
        <f>EXP(-LN(2)/25)*BQ149+(1-EXP(-LN(2)/25))/(LN(2)/25)*Calculateur!BL150*Calculateur!BN150*VLOOKUP('Données projet'!$B$11,Paramètres!$A$1:$I$89,3,0)*0.475*44/12</f>
        <v>1.7144577499817892</v>
      </c>
      <c r="BR150" s="23">
        <f>EXP(-LN(2)/2)*BR149+(1-EXP(-LN(2)/2))/(LN(2)/2)*BL150*BO150*VLOOKUP('Données projet'!$B$11,Paramètres!$A$1:$I$89,3,0)*0.475*44/12</f>
        <v>1.0688253486593826E-16</v>
      </c>
      <c r="BS150" s="24">
        <f t="shared" si="117"/>
        <v>6.9697056012200349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>
        <f>BY150*VLOOKUP('Données projet'!$B$12,Paramètres!$A$1:$I$89,3,0)*VLOOKUP('Données projet'!$B$12,Paramètres!$A$1:$I$89,5,0)</f>
        <v>0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72.97248599808384</v>
      </c>
      <c r="CE150" s="62">
        <f t="shared" si="148"/>
        <v>346.88163654003574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5.7281779793607992</v>
      </c>
      <c r="CL150" s="23">
        <f>EXP(-LN(2)/25)*CL149+(1-EXP(-LN(2)/25))/(LN(2)/25)*Calculateur!CG150*Calculateur!CI150*VLOOKUP('Données projet'!$B$12,Paramètres!$A$1:$I$89,3,0)*0.475*44/12</f>
        <v>0.50932921621150151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6.2375071955723005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>
        <f>CT150*VLOOKUP('Données projet'!$B$13,Paramètres!$A$1:$I$89,3,0)*VLOOKUP('Données projet'!$B$13,Paramètres!$A$1:$I$89,5,0)</f>
        <v>0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67.303283896086128</v>
      </c>
      <c r="CZ150" s="62">
        <f t="shared" si="150"/>
        <v>318.97925671653547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5.2016323712301471</v>
      </c>
      <c r="DG150" s="23">
        <f>EXP(-LN(2)/25)*DG149+(1-EXP(-LN(2)/25))/(LN(2)/25)*Calculateur!DB150*Calculateur!DD150*VLOOKUP('Données projet'!$B$13,Paramètres!$A$1:$I$89,3,0)*0.475*44/12</f>
        <v>0.46251065316141826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5.6641430243915654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>
        <f>DO150*VLOOKUP('Données projet'!$B$14,Paramètres!$A$1:$I$89,3,0)*VLOOKUP('Données projet'!$B$14,Paramètres!$A$1:$I$89,5,0)</f>
        <v>0</v>
      </c>
      <c r="DQ150" s="14" t="e">
        <f t="shared" si="151"/>
        <v>#NUM!</v>
      </c>
      <c r="DR150" s="22" t="e">
        <f t="shared" si="124"/>
        <v>#NUM!</v>
      </c>
      <c r="DS150" s="62" t="e">
        <f t="shared" si="125"/>
        <v>#NUM!</v>
      </c>
      <c r="DT150" s="62">
        <f ca="1">AVERAGE(OFFSET($DS$3,0,0,'Données projet'!$E$14+1,1))-AVERAGE(OFFSET($H$3,0,0,'Données projet'!$E$14+1,1))</f>
        <v>75.244137291704476</v>
      </c>
      <c r="DU150" s="62">
        <f t="shared" si="152"/>
        <v>366.065475656937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6.0908126957042255</v>
      </c>
      <c r="EB150" s="23">
        <f>EXP(-LN(2)/25)*EB149+(1-EXP(-LN(2)/25))/(LN(2)/25)*Calculateur!DW150*Calculateur!DY150*VLOOKUP('Données projet'!$B$14,Paramètres!$A$1:$I$89,3,0)*0.475*44/12</f>
        <v>0.54157340563993239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6.6323861013441583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1.1368683772161603E-13</v>
      </c>
      <c r="EK150" s="18">
        <f>EJ150*VLOOKUP('Données projet'!$B$15,Paramètres!$A$1:$I$89,3,0)*VLOOKUP('Données projet'!$B$15,Paramètres!$A$1:$I$89,5,0)</f>
        <v>1.0995790944434703E-13</v>
      </c>
      <c r="EL150" s="14">
        <f t="shared" si="153"/>
        <v>1.6337280948049956E-12</v>
      </c>
      <c r="EM150" s="22">
        <f t="shared" si="127"/>
        <v>3.036919790734272E-12</v>
      </c>
      <c r="EN150" s="62">
        <f t="shared" si="128"/>
        <v>283.31465174581183</v>
      </c>
      <c r="EO150" s="62">
        <f ca="1">AVERAGE(OFFSET($EN$3,0,0,'Données projet'!$E$15+1,1))-AVERAGE(OFFSET($H$3,0,0,'Données projet'!$E$15+1,1))</f>
        <v>452.74627739105745</v>
      </c>
      <c r="EP150" s="62">
        <f t="shared" si="154"/>
        <v>281.80695725575106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1.1368683772161603E-13</v>
      </c>
      <c r="FF150" s="18">
        <f>FE150*VLOOKUP('Données projet'!$B$16,Paramètres!$A$1:$I$89,3,0)*VLOOKUP('Données projet'!$B$16,Paramètres!$A$1:$I$89,5,0)</f>
        <v>1.223725121235475E-13</v>
      </c>
      <c r="FG150" s="14">
        <f t="shared" si="155"/>
        <v>1.7956824466038182E-12</v>
      </c>
      <c r="FH150" s="22">
        <f t="shared" si="130"/>
        <v>3.3406123864501612E-12</v>
      </c>
      <c r="FI150" s="62">
        <f t="shared" si="131"/>
        <v>283.31465174581217</v>
      </c>
      <c r="FJ150" s="62">
        <f ca="1">AVERAGE(OFFSET($FI$3,0,0,'Données projet'!$E$16+1,1))-AVERAGE(OFFSET($H$3,0,0,'Données projet'!$E$16+1,1))</f>
        <v>492.72391755143508</v>
      </c>
      <c r="FK150" s="62">
        <f t="shared" si="156"/>
        <v>304.88554179994355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67.267632294311497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143.77000000000001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-5.6843418860808015E-14</v>
      </c>
      <c r="O151" s="14">
        <f>N151*VLOOKUP('Données projet'!$B$9,Paramètres!$A$1:$I$89,3,0)*VLOOKUP('Données projet'!$B$9,Paramètres!$A$1:$I$89,5,0)</f>
        <v>-5.1431925385259088E-14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388.8309693898596</v>
      </c>
      <c r="T151" s="62">
        <f t="shared" si="142"/>
        <v>549.06702041234382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1.0227828016111093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1.0227828016111093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6.7984728957526396E-14</v>
      </c>
      <c r="AK151" s="14">
        <f t="shared" si="143"/>
        <v>1.0682447123141398E-12</v>
      </c>
      <c r="AL151" s="22">
        <f t="shared" si="112"/>
        <v>1.978932943548152E-12</v>
      </c>
      <c r="AM151" s="62">
        <f t="shared" si="113"/>
        <v>283.48845347293786</v>
      </c>
      <c r="AN151" s="62">
        <f ca="1">AVERAGE(OFFSET($AM$3,0,0,'Données projet'!$E$10+1,1))-AVERAGE(OFFSET($H$3,0,0,'Données projet'!$E$10+1,1))</f>
        <v>197.85998851681552</v>
      </c>
      <c r="AO151" s="62">
        <f t="shared" si="144"/>
        <v>474.54844785896239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5.1521956462601475</v>
      </c>
      <c r="AV151" s="23">
        <f>EXP(-LN(2)/25)*AV150+(1-EXP(-LN(2)/25))/(LN(2)/25)*Calculateur!AQ151*Calculateur!AS151*VLOOKUP('Données projet'!$B$10,Paramètres!$A$1:$I$89,3,0)*0.475*44/12</f>
        <v>1.6675758126491227</v>
      </c>
      <c r="AW151" s="23">
        <f>EXP(-LN(2)/2)*AW150+(1-EXP(-LN(2)/2))/(LN(2)/2)*AQ151*AT151*VLOOKUP('Données projet'!$B$10,Paramètres!$A$1:$I$89,3,0)*0.475*44/12</f>
        <v>7.5577365194112544E-17</v>
      </c>
      <c r="AX151" s="23">
        <f t="shared" si="114"/>
        <v>6.8197714589092699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1.1368683772161603E-13</v>
      </c>
      <c r="BE151" s="14">
        <f>BD151*VLOOKUP('Données projet'!$B$11,Paramètres!$A$1:$I$89,3,0)*VLOOKUP('Données projet'!$B$11,Paramètres!$A$1:$I$89,5,0)</f>
        <v>6.7984728957526396E-14</v>
      </c>
      <c r="BF151" s="14">
        <f t="shared" si="145"/>
        <v>1.0682447123141398E-12</v>
      </c>
      <c r="BG151" s="22">
        <f t="shared" si="115"/>
        <v>1.978932943548152E-12</v>
      </c>
      <c r="BH151" s="62">
        <f t="shared" si="116"/>
        <v>283.48845347293786</v>
      </c>
      <c r="BI151" s="62">
        <f ca="1">AVERAGE(OFFSET($BH$3,0,0,'Données projet'!$E$11+1,1))-AVERAGE(OFFSET($H$3,0,0,'Données projet'!$E$11+1,1))</f>
        <v>197.85998851681552</v>
      </c>
      <c r="BJ151" s="62">
        <f t="shared" si="146"/>
        <v>474.54844785896239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5.1521956462601475</v>
      </c>
      <c r="BQ151" s="23">
        <f>EXP(-LN(2)/25)*BQ150+(1-EXP(-LN(2)/25))/(LN(2)/25)*Calculateur!BL151*Calculateur!BN151*VLOOKUP('Données projet'!$B$11,Paramètres!$A$1:$I$89,3,0)*0.475*44/12</f>
        <v>1.6675758126491227</v>
      </c>
      <c r="BR151" s="23">
        <f>EXP(-LN(2)/2)*BR150+(1-EXP(-LN(2)/2))/(LN(2)/2)*BL151*BO151*VLOOKUP('Données projet'!$B$11,Paramètres!$A$1:$I$89,3,0)*0.475*44/12</f>
        <v>7.5577365194112544E-17</v>
      </c>
      <c r="BS151" s="24">
        <f t="shared" si="117"/>
        <v>6.8197714589092699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>
        <f>BY151*VLOOKUP('Données projet'!$B$12,Paramètres!$A$1:$I$89,3,0)*VLOOKUP('Données projet'!$B$12,Paramètres!$A$1:$I$89,5,0)</f>
        <v>0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72.97248599808384</v>
      </c>
      <c r="CE151" s="62">
        <f t="shared" si="148"/>
        <v>346.88163654003574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5.615851903029113</v>
      </c>
      <c r="CL151" s="23">
        <f>EXP(-LN(2)/25)*CL150+(1-EXP(-LN(2)/25))/(LN(2)/25)*Calculateur!CG151*Calculateur!CI151*VLOOKUP('Données projet'!$B$12,Paramètres!$A$1:$I$89,3,0)*0.475*44/12</f>
        <v>0.49540158200973861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6.1112534850388514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>
        <f>CT151*VLOOKUP('Données projet'!$B$13,Paramètres!$A$1:$I$89,3,0)*VLOOKUP('Données projet'!$B$13,Paramètres!$A$1:$I$89,5,0)</f>
        <v>0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67.303283896086128</v>
      </c>
      <c r="CZ151" s="62">
        <f t="shared" si="150"/>
        <v>318.97925671653547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5.0996315331127944</v>
      </c>
      <c r="DG151" s="23">
        <f>EXP(-LN(2)/25)*DG150+(1-EXP(-LN(2)/25))/(LN(2)/25)*Calculateur!DB151*Calculateur!DD151*VLOOKUP('Données projet'!$B$13,Paramètres!$A$1:$I$89,3,0)*0.475*44/12</f>
        <v>0.44986327502834111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5.5494948081411355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>
        <f>DO151*VLOOKUP('Données projet'!$B$14,Paramètres!$A$1:$I$89,3,0)*VLOOKUP('Données projet'!$B$14,Paramètres!$A$1:$I$89,5,0)</f>
        <v>0</v>
      </c>
      <c r="DQ151" s="14" t="e">
        <f t="shared" si="151"/>
        <v>#NUM!</v>
      </c>
      <c r="DR151" s="22" t="e">
        <f t="shared" si="124"/>
        <v>#NUM!</v>
      </c>
      <c r="DS151" s="62" t="e">
        <f t="shared" si="125"/>
        <v>#NUM!</v>
      </c>
      <c r="DT151" s="62">
        <f ca="1">AVERAGE(OFFSET($DS$3,0,0,'Données projet'!$E$14+1,1))-AVERAGE(OFFSET($H$3,0,0,'Données projet'!$E$14+1,1))</f>
        <v>75.244137291704476</v>
      </c>
      <c r="DU151" s="62">
        <f t="shared" si="152"/>
        <v>366.065475656937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5.9713755737703815</v>
      </c>
      <c r="EB151" s="23">
        <f>EXP(-LN(2)/25)*EB150+(1-EXP(-LN(2)/25))/(LN(2)/25)*Calculateur!DW151*Calculateur!DY151*VLOOKUP('Données projet'!$B$14,Paramètres!$A$1:$I$89,3,0)*0.475*44/12</f>
        <v>0.52676405238260082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6.498139626152982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1.1368683772161603E-13</v>
      </c>
      <c r="EK151" s="18">
        <f>EJ151*VLOOKUP('Données projet'!$B$15,Paramètres!$A$1:$I$89,3,0)*VLOOKUP('Données projet'!$B$15,Paramètres!$A$1:$I$89,5,0)</f>
        <v>1.0995790944434703E-13</v>
      </c>
      <c r="EL151" s="14">
        <f t="shared" si="153"/>
        <v>1.6337280948049956E-12</v>
      </c>
      <c r="EM151" s="22">
        <f t="shared" si="127"/>
        <v>3.036919790734272E-12</v>
      </c>
      <c r="EN151" s="62">
        <f t="shared" si="128"/>
        <v>283.48845347293889</v>
      </c>
      <c r="EO151" s="62">
        <f ca="1">AVERAGE(OFFSET($EN$3,0,0,'Données projet'!$E$15+1,1))-AVERAGE(OFFSET($H$3,0,0,'Données projet'!$E$15+1,1))</f>
        <v>452.74627739105745</v>
      </c>
      <c r="EP151" s="62">
        <f t="shared" si="154"/>
        <v>281.80695725575106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1.1368683772161603E-13</v>
      </c>
      <c r="FF151" s="18">
        <f>FE151*VLOOKUP('Données projet'!$B$16,Paramètres!$A$1:$I$89,3,0)*VLOOKUP('Données projet'!$B$16,Paramètres!$A$1:$I$89,5,0)</f>
        <v>1.223725121235475E-13</v>
      </c>
      <c r="FG151" s="14">
        <f t="shared" si="155"/>
        <v>1.7956824466038182E-12</v>
      </c>
      <c r="FH151" s="22">
        <f t="shared" si="130"/>
        <v>3.3406123864501612E-12</v>
      </c>
      <c r="FI151" s="62">
        <f t="shared" si="131"/>
        <v>283.48845347293923</v>
      </c>
      <c r="FJ151" s="62">
        <f ca="1">AVERAGE(OFFSET($FI$3,0,0,'Données projet'!$E$16+1,1))-AVERAGE(OFFSET($H$3,0,0,'Données projet'!$E$16+1,1))</f>
        <v>492.72391755143508</v>
      </c>
      <c r="FK151" s="62">
        <f t="shared" si="156"/>
        <v>304.88554179994355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67.315032765346146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143.77000000000001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-5.6843418860808015E-14</v>
      </c>
      <c r="O152" s="14">
        <f>N152*VLOOKUP('Données projet'!$B$9,Paramètres!$A$1:$I$89,3,0)*VLOOKUP('Données projet'!$B$9,Paramètres!$A$1:$I$89,5,0)</f>
        <v>-5.1431925385259088E-14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388.8309693898596</v>
      </c>
      <c r="T152" s="62">
        <f t="shared" si="142"/>
        <v>549.06702041234382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1.0027266547074258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1.0027266547074258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6.7984728957526396E-14</v>
      </c>
      <c r="AK152" s="14">
        <f t="shared" si="143"/>
        <v>1.0682447123141398E-12</v>
      </c>
      <c r="AL152" s="22">
        <f t="shared" si="112"/>
        <v>1.978932943548152E-12</v>
      </c>
      <c r="AM152" s="62">
        <f t="shared" si="113"/>
        <v>283.65924012866168</v>
      </c>
      <c r="AN152" s="62">
        <f ca="1">AVERAGE(OFFSET($AM$3,0,0,'Données projet'!$E$10+1,1))-AVERAGE(OFFSET($H$3,0,0,'Données projet'!$E$10+1,1))</f>
        <v>197.85998851681552</v>
      </c>
      <c r="AO152" s="62">
        <f t="shared" si="144"/>
        <v>474.54844785896239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5.0511642321660313</v>
      </c>
      <c r="AV152" s="23">
        <f>EXP(-LN(2)/25)*AV151+(1-EXP(-LN(2)/25))/(LN(2)/25)*Calculateur!AQ152*Calculateur!AS152*VLOOKUP('Données projet'!$B$10,Paramètres!$A$1:$I$89,3,0)*0.475*44/12</f>
        <v>1.6219758643582318</v>
      </c>
      <c r="AW152" s="23">
        <f>EXP(-LN(2)/2)*AW151+(1-EXP(-LN(2)/2))/(LN(2)/2)*AQ152*AT152*VLOOKUP('Données projet'!$B$10,Paramètres!$A$1:$I$89,3,0)*0.475*44/12</f>
        <v>5.3441267432969132E-17</v>
      </c>
      <c r="AX152" s="23">
        <f t="shared" si="114"/>
        <v>6.6731400965242633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1.1368683772161603E-13</v>
      </c>
      <c r="BE152" s="14">
        <f>BD152*VLOOKUP('Données projet'!$B$11,Paramètres!$A$1:$I$89,3,0)*VLOOKUP('Données projet'!$B$11,Paramètres!$A$1:$I$89,5,0)</f>
        <v>6.7984728957526396E-14</v>
      </c>
      <c r="BF152" s="14">
        <f t="shared" si="145"/>
        <v>1.0682447123141398E-12</v>
      </c>
      <c r="BG152" s="22">
        <f t="shared" si="115"/>
        <v>1.978932943548152E-12</v>
      </c>
      <c r="BH152" s="62">
        <f t="shared" si="116"/>
        <v>283.65924012866168</v>
      </c>
      <c r="BI152" s="62">
        <f ca="1">AVERAGE(OFFSET($BH$3,0,0,'Données projet'!$E$11+1,1))-AVERAGE(OFFSET($H$3,0,0,'Données projet'!$E$11+1,1))</f>
        <v>197.85998851681552</v>
      </c>
      <c r="BJ152" s="62">
        <f t="shared" si="146"/>
        <v>474.54844785896239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5.0511642321660313</v>
      </c>
      <c r="BQ152" s="23">
        <f>EXP(-LN(2)/25)*BQ151+(1-EXP(-LN(2)/25))/(LN(2)/25)*Calculateur!BL152*Calculateur!BN152*VLOOKUP('Données projet'!$B$11,Paramètres!$A$1:$I$89,3,0)*0.475*44/12</f>
        <v>1.6219758643582318</v>
      </c>
      <c r="BR152" s="23">
        <f>EXP(-LN(2)/2)*BR151+(1-EXP(-LN(2)/2))/(LN(2)/2)*BL152*BO152*VLOOKUP('Données projet'!$B$11,Paramètres!$A$1:$I$89,3,0)*0.475*44/12</f>
        <v>5.3441267432969132E-17</v>
      </c>
      <c r="BS152" s="24">
        <f t="shared" si="117"/>
        <v>6.6731400965242633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>
        <f>BY152*VLOOKUP('Données projet'!$B$12,Paramètres!$A$1:$I$89,3,0)*VLOOKUP('Données projet'!$B$12,Paramètres!$A$1:$I$89,5,0)</f>
        <v>0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72.97248599808384</v>
      </c>
      <c r="CE152" s="62">
        <f t="shared" si="148"/>
        <v>346.88163654003574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5.5057284725421498</v>
      </c>
      <c r="CL152" s="23">
        <f>EXP(-LN(2)/25)*CL151+(1-EXP(-LN(2)/25))/(LN(2)/25)*Calculateur!CG152*Calculateur!CI152*VLOOKUP('Données projet'!$B$12,Paramètres!$A$1:$I$89,3,0)*0.475*44/12</f>
        <v>0.48185479969764539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5.987583272239795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>
        <f>CT152*VLOOKUP('Données projet'!$B$13,Paramètres!$A$1:$I$89,3,0)*VLOOKUP('Données projet'!$B$13,Paramètres!$A$1:$I$89,5,0)</f>
        <v>0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67.303283896086128</v>
      </c>
      <c r="CZ152" s="62">
        <f t="shared" si="150"/>
        <v>318.97925671653547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4.9996308692165545</v>
      </c>
      <c r="DG152" s="23">
        <f>EXP(-LN(2)/25)*DG151+(1-EXP(-LN(2)/25))/(LN(2)/25)*Calculateur!DB152*Calculateur!DD152*VLOOKUP('Données projet'!$B$13,Paramètres!$A$1:$I$89,3,0)*0.475*44/12</f>
        <v>0.43756174011540966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5.437192609331964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>
        <f>DO152*VLOOKUP('Données projet'!$B$14,Paramètres!$A$1:$I$89,3,0)*VLOOKUP('Données projet'!$B$14,Paramètres!$A$1:$I$89,5,0)</f>
        <v>0</v>
      </c>
      <c r="DQ152" s="14" t="e">
        <f t="shared" si="151"/>
        <v>#NUM!</v>
      </c>
      <c r="DR152" s="22" t="e">
        <f t="shared" si="124"/>
        <v>#NUM!</v>
      </c>
      <c r="DS152" s="62" t="e">
        <f t="shared" si="125"/>
        <v>#NUM!</v>
      </c>
      <c r="DT152" s="62">
        <f ca="1">AVERAGE(OFFSET($DS$3,0,0,'Données projet'!$E$14+1,1))-AVERAGE(OFFSET($H$3,0,0,'Données projet'!$E$14+1,1))</f>
        <v>75.244137291704476</v>
      </c>
      <c r="DU152" s="62">
        <f t="shared" si="152"/>
        <v>366.065475656937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5.854280540948209</v>
      </c>
      <c r="EB152" s="23">
        <f>EXP(-LN(2)/25)*EB151+(1-EXP(-LN(2)/25))/(LN(2)/25)*Calculateur!DW152*Calculateur!DY152*VLOOKUP('Données projet'!$B$14,Paramètres!$A$1:$I$89,3,0)*0.475*44/12</f>
        <v>0.51235966166888103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6.3666402026170896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1.1368683772161603E-13</v>
      </c>
      <c r="EK152" s="18">
        <f>EJ152*VLOOKUP('Données projet'!$B$15,Paramètres!$A$1:$I$89,3,0)*VLOOKUP('Données projet'!$B$15,Paramètres!$A$1:$I$89,5,0)</f>
        <v>1.0995790944434703E-13</v>
      </c>
      <c r="EL152" s="14">
        <f t="shared" si="153"/>
        <v>1.6337280948049956E-12</v>
      </c>
      <c r="EM152" s="22">
        <f t="shared" si="127"/>
        <v>3.036919790734272E-12</v>
      </c>
      <c r="EN152" s="62">
        <f t="shared" si="128"/>
        <v>283.6592401286627</v>
      </c>
      <c r="EO152" s="62">
        <f ca="1">AVERAGE(OFFSET($EN$3,0,0,'Données projet'!$E$15+1,1))-AVERAGE(OFFSET($H$3,0,0,'Données projet'!$E$15+1,1))</f>
        <v>452.74627739105745</v>
      </c>
      <c r="EP152" s="62">
        <f t="shared" si="154"/>
        <v>281.80695725575106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1.1368683772161603E-13</v>
      </c>
      <c r="FF152" s="18">
        <f>FE152*VLOOKUP('Données projet'!$B$16,Paramètres!$A$1:$I$89,3,0)*VLOOKUP('Données projet'!$B$16,Paramètres!$A$1:$I$89,5,0)</f>
        <v>1.223725121235475E-13</v>
      </c>
      <c r="FG152" s="14">
        <f t="shared" si="155"/>
        <v>1.7956824466038182E-12</v>
      </c>
      <c r="FH152" s="22">
        <f t="shared" si="130"/>
        <v>3.3406123864501612E-12</v>
      </c>
      <c r="FI152" s="62">
        <f t="shared" si="131"/>
        <v>283.65924012866304</v>
      </c>
      <c r="FJ152" s="62">
        <f ca="1">AVERAGE(OFFSET($FI$3,0,0,'Données projet'!$E$16+1,1))-AVERAGE(OFFSET($H$3,0,0,'Données projet'!$E$16+1,1))</f>
        <v>492.72391755143508</v>
      </c>
      <c r="FK152" s="62">
        <f t="shared" si="156"/>
        <v>304.88554179994355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67.361610944179915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143.77000000000001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-5.6843418860808015E-14</v>
      </c>
      <c r="O153" s="14">
        <f>N153*VLOOKUP('Données projet'!$B$9,Paramètres!$A$1:$I$89,3,0)*VLOOKUP('Données projet'!$B$9,Paramètres!$A$1:$I$89,5,0)</f>
        <v>-5.1431925385259088E-14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388.8309693898596</v>
      </c>
      <c r="T153" s="62">
        <f t="shared" si="142"/>
        <v>549.06702041234382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0.9830637966114818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0.9830637966114818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6.7984728957526396E-14</v>
      </c>
      <c r="AK153" s="14">
        <f t="shared" si="143"/>
        <v>1.0682447123141398E-12</v>
      </c>
      <c r="AL153" s="22">
        <f t="shared" si="112"/>
        <v>1.978932943548152E-12</v>
      </c>
      <c r="AM153" s="62">
        <f t="shared" si="113"/>
        <v>283.82706401773055</v>
      </c>
      <c r="AN153" s="62">
        <f ca="1">AVERAGE(OFFSET($AM$3,0,0,'Données projet'!$E$10+1,1))-AVERAGE(OFFSET($H$3,0,0,'Données projet'!$E$10+1,1))</f>
        <v>197.85998851681552</v>
      </c>
      <c r="AO153" s="62">
        <f t="shared" si="144"/>
        <v>474.54844785896239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4.9521139824792231</v>
      </c>
      <c r="AV153" s="23">
        <f>EXP(-LN(2)/25)*AV152+(1-EXP(-LN(2)/25))/(LN(2)/25)*Calculateur!AQ153*Calculateur!AS153*VLOOKUP('Données projet'!$B$10,Paramètres!$A$1:$I$89,3,0)*0.475*44/12</f>
        <v>1.5776228490513524</v>
      </c>
      <c r="AW153" s="23">
        <f>EXP(-LN(2)/2)*AW152+(1-EXP(-LN(2)/2))/(LN(2)/2)*AQ153*AT153*VLOOKUP('Données projet'!$B$10,Paramètres!$A$1:$I$89,3,0)*0.475*44/12</f>
        <v>3.7788682597056272E-17</v>
      </c>
      <c r="AX153" s="23">
        <f t="shared" si="114"/>
        <v>6.5297368315305757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1.1368683772161603E-13</v>
      </c>
      <c r="BE153" s="14">
        <f>BD153*VLOOKUP('Données projet'!$B$11,Paramètres!$A$1:$I$89,3,0)*VLOOKUP('Données projet'!$B$11,Paramètres!$A$1:$I$89,5,0)</f>
        <v>6.7984728957526396E-14</v>
      </c>
      <c r="BF153" s="14">
        <f t="shared" si="145"/>
        <v>1.0682447123141398E-12</v>
      </c>
      <c r="BG153" s="22">
        <f t="shared" si="115"/>
        <v>1.978932943548152E-12</v>
      </c>
      <c r="BH153" s="62">
        <f t="shared" si="116"/>
        <v>283.82706401773055</v>
      </c>
      <c r="BI153" s="62">
        <f ca="1">AVERAGE(OFFSET($BH$3,0,0,'Données projet'!$E$11+1,1))-AVERAGE(OFFSET($H$3,0,0,'Données projet'!$E$11+1,1))</f>
        <v>197.85998851681552</v>
      </c>
      <c r="BJ153" s="62">
        <f t="shared" si="146"/>
        <v>474.54844785896239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4.9521139824792231</v>
      </c>
      <c r="BQ153" s="23">
        <f>EXP(-LN(2)/25)*BQ152+(1-EXP(-LN(2)/25))/(LN(2)/25)*Calculateur!BL153*Calculateur!BN153*VLOOKUP('Données projet'!$B$11,Paramètres!$A$1:$I$89,3,0)*0.475*44/12</f>
        <v>1.5776228490513524</v>
      </c>
      <c r="BR153" s="23">
        <f>EXP(-LN(2)/2)*BR152+(1-EXP(-LN(2)/2))/(LN(2)/2)*BL153*BO153*VLOOKUP('Données projet'!$B$11,Paramètres!$A$1:$I$89,3,0)*0.475*44/12</f>
        <v>3.7788682597056272E-17</v>
      </c>
      <c r="BS153" s="24">
        <f t="shared" si="117"/>
        <v>6.5297368315305757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>
        <f>BY153*VLOOKUP('Données projet'!$B$12,Paramètres!$A$1:$I$89,3,0)*VLOOKUP('Données projet'!$B$12,Paramètres!$A$1:$I$89,5,0)</f>
        <v>0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72.97248599808384</v>
      </c>
      <c r="CE153" s="62">
        <f t="shared" si="148"/>
        <v>346.88163654003574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5.3977644953583752</v>
      </c>
      <c r="CL153" s="23">
        <f>EXP(-LN(2)/25)*CL152+(1-EXP(-LN(2)/25))/(LN(2)/25)*Calculateur!CG153*Calculateur!CI153*VLOOKUP('Données projet'!$B$12,Paramètres!$A$1:$I$89,3,0)*0.475*44/12</f>
        <v>0.46867845486027065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5.8664429502186461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>
        <f>CT153*VLOOKUP('Données projet'!$B$13,Paramètres!$A$1:$I$89,3,0)*VLOOKUP('Données projet'!$B$13,Paramètres!$A$1:$I$89,5,0)</f>
        <v>0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67.303283896086128</v>
      </c>
      <c r="CZ153" s="62">
        <f t="shared" si="150"/>
        <v>318.97925671653547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4.9015911573449378</v>
      </c>
      <c r="DG153" s="23">
        <f>EXP(-LN(2)/25)*DG152+(1-EXP(-LN(2)/25))/(LN(2)/25)*Calculateur!DB153*Calculateur!DD153*VLOOKUP('Données projet'!$B$13,Paramètres!$A$1:$I$89,3,0)*0.475*44/12</f>
        <v>0.42559659132158195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5.3271877486665193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>
        <f>DO153*VLOOKUP('Données projet'!$B$14,Paramètres!$A$1:$I$89,3,0)*VLOOKUP('Données projet'!$B$14,Paramètres!$A$1:$I$89,5,0)</f>
        <v>0</v>
      </c>
      <c r="DQ153" s="14" t="e">
        <f t="shared" si="151"/>
        <v>#NUM!</v>
      </c>
      <c r="DR153" s="22" t="e">
        <f t="shared" si="124"/>
        <v>#NUM!</v>
      </c>
      <c r="DS153" s="62" t="e">
        <f t="shared" si="125"/>
        <v>#NUM!</v>
      </c>
      <c r="DT153" s="62">
        <f ca="1">AVERAGE(OFFSET($DS$3,0,0,'Données projet'!$E$14+1,1))-AVERAGE(OFFSET($H$3,0,0,'Données projet'!$E$14+1,1))</f>
        <v>75.244137291704476</v>
      </c>
      <c r="DU153" s="62">
        <f t="shared" si="152"/>
        <v>366.065475656937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5.7394816702987619</v>
      </c>
      <c r="EB153" s="23">
        <f>EXP(-LN(2)/25)*EB152+(1-EXP(-LN(2)/25))/(LN(2)/25)*Calculateur!DW153*Calculateur!DY153*VLOOKUP('Données projet'!$B$14,Paramètres!$A$1:$I$89,3,0)*0.475*44/12</f>
        <v>0.4983491597767219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6.2378308300754837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1.1368683772161603E-13</v>
      </c>
      <c r="EK153" s="18">
        <f>EJ153*VLOOKUP('Données projet'!$B$15,Paramètres!$A$1:$I$89,3,0)*VLOOKUP('Données projet'!$B$15,Paramètres!$A$1:$I$89,5,0)</f>
        <v>1.0995790944434703E-13</v>
      </c>
      <c r="EL153" s="14">
        <f t="shared" si="153"/>
        <v>1.6337280948049956E-12</v>
      </c>
      <c r="EM153" s="22">
        <f t="shared" si="127"/>
        <v>3.036919790734272E-12</v>
      </c>
      <c r="EN153" s="62">
        <f t="shared" si="128"/>
        <v>283.82706401773157</v>
      </c>
      <c r="EO153" s="62">
        <f ca="1">AVERAGE(OFFSET($EN$3,0,0,'Données projet'!$E$15+1,1))-AVERAGE(OFFSET($H$3,0,0,'Données projet'!$E$15+1,1))</f>
        <v>452.74627739105745</v>
      </c>
      <c r="EP153" s="62">
        <f t="shared" si="154"/>
        <v>281.80695725575106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1.1368683772161603E-13</v>
      </c>
      <c r="FF153" s="18">
        <f>FE153*VLOOKUP('Données projet'!$B$16,Paramètres!$A$1:$I$89,3,0)*VLOOKUP('Données projet'!$B$16,Paramètres!$A$1:$I$89,5,0)</f>
        <v>1.223725121235475E-13</v>
      </c>
      <c r="FG153" s="14">
        <f t="shared" si="155"/>
        <v>1.7956824466038182E-12</v>
      </c>
      <c r="FH153" s="22">
        <f t="shared" si="130"/>
        <v>3.3406123864501612E-12</v>
      </c>
      <c r="FI153" s="62">
        <f t="shared" si="131"/>
        <v>283.82706401773191</v>
      </c>
      <c r="FJ153" s="62">
        <f ca="1">AVERAGE(OFFSET($FI$3,0,0,'Données projet'!$E$16+1,1))-AVERAGE(OFFSET($H$3,0,0,'Données projet'!$E$16+1,1))</f>
        <v>492.72391755143508</v>
      </c>
      <c r="FK153" s="62">
        <f t="shared" si="156"/>
        <v>304.88554179994355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67.407381095744142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143.77000000000001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-5.6843418860808015E-14</v>
      </c>
      <c r="O154" s="14">
        <f>N154*VLOOKUP('Données projet'!$B$9,Paramètres!$A$1:$I$89,3,0)*VLOOKUP('Données projet'!$B$9,Paramètres!$A$1:$I$89,5,0)</f>
        <v>-5.1431925385259088E-14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388.8309693898596</v>
      </c>
      <c r="T154" s="62">
        <f t="shared" si="142"/>
        <v>549.06702041234382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0.96378651516963998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0.96378651516963998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6.7984728957526396E-14</v>
      </c>
      <c r="AK154" s="14">
        <f t="shared" ref="AK154:AK203" si="164">EXP(-1.0587+0.8836*LN(AJ154)+0.284)</f>
        <v>1.0682447123141398E-12</v>
      </c>
      <c r="AL154" s="22">
        <f t="shared" ref="AL154:AL203" si="165">(AJ154+AK154)*0.475*44/12</f>
        <v>1.978932943548152E-12</v>
      </c>
      <c r="AM154" s="62">
        <f t="shared" si="113"/>
        <v>283.99197653752196</v>
      </c>
      <c r="AN154" s="62">
        <f ca="1">AVERAGE(OFFSET($AM$3,0,0,'Données projet'!$E$10+1,1))-AVERAGE(OFFSET($H$3,0,0,'Données projet'!$E$10+1,1))</f>
        <v>197.85998851681552</v>
      </c>
      <c r="AO154" s="62">
        <f t="shared" si="144"/>
        <v>474.54844785896239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4.8550060477740864</v>
      </c>
      <c r="AV154" s="23">
        <f>EXP(-LN(2)/25)*AV153+(1-EXP(-LN(2)/25))/(LN(2)/25)*Calculateur!AQ154*Calculateur!AS154*VLOOKUP('Données projet'!$B$10,Paramètres!$A$1:$I$89,3,0)*0.475*44/12</f>
        <v>1.5344826692804632</v>
      </c>
      <c r="AW154" s="23">
        <f>EXP(-LN(2)/2)*AW153+(1-EXP(-LN(2)/2))/(LN(2)/2)*AQ154*AT154*VLOOKUP('Données projet'!$B$10,Paramètres!$A$1:$I$89,3,0)*0.475*44/12</f>
        <v>2.6720633716484566E-17</v>
      </c>
      <c r="AX154" s="23">
        <f t="shared" ref="AX154:AX203" si="166">SUM(AU154:AW154)</f>
        <v>6.3894887170545491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1.1368683772161603E-13</v>
      </c>
      <c r="BE154" s="14">
        <f>BD154*VLOOKUP('Données projet'!$B$11,Paramètres!$A$1:$I$89,3,0)*VLOOKUP('Données projet'!$B$11,Paramètres!$A$1:$I$89,5,0)</f>
        <v>6.7984728957526396E-14</v>
      </c>
      <c r="BF154" s="14">
        <f t="shared" ref="BF154:BF203" si="167">EXP(-1.0587+0.8836*LN(BE154)+0.284)</f>
        <v>1.0682447123141398E-12</v>
      </c>
      <c r="BG154" s="22">
        <f t="shared" ref="BG154:BG203" si="168">(BE154+BF154)*0.475*44/12</f>
        <v>1.978932943548152E-12</v>
      </c>
      <c r="BH154" s="62">
        <f t="shared" si="116"/>
        <v>283.99197653752196</v>
      </c>
      <c r="BI154" s="62">
        <f ca="1">AVERAGE(OFFSET($BH$3,0,0,'Données projet'!$E$11+1,1))-AVERAGE(OFFSET($H$3,0,0,'Données projet'!$E$11+1,1))</f>
        <v>197.85998851681552</v>
      </c>
      <c r="BJ154" s="62">
        <f t="shared" si="146"/>
        <v>474.54844785896239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4.8550060477740864</v>
      </c>
      <c r="BQ154" s="23">
        <f>EXP(-LN(2)/25)*BQ153+(1-EXP(-LN(2)/25))/(LN(2)/25)*Calculateur!BL154*Calculateur!BN154*VLOOKUP('Données projet'!$B$11,Paramètres!$A$1:$I$89,3,0)*0.475*44/12</f>
        <v>1.5344826692804632</v>
      </c>
      <c r="BR154" s="23">
        <f>EXP(-LN(2)/2)*BR153+(1-EXP(-LN(2)/2))/(LN(2)/2)*BL154*BO154*VLOOKUP('Données projet'!$B$11,Paramètres!$A$1:$I$89,3,0)*0.475*44/12</f>
        <v>2.6720633716484566E-17</v>
      </c>
      <c r="BS154" s="24">
        <f t="shared" ref="BS154:BS203" si="169">SUM(BP154:BR154)</f>
        <v>6.3894887170545491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>
        <f>BY154*VLOOKUP('Données projet'!$B$12,Paramètres!$A$1:$I$89,3,0)*VLOOKUP('Données projet'!$B$12,Paramètres!$A$1:$I$89,5,0)</f>
        <v>0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72.97248599808384</v>
      </c>
      <c r="CE154" s="62">
        <f t="shared" si="148"/>
        <v>346.88163654003574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5.2919176259156506</v>
      </c>
      <c r="CL154" s="23">
        <f>EXP(-LN(2)/25)*CL153+(1-EXP(-LN(2)/25))/(LN(2)/25)*Calculateur!CG154*Calculateur!CI154*VLOOKUP('Données projet'!$B$12,Paramètres!$A$1:$I$89,3,0)*0.475*44/12</f>
        <v>0.45586241786538778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5.747780043781038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>
        <f>CT154*VLOOKUP('Données projet'!$B$13,Paramètres!$A$1:$I$89,3,0)*VLOOKUP('Données projet'!$B$13,Paramètres!$A$1:$I$89,5,0)</f>
        <v>0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67.303283896086128</v>
      </c>
      <c r="CZ154" s="62">
        <f t="shared" si="150"/>
        <v>318.97925671653547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4.8054739444248034</v>
      </c>
      <c r="DG154" s="23">
        <f>EXP(-LN(2)/25)*DG153+(1-EXP(-LN(2)/25))/(LN(2)/25)*Calculateur!DB154*Calculateur!DD154*VLOOKUP('Données projet'!$B$13,Paramètres!$A$1:$I$89,3,0)*0.475*44/12</f>
        <v>0.41395863015074125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5.2194325745755448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>
        <f>DO154*VLOOKUP('Données projet'!$B$14,Paramètres!$A$1:$I$89,3,0)*VLOOKUP('Données projet'!$B$14,Paramètres!$A$1:$I$89,5,0)</f>
        <v>0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2" t="e">
        <f t="shared" si="125"/>
        <v>#NUM!</v>
      </c>
      <c r="DT154" s="62">
        <f ca="1">AVERAGE(OFFSET($DS$3,0,0,'Données projet'!$E$14+1,1))-AVERAGE(OFFSET($H$3,0,0,'Données projet'!$E$14+1,1))</f>
        <v>75.244137291704476</v>
      </c>
      <c r="DU154" s="62">
        <f t="shared" si="152"/>
        <v>366.065475656937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5.6269339354823531</v>
      </c>
      <c r="EB154" s="23">
        <f>EXP(-LN(2)/25)*EB153+(1-EXP(-LN(2)/25))/(LN(2)/25)*Calculateur!DW154*Calculateur!DY154*VLOOKUP('Données projet'!$B$14,Paramètres!$A$1:$I$89,3,0)*0.475*44/12</f>
        <v>0.48472177579558412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6.1116557112779368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1.1368683772161603E-13</v>
      </c>
      <c r="EK154" s="18">
        <f>EJ154*VLOOKUP('Données projet'!$B$15,Paramètres!$A$1:$I$89,3,0)*VLOOKUP('Données projet'!$B$15,Paramètres!$A$1:$I$89,5,0)</f>
        <v>1.0995790944434703E-13</v>
      </c>
      <c r="EL154" s="14">
        <f t="shared" ref="EL154:EL203" si="179">EXP(-1.0587+0.8836*LN(EK154)+0.284)</f>
        <v>1.6337280948049956E-12</v>
      </c>
      <c r="EM154" s="22">
        <f t="shared" ref="EM154:EM203" si="180">(EK154+EL154)*0.475*44/12</f>
        <v>3.036919790734272E-12</v>
      </c>
      <c r="EN154" s="62">
        <f t="shared" si="128"/>
        <v>283.99197653752299</v>
      </c>
      <c r="EO154" s="62">
        <f ca="1">AVERAGE(OFFSET($EN$3,0,0,'Données projet'!$E$15+1,1))-AVERAGE(OFFSET($H$3,0,0,'Données projet'!$E$15+1,1))</f>
        <v>452.74627739105745</v>
      </c>
      <c r="EP154" s="62">
        <f t="shared" si="154"/>
        <v>281.80695725575106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1.1368683772161603E-13</v>
      </c>
      <c r="FF154" s="18">
        <f>FE154*VLOOKUP('Données projet'!$B$16,Paramètres!$A$1:$I$89,3,0)*VLOOKUP('Données projet'!$B$16,Paramètres!$A$1:$I$89,5,0)</f>
        <v>1.223725121235475E-13</v>
      </c>
      <c r="FG154" s="14">
        <f t="shared" ref="FG154:FG203" si="182">EXP(-1.0587+0.8836*LN(FF154)+0.284)</f>
        <v>1.7956824466038182E-12</v>
      </c>
      <c r="FH154" s="22">
        <f t="shared" ref="FH154:FH203" si="183">(FF154+FG154)*0.475*44/12</f>
        <v>3.3406123864501612E-12</v>
      </c>
      <c r="FI154" s="62">
        <f t="shared" si="131"/>
        <v>283.99197653752333</v>
      </c>
      <c r="FJ154" s="62">
        <f ca="1">AVERAGE(OFFSET($FI$3,0,0,'Données projet'!$E$16+1,1))-AVERAGE(OFFSET($H$3,0,0,'Données projet'!$E$16+1,1))</f>
        <v>492.72391755143508</v>
      </c>
      <c r="FK154" s="62">
        <f t="shared" si="156"/>
        <v>304.88554179994355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67.452357237505453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143.77000000000001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-5.6843418860808015E-14</v>
      </c>
      <c r="O155" s="14">
        <f>N155*VLOOKUP('Données projet'!$B$9,Paramètres!$A$1:$I$89,3,0)*VLOOKUP('Données projet'!$B$9,Paramètres!$A$1:$I$89,5,0)</f>
        <v>-5.1431925385259088E-14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388.8309693898596</v>
      </c>
      <c r="T155" s="62">
        <f t="shared" si="142"/>
        <v>549.06702041234382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0.94488724945889202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0.94488724945889202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6.7984728957526396E-14</v>
      </c>
      <c r="AK155" s="14">
        <f t="shared" si="164"/>
        <v>1.0682447123141398E-12</v>
      </c>
      <c r="AL155" s="22">
        <f t="shared" si="165"/>
        <v>1.978932943548152E-12</v>
      </c>
      <c r="AM155" s="62">
        <f t="shared" si="113"/>
        <v>284.1540281937842</v>
      </c>
      <c r="AN155" s="62">
        <f ca="1">AVERAGE(OFFSET($AM$3,0,0,'Données projet'!$E$10+1,1))-AVERAGE(OFFSET($H$3,0,0,'Données projet'!$E$10+1,1))</f>
        <v>197.85998851681552</v>
      </c>
      <c r="AO155" s="62">
        <f t="shared" si="144"/>
        <v>474.54844785896239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4.759802340438525</v>
      </c>
      <c r="AV155" s="23">
        <f>EXP(-LN(2)/25)*AV154+(1-EXP(-LN(2)/25))/(LN(2)/25)*Calculateur!AQ155*Calculateur!AS155*VLOOKUP('Données projet'!$B$10,Paramètres!$A$1:$I$89,3,0)*0.475*44/12</f>
        <v>1.4925221599940524</v>
      </c>
      <c r="AW155" s="23">
        <f>EXP(-LN(2)/2)*AW154+(1-EXP(-LN(2)/2))/(LN(2)/2)*AQ155*AT155*VLOOKUP('Données projet'!$B$10,Paramètres!$A$1:$I$89,3,0)*0.475*44/12</f>
        <v>1.8894341298528136E-17</v>
      </c>
      <c r="AX155" s="23">
        <f t="shared" si="166"/>
        <v>6.2523245004325769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1.1368683772161603E-13</v>
      </c>
      <c r="BE155" s="14">
        <f>BD155*VLOOKUP('Données projet'!$B$11,Paramètres!$A$1:$I$89,3,0)*VLOOKUP('Données projet'!$B$11,Paramètres!$A$1:$I$89,5,0)</f>
        <v>6.7984728957526396E-14</v>
      </c>
      <c r="BF155" s="14">
        <f t="shared" si="167"/>
        <v>1.0682447123141398E-12</v>
      </c>
      <c r="BG155" s="22">
        <f t="shared" si="168"/>
        <v>1.978932943548152E-12</v>
      </c>
      <c r="BH155" s="62">
        <f t="shared" si="116"/>
        <v>284.1540281937842</v>
      </c>
      <c r="BI155" s="62">
        <f ca="1">AVERAGE(OFFSET($BH$3,0,0,'Données projet'!$E$11+1,1))-AVERAGE(OFFSET($H$3,0,0,'Données projet'!$E$11+1,1))</f>
        <v>197.85998851681552</v>
      </c>
      <c r="BJ155" s="62">
        <f t="shared" si="146"/>
        <v>474.54844785896239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4.759802340438525</v>
      </c>
      <c r="BQ155" s="23">
        <f>EXP(-LN(2)/25)*BQ154+(1-EXP(-LN(2)/25))/(LN(2)/25)*Calculateur!BL155*Calculateur!BN155*VLOOKUP('Données projet'!$B$11,Paramètres!$A$1:$I$89,3,0)*0.475*44/12</f>
        <v>1.4925221599940524</v>
      </c>
      <c r="BR155" s="23">
        <f>EXP(-LN(2)/2)*BR154+(1-EXP(-LN(2)/2))/(LN(2)/2)*BL155*BO155*VLOOKUP('Données projet'!$B$11,Paramètres!$A$1:$I$89,3,0)*0.475*44/12</f>
        <v>1.8894341298528136E-17</v>
      </c>
      <c r="BS155" s="24">
        <f t="shared" si="169"/>
        <v>6.2523245004325769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>
        <f>BY155*VLOOKUP('Données projet'!$B$12,Paramètres!$A$1:$I$89,3,0)*VLOOKUP('Données projet'!$B$12,Paramètres!$A$1:$I$89,5,0)</f>
        <v>0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72.97248599808384</v>
      </c>
      <c r="CE155" s="62">
        <f t="shared" si="148"/>
        <v>346.88163654003574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5.1881463490224826</v>
      </c>
      <c r="CL155" s="23">
        <f>EXP(-LN(2)/25)*CL154+(1-EXP(-LN(2)/25))/(LN(2)/25)*Calculateur!CG155*Calculateur!CI155*VLOOKUP('Données projet'!$B$12,Paramètres!$A$1:$I$89,3,0)*0.475*44/12</f>
        <v>0.44339683607609609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5.6315431850985789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>
        <f>CT155*VLOOKUP('Données projet'!$B$13,Paramètres!$A$1:$I$89,3,0)*VLOOKUP('Données projet'!$B$13,Paramètres!$A$1:$I$89,5,0)</f>
        <v>0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67.303283896086128</v>
      </c>
      <c r="CZ155" s="62">
        <f t="shared" si="150"/>
        <v>318.97925671653547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4.7112415314243217</v>
      </c>
      <c r="DG155" s="23">
        <f>EXP(-LN(2)/25)*DG154+(1-EXP(-LN(2)/25))/(LN(2)/25)*Calculateur!DB155*Calculateur!DD155*VLOOKUP('Données projet'!$B$13,Paramètres!$A$1:$I$89,3,0)*0.475*44/12</f>
        <v>0.40263890964013099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5.1138804410644525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>
        <f>DO155*VLOOKUP('Données projet'!$B$14,Paramètres!$A$1:$I$89,3,0)*VLOOKUP('Données projet'!$B$14,Paramètres!$A$1:$I$89,5,0)</f>
        <v>0</v>
      </c>
      <c r="DQ155" s="14" t="e">
        <f t="shared" si="176"/>
        <v>#NUM!</v>
      </c>
      <c r="DR155" s="22" t="e">
        <f t="shared" si="177"/>
        <v>#NUM!</v>
      </c>
      <c r="DS155" s="62" t="e">
        <f t="shared" si="125"/>
        <v>#NUM!</v>
      </c>
      <c r="DT155" s="62">
        <f ca="1">AVERAGE(OFFSET($DS$3,0,0,'Données projet'!$E$14+1,1))-AVERAGE(OFFSET($H$3,0,0,'Données projet'!$E$14+1,1))</f>
        <v>75.244137291704476</v>
      </c>
      <c r="DU155" s="62">
        <f t="shared" si="152"/>
        <v>366.065475656937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5.5165931930983536</v>
      </c>
      <c r="EB155" s="23">
        <f>EXP(-LN(2)/25)*EB154+(1-EXP(-LN(2)/25))/(LN(2)/25)*Calculateur!DW155*Calculateur!DY155*VLOOKUP('Données projet'!$B$14,Paramètres!$A$1:$I$89,3,0)*0.475*44/12</f>
        <v>0.47146703334604351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5.9880602264443974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1.1368683772161603E-13</v>
      </c>
      <c r="EK155" s="18">
        <f>EJ155*VLOOKUP('Données projet'!$B$15,Paramètres!$A$1:$I$89,3,0)*VLOOKUP('Données projet'!$B$15,Paramètres!$A$1:$I$89,5,0)</f>
        <v>1.0995790944434703E-13</v>
      </c>
      <c r="EL155" s="14">
        <f t="shared" si="179"/>
        <v>1.6337280948049956E-12</v>
      </c>
      <c r="EM155" s="22">
        <f t="shared" si="180"/>
        <v>3.036919790734272E-12</v>
      </c>
      <c r="EN155" s="62">
        <f t="shared" si="128"/>
        <v>284.15402819378522</v>
      </c>
      <c r="EO155" s="62">
        <f ca="1">AVERAGE(OFFSET($EN$3,0,0,'Données projet'!$E$15+1,1))-AVERAGE(OFFSET($H$3,0,0,'Données projet'!$E$15+1,1))</f>
        <v>452.74627739105745</v>
      </c>
      <c r="EP155" s="62">
        <f t="shared" si="154"/>
        <v>281.80695725575106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1.1368683772161603E-13</v>
      </c>
      <c r="FF155" s="18">
        <f>FE155*VLOOKUP('Données projet'!$B$16,Paramètres!$A$1:$I$89,3,0)*VLOOKUP('Données projet'!$B$16,Paramètres!$A$1:$I$89,5,0)</f>
        <v>1.223725121235475E-13</v>
      </c>
      <c r="FG155" s="14">
        <f t="shared" si="182"/>
        <v>1.7956824466038182E-12</v>
      </c>
      <c r="FH155" s="22">
        <f t="shared" si="183"/>
        <v>3.3406123864501612E-12</v>
      </c>
      <c r="FI155" s="62">
        <f t="shared" si="131"/>
        <v>284.15402819378556</v>
      </c>
      <c r="FJ155" s="62">
        <f ca="1">AVERAGE(OFFSET($FI$3,0,0,'Données projet'!$E$16+1,1))-AVERAGE(OFFSET($H$3,0,0,'Données projet'!$E$16+1,1))</f>
        <v>492.72391755143508</v>
      </c>
      <c r="FK155" s="62">
        <f t="shared" si="156"/>
        <v>304.88554179994355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67.496553143758788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143.77000000000001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-5.6843418860808015E-14</v>
      </c>
      <c r="O156" s="14">
        <f>N156*VLOOKUP('Données projet'!$B$9,Paramètres!$A$1:$I$89,3,0)*VLOOKUP('Données projet'!$B$9,Paramètres!$A$1:$I$89,5,0)</f>
        <v>-5.1431925385259088E-14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388.8309693898596</v>
      </c>
      <c r="T156" s="62">
        <f t="shared" si="142"/>
        <v>549.06702041234382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0.926358586821318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0.926358586821318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6.7984728957526396E-14</v>
      </c>
      <c r="AK156" s="14">
        <f t="shared" si="164"/>
        <v>1.0682447123141398E-12</v>
      </c>
      <c r="AL156" s="22">
        <f t="shared" si="165"/>
        <v>1.978932943548152E-12</v>
      </c>
      <c r="AM156" s="62">
        <f t="shared" si="113"/>
        <v>284.31326861610353</v>
      </c>
      <c r="AN156" s="62">
        <f ca="1">AVERAGE(OFFSET($AM$3,0,0,'Données projet'!$E$10+1,1))-AVERAGE(OFFSET($H$3,0,0,'Données projet'!$E$10+1,1))</f>
        <v>197.85998851681552</v>
      </c>
      <c r="AO156" s="62">
        <f t="shared" si="144"/>
        <v>474.54844785896239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4.6664655197352864</v>
      </c>
      <c r="AV156" s="23">
        <f>EXP(-LN(2)/25)*AV155+(1-EXP(-LN(2)/25))/(LN(2)/25)*Calculateur!AQ156*Calculateur!AS156*VLOOKUP('Données projet'!$B$10,Paramètres!$A$1:$I$89,3,0)*0.475*44/12</f>
        <v>1.4517090630406857</v>
      </c>
      <c r="AW156" s="23">
        <f>EXP(-LN(2)/2)*AW155+(1-EXP(-LN(2)/2))/(LN(2)/2)*AQ156*AT156*VLOOKUP('Données projet'!$B$10,Paramètres!$A$1:$I$89,3,0)*0.475*44/12</f>
        <v>1.3360316858242283E-17</v>
      </c>
      <c r="AX156" s="23">
        <f t="shared" si="166"/>
        <v>6.1181745827759721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1.1368683772161603E-13</v>
      </c>
      <c r="BE156" s="14">
        <f>BD156*VLOOKUP('Données projet'!$B$11,Paramètres!$A$1:$I$89,3,0)*VLOOKUP('Données projet'!$B$11,Paramètres!$A$1:$I$89,5,0)</f>
        <v>6.7984728957526396E-14</v>
      </c>
      <c r="BF156" s="14">
        <f t="shared" si="167"/>
        <v>1.0682447123141398E-12</v>
      </c>
      <c r="BG156" s="22">
        <f t="shared" si="168"/>
        <v>1.978932943548152E-12</v>
      </c>
      <c r="BH156" s="62">
        <f t="shared" si="116"/>
        <v>284.31326861610353</v>
      </c>
      <c r="BI156" s="62">
        <f ca="1">AVERAGE(OFFSET($BH$3,0,0,'Données projet'!$E$11+1,1))-AVERAGE(OFFSET($H$3,0,0,'Données projet'!$E$11+1,1))</f>
        <v>197.85998851681552</v>
      </c>
      <c r="BJ156" s="62">
        <f t="shared" si="146"/>
        <v>474.54844785896239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4.6664655197352864</v>
      </c>
      <c r="BQ156" s="23">
        <f>EXP(-LN(2)/25)*BQ155+(1-EXP(-LN(2)/25))/(LN(2)/25)*Calculateur!BL156*Calculateur!BN156*VLOOKUP('Données projet'!$B$11,Paramètres!$A$1:$I$89,3,0)*0.475*44/12</f>
        <v>1.4517090630406857</v>
      </c>
      <c r="BR156" s="23">
        <f>EXP(-LN(2)/2)*BR155+(1-EXP(-LN(2)/2))/(LN(2)/2)*BL156*BO156*VLOOKUP('Données projet'!$B$11,Paramètres!$A$1:$I$89,3,0)*0.475*44/12</f>
        <v>1.3360316858242283E-17</v>
      </c>
      <c r="BS156" s="24">
        <f t="shared" si="169"/>
        <v>6.1181745827759721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>
        <f>BY156*VLOOKUP('Données projet'!$B$12,Paramètres!$A$1:$I$89,3,0)*VLOOKUP('Données projet'!$B$12,Paramètres!$A$1:$I$89,5,0)</f>
        <v>0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72.97248599808384</v>
      </c>
      <c r="CE156" s="62">
        <f t="shared" si="148"/>
        <v>346.88163654003574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5.0864099635749609</v>
      </c>
      <c r="CL156" s="23">
        <f>EXP(-LN(2)/25)*CL155+(1-EXP(-LN(2)/25))/(LN(2)/25)*Calculateur!CG156*Calculateur!CI156*VLOOKUP('Données projet'!$B$12,Paramètres!$A$1:$I$89,3,0)*0.475*44/12</f>
        <v>0.43127212627636902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5.5176820898513297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>
        <f>CT156*VLOOKUP('Données projet'!$B$13,Paramètres!$A$1:$I$89,3,0)*VLOOKUP('Données projet'!$B$13,Paramètres!$A$1:$I$89,5,0)</f>
        <v>0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67.303283896086128</v>
      </c>
      <c r="CZ156" s="62">
        <f t="shared" si="150"/>
        <v>318.97925671653547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4.618856958566683</v>
      </c>
      <c r="DG156" s="23">
        <f>EXP(-LN(2)/25)*DG155+(1-EXP(-LN(2)/25))/(LN(2)/25)*Calculateur!DB156*Calculateur!DD156*VLOOKUP('Données projet'!$B$13,Paramètres!$A$1:$I$89,3,0)*0.475*44/12</f>
        <v>0.3916287274821616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5.0104856860488445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>
        <f>DO156*VLOOKUP('Données projet'!$B$14,Paramètres!$A$1:$I$89,3,0)*VLOOKUP('Données projet'!$B$14,Paramètres!$A$1:$I$89,5,0)</f>
        <v>0</v>
      </c>
      <c r="DQ156" s="14" t="e">
        <f t="shared" si="176"/>
        <v>#NUM!</v>
      </c>
      <c r="DR156" s="22" t="e">
        <f t="shared" si="177"/>
        <v>#NUM!</v>
      </c>
      <c r="DS156" s="62" t="e">
        <f t="shared" si="125"/>
        <v>#NUM!</v>
      </c>
      <c r="DT156" s="62">
        <f ca="1">AVERAGE(OFFSET($DS$3,0,0,'Données projet'!$E$14+1,1))-AVERAGE(OFFSET($H$3,0,0,'Données projet'!$E$14+1,1))</f>
        <v>75.244137291704476</v>
      </c>
      <c r="DU156" s="62">
        <f t="shared" si="152"/>
        <v>366.065475656937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5.408416165371297</v>
      </c>
      <c r="EB156" s="23">
        <f>EXP(-LN(2)/25)*EB155+(1-EXP(-LN(2)/25))/(LN(2)/25)*Calculateur!DW156*Calculateur!DY156*VLOOKUP('Données projet'!$B$14,Paramètres!$A$1:$I$89,3,0)*0.475*44/12</f>
        <v>0.4585747425258222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5.8669909078971187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1.1368683772161603E-13</v>
      </c>
      <c r="EK156" s="18">
        <f>EJ156*VLOOKUP('Données projet'!$B$15,Paramètres!$A$1:$I$89,3,0)*VLOOKUP('Données projet'!$B$15,Paramètres!$A$1:$I$89,5,0)</f>
        <v>1.0995790944434703E-13</v>
      </c>
      <c r="EL156" s="14">
        <f t="shared" si="179"/>
        <v>1.6337280948049956E-12</v>
      </c>
      <c r="EM156" s="22">
        <f t="shared" si="180"/>
        <v>3.036919790734272E-12</v>
      </c>
      <c r="EN156" s="62">
        <f t="shared" si="128"/>
        <v>284.31326861610455</v>
      </c>
      <c r="EO156" s="62">
        <f ca="1">AVERAGE(OFFSET($EN$3,0,0,'Données projet'!$E$15+1,1))-AVERAGE(OFFSET($H$3,0,0,'Données projet'!$E$15+1,1))</f>
        <v>452.74627739105745</v>
      </c>
      <c r="EP156" s="62">
        <f t="shared" si="154"/>
        <v>281.80695725575106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1.1368683772161603E-13</v>
      </c>
      <c r="FF156" s="18">
        <f>FE156*VLOOKUP('Données projet'!$B$16,Paramètres!$A$1:$I$89,3,0)*VLOOKUP('Données projet'!$B$16,Paramètres!$A$1:$I$89,5,0)</f>
        <v>1.223725121235475E-13</v>
      </c>
      <c r="FG156" s="14">
        <f t="shared" si="182"/>
        <v>1.7956824466038182E-12</v>
      </c>
      <c r="FH156" s="22">
        <f t="shared" si="183"/>
        <v>3.3406123864501612E-12</v>
      </c>
      <c r="FI156" s="62">
        <f t="shared" si="131"/>
        <v>284.31326861610489</v>
      </c>
      <c r="FJ156" s="62">
        <f ca="1">AVERAGE(OFFSET($FI$3,0,0,'Données projet'!$E$16+1,1))-AVERAGE(OFFSET($H$3,0,0,'Données projet'!$E$16+1,1))</f>
        <v>492.72391755143508</v>
      </c>
      <c r="FK156" s="62">
        <f t="shared" si="156"/>
        <v>304.88554179994355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67.539982349845872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143.77000000000001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-5.6843418860808015E-14</v>
      </c>
      <c r="O157" s="14">
        <f>N157*VLOOKUP('Données projet'!$B$9,Paramètres!$A$1:$I$89,3,0)*VLOOKUP('Données projet'!$B$9,Paramètres!$A$1:$I$89,5,0)</f>
        <v>-5.1431925385259088E-14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388.8309693898596</v>
      </c>
      <c r="T157" s="62">
        <f t="shared" si="142"/>
        <v>549.06702041234382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0.90819325995669853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0.90819325995669853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6.7984728957526396E-14</v>
      </c>
      <c r="AK157" s="14">
        <f t="shared" si="164"/>
        <v>1.0682447123141398E-12</v>
      </c>
      <c r="AL157" s="22">
        <f t="shared" si="165"/>
        <v>1.978932943548152E-12</v>
      </c>
      <c r="AM157" s="62">
        <f t="shared" si="113"/>
        <v>284.46974657310386</v>
      </c>
      <c r="AN157" s="62">
        <f ca="1">AVERAGE(OFFSET($AM$3,0,0,'Données projet'!$E$10+1,1))-AVERAGE(OFFSET($H$3,0,0,'Données projet'!$E$10+1,1))</f>
        <v>197.85998851681552</v>
      </c>
      <c r="AO157" s="62">
        <f t="shared" si="144"/>
        <v>474.54844785896239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4.5749589771561991</v>
      </c>
      <c r="AV157" s="23">
        <f>EXP(-LN(2)/25)*AV156+(1-EXP(-LN(2)/25))/(LN(2)/25)*Calculateur!AQ157*Calculateur!AS157*VLOOKUP('Données projet'!$B$10,Paramètres!$A$1:$I$89,3,0)*0.475*44/12</f>
        <v>1.4120120023697764</v>
      </c>
      <c r="AW157" s="23">
        <f>EXP(-LN(2)/2)*AW156+(1-EXP(-LN(2)/2))/(LN(2)/2)*AQ157*AT157*VLOOKUP('Données projet'!$B$10,Paramètres!$A$1:$I$89,3,0)*0.475*44/12</f>
        <v>9.447170649264068E-18</v>
      </c>
      <c r="AX157" s="23">
        <f t="shared" si="166"/>
        <v>5.9869709795259753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1.1368683772161603E-13</v>
      </c>
      <c r="BE157" s="14">
        <f>BD157*VLOOKUP('Données projet'!$B$11,Paramètres!$A$1:$I$89,3,0)*VLOOKUP('Données projet'!$B$11,Paramètres!$A$1:$I$89,5,0)</f>
        <v>6.7984728957526396E-14</v>
      </c>
      <c r="BF157" s="14">
        <f t="shared" si="167"/>
        <v>1.0682447123141398E-12</v>
      </c>
      <c r="BG157" s="22">
        <f t="shared" si="168"/>
        <v>1.978932943548152E-12</v>
      </c>
      <c r="BH157" s="62">
        <f t="shared" si="116"/>
        <v>284.46974657310386</v>
      </c>
      <c r="BI157" s="62">
        <f ca="1">AVERAGE(OFFSET($BH$3,0,0,'Données projet'!$E$11+1,1))-AVERAGE(OFFSET($H$3,0,0,'Données projet'!$E$11+1,1))</f>
        <v>197.85998851681552</v>
      </c>
      <c r="BJ157" s="62">
        <f t="shared" si="146"/>
        <v>474.54844785896239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4.5749589771561991</v>
      </c>
      <c r="BQ157" s="23">
        <f>EXP(-LN(2)/25)*BQ156+(1-EXP(-LN(2)/25))/(LN(2)/25)*Calculateur!BL157*Calculateur!BN157*VLOOKUP('Données projet'!$B$11,Paramètres!$A$1:$I$89,3,0)*0.475*44/12</f>
        <v>1.4120120023697764</v>
      </c>
      <c r="BR157" s="23">
        <f>EXP(-LN(2)/2)*BR156+(1-EXP(-LN(2)/2))/(LN(2)/2)*BL157*BO157*VLOOKUP('Données projet'!$B$11,Paramètres!$A$1:$I$89,3,0)*0.475*44/12</f>
        <v>9.447170649264068E-18</v>
      </c>
      <c r="BS157" s="24">
        <f t="shared" si="169"/>
        <v>5.9869709795259753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>
        <f>BY157*VLOOKUP('Données projet'!$B$12,Paramètres!$A$1:$I$89,3,0)*VLOOKUP('Données projet'!$B$12,Paramètres!$A$1:$I$89,5,0)</f>
        <v>0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72.97248599808384</v>
      </c>
      <c r="CE157" s="62">
        <f t="shared" si="148"/>
        <v>346.88163654003574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4.9866685665929964</v>
      </c>
      <c r="CL157" s="23">
        <f>EXP(-LN(2)/25)*CL156+(1-EXP(-LN(2)/25))/(LN(2)/25)*Calculateur!CG157*Calculateur!CI157*VLOOKUP('Données projet'!$B$12,Paramètres!$A$1:$I$89,3,0)*0.475*44/12</f>
        <v>0.41947896730372625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5.4061475338967231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>
        <f>CT157*VLOOKUP('Données projet'!$B$13,Paramètres!$A$1:$I$89,3,0)*VLOOKUP('Données projet'!$B$13,Paramètres!$A$1:$I$89,5,0)</f>
        <v>0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67.303283896086128</v>
      </c>
      <c r="CZ157" s="62">
        <f t="shared" si="150"/>
        <v>318.97925671653547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4.5282839908337573</v>
      </c>
      <c r="DG157" s="23">
        <f>EXP(-LN(2)/25)*DG156+(1-EXP(-LN(2)/25))/(LN(2)/25)*Calculateur!DB157*Calculateur!DD157*VLOOKUP('Données projet'!$B$13,Paramètres!$A$1:$I$89,3,0)*0.475*44/12</f>
        <v>0.38091961933430218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4.9092036101680598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>
        <f>DO157*VLOOKUP('Données projet'!$B$14,Paramètres!$A$1:$I$89,3,0)*VLOOKUP('Données projet'!$B$14,Paramètres!$A$1:$I$89,5,0)</f>
        <v>0</v>
      </c>
      <c r="DQ157" s="14" t="e">
        <f t="shared" si="176"/>
        <v>#NUM!</v>
      </c>
      <c r="DR157" s="22" t="e">
        <f t="shared" si="177"/>
        <v>#NUM!</v>
      </c>
      <c r="DS157" s="62" t="e">
        <f t="shared" si="125"/>
        <v>#NUM!</v>
      </c>
      <c r="DT157" s="62">
        <f ca="1">AVERAGE(OFFSET($DS$3,0,0,'Données projet'!$E$14+1,1))-AVERAGE(OFFSET($H$3,0,0,'Données projet'!$E$14+1,1))</f>
        <v>75.244137291704476</v>
      </c>
      <c r="DU157" s="62">
        <f t="shared" si="152"/>
        <v>366.065475656937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5.3023604231764967</v>
      </c>
      <c r="EB157" s="23">
        <f>EXP(-LN(2)/25)*EB156+(1-EXP(-LN(2)/25))/(LN(2)/25)*Calculateur!DW157*Calculateur!DY157*VLOOKUP('Données projet'!$B$14,Paramètres!$A$1:$I$89,3,0)*0.475*44/12</f>
        <v>0.44603499207605596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5.7483954152525527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1.1368683772161603E-13</v>
      </c>
      <c r="EK157" s="18">
        <f>EJ157*VLOOKUP('Données projet'!$B$15,Paramètres!$A$1:$I$89,3,0)*VLOOKUP('Données projet'!$B$15,Paramètres!$A$1:$I$89,5,0)</f>
        <v>1.0995790944434703E-13</v>
      </c>
      <c r="EL157" s="14">
        <f t="shared" si="179"/>
        <v>1.6337280948049956E-12</v>
      </c>
      <c r="EM157" s="22">
        <f t="shared" si="180"/>
        <v>3.036919790734272E-12</v>
      </c>
      <c r="EN157" s="62">
        <f t="shared" si="128"/>
        <v>284.46974657310489</v>
      </c>
      <c r="EO157" s="62">
        <f ca="1">AVERAGE(OFFSET($EN$3,0,0,'Données projet'!$E$15+1,1))-AVERAGE(OFFSET($H$3,0,0,'Données projet'!$E$15+1,1))</f>
        <v>452.74627739105745</v>
      </c>
      <c r="EP157" s="62">
        <f t="shared" si="154"/>
        <v>281.80695725575106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1.1368683772161603E-13</v>
      </c>
      <c r="FF157" s="18">
        <f>FE157*VLOOKUP('Données projet'!$B$16,Paramètres!$A$1:$I$89,3,0)*VLOOKUP('Données projet'!$B$16,Paramètres!$A$1:$I$89,5,0)</f>
        <v>1.223725121235475E-13</v>
      </c>
      <c r="FG157" s="14">
        <f t="shared" si="182"/>
        <v>1.7956824466038182E-12</v>
      </c>
      <c r="FH157" s="22">
        <f t="shared" si="183"/>
        <v>3.3406123864501612E-12</v>
      </c>
      <c r="FI157" s="62">
        <f t="shared" si="131"/>
        <v>284.46974657310523</v>
      </c>
      <c r="FJ157" s="62">
        <f ca="1">AVERAGE(OFFSET($FI$3,0,0,'Données projet'!$E$16+1,1))-AVERAGE(OFFSET($H$3,0,0,'Données projet'!$E$16+1,1))</f>
        <v>492.72391755143508</v>
      </c>
      <c r="FK157" s="62">
        <f t="shared" si="156"/>
        <v>304.88554179994355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67.582658156300511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143.77000000000001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-5.6843418860808015E-14</v>
      </c>
      <c r="O158" s="14">
        <f>N158*VLOOKUP('Données projet'!$B$9,Paramètres!$A$1:$I$89,3,0)*VLOOKUP('Données projet'!$B$9,Paramètres!$A$1:$I$89,5,0)</f>
        <v>-5.1431925385259088E-14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388.8309693898596</v>
      </c>
      <c r="T158" s="62">
        <f t="shared" si="142"/>
        <v>549.06702041234382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0.89038414407213895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0.89038414407213895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6.7984728957526396E-14</v>
      </c>
      <c r="AK158" s="14">
        <f t="shared" si="164"/>
        <v>1.0682447123141398E-12</v>
      </c>
      <c r="AL158" s="22">
        <f t="shared" si="165"/>
        <v>1.978932943548152E-12</v>
      </c>
      <c r="AM158" s="62">
        <f t="shared" si="113"/>
        <v>284.62350998738248</v>
      </c>
      <c r="AN158" s="62">
        <f ca="1">AVERAGE(OFFSET($AM$3,0,0,'Données projet'!$E$10+1,1))-AVERAGE(OFFSET($H$3,0,0,'Données projet'!$E$10+1,1))</f>
        <v>197.85998851681552</v>
      </c>
      <c r="AO158" s="62">
        <f t="shared" si="144"/>
        <v>474.54844785896239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4.4852468220636084</v>
      </c>
      <c r="AV158" s="23">
        <f>EXP(-LN(2)/25)*AV157+(1-EXP(-LN(2)/25))/(LN(2)/25)*Calculateur!AQ158*Calculateur!AS158*VLOOKUP('Données projet'!$B$10,Paramètres!$A$1:$I$89,3,0)*0.475*44/12</f>
        <v>1.373400459910491</v>
      </c>
      <c r="AW158" s="23">
        <f>EXP(-LN(2)/2)*AW157+(1-EXP(-LN(2)/2))/(LN(2)/2)*AQ158*AT158*VLOOKUP('Données projet'!$B$10,Paramètres!$A$1:$I$89,3,0)*0.475*44/12</f>
        <v>6.6801584291211415E-18</v>
      </c>
      <c r="AX158" s="23">
        <f t="shared" si="166"/>
        <v>5.8586472819740996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1.1368683772161603E-13</v>
      </c>
      <c r="BE158" s="14">
        <f>BD158*VLOOKUP('Données projet'!$B$11,Paramètres!$A$1:$I$89,3,0)*VLOOKUP('Données projet'!$B$11,Paramètres!$A$1:$I$89,5,0)</f>
        <v>6.7984728957526396E-14</v>
      </c>
      <c r="BF158" s="14">
        <f t="shared" si="167"/>
        <v>1.0682447123141398E-12</v>
      </c>
      <c r="BG158" s="22">
        <f t="shared" si="168"/>
        <v>1.978932943548152E-12</v>
      </c>
      <c r="BH158" s="62">
        <f t="shared" si="116"/>
        <v>284.62350998738248</v>
      </c>
      <c r="BI158" s="62">
        <f ca="1">AVERAGE(OFFSET($BH$3,0,0,'Données projet'!$E$11+1,1))-AVERAGE(OFFSET($H$3,0,0,'Données projet'!$E$11+1,1))</f>
        <v>197.85998851681552</v>
      </c>
      <c r="BJ158" s="62">
        <f t="shared" si="146"/>
        <v>474.54844785896239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4.4852468220636084</v>
      </c>
      <c r="BQ158" s="23">
        <f>EXP(-LN(2)/25)*BQ157+(1-EXP(-LN(2)/25))/(LN(2)/25)*Calculateur!BL158*Calculateur!BN158*VLOOKUP('Données projet'!$B$11,Paramètres!$A$1:$I$89,3,0)*0.475*44/12</f>
        <v>1.373400459910491</v>
      </c>
      <c r="BR158" s="23">
        <f>EXP(-LN(2)/2)*BR157+(1-EXP(-LN(2)/2))/(LN(2)/2)*BL158*BO158*VLOOKUP('Données projet'!$B$11,Paramètres!$A$1:$I$89,3,0)*0.475*44/12</f>
        <v>6.6801584291211415E-18</v>
      </c>
      <c r="BS158" s="24">
        <f t="shared" si="169"/>
        <v>5.8586472819740996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>
        <f>BY158*VLOOKUP('Données projet'!$B$12,Paramètres!$A$1:$I$89,3,0)*VLOOKUP('Données projet'!$B$12,Paramètres!$A$1:$I$89,5,0)</f>
        <v>0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72.97248599808384</v>
      </c>
      <c r="CE158" s="62">
        <f t="shared" si="148"/>
        <v>346.88163654003574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4.8888830375696033</v>
      </c>
      <c r="CL158" s="23">
        <f>EXP(-LN(2)/25)*CL157+(1-EXP(-LN(2)/25))/(LN(2)/25)*Calculateur!CG158*Calculateur!CI158*VLOOKUP('Données projet'!$B$12,Paramètres!$A$1:$I$89,3,0)*0.475*44/12</f>
        <v>0.40800829288336571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5.2968913304529686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>
        <f>CT158*VLOOKUP('Données projet'!$B$13,Paramètres!$A$1:$I$89,3,0)*VLOOKUP('Données projet'!$B$13,Paramètres!$A$1:$I$89,5,0)</f>
        <v>0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67.303283896086128</v>
      </c>
      <c r="CZ158" s="62">
        <f t="shared" si="150"/>
        <v>318.97925671653547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4.4394871037540184</v>
      </c>
      <c r="DG158" s="23">
        <f>EXP(-LN(2)/25)*DG157+(1-EXP(-LN(2)/25))/(LN(2)/25)*Calculateur!DB158*Calculateur!DD158*VLOOKUP('Données projet'!$B$13,Paramètres!$A$1:$I$89,3,0)*0.475*44/12</f>
        <v>0.3705033523119135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4.8099904560659317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>
        <f>DO158*VLOOKUP('Données projet'!$B$14,Paramètres!$A$1:$I$89,3,0)*VLOOKUP('Données projet'!$B$14,Paramètres!$A$1:$I$89,5,0)</f>
        <v>0</v>
      </c>
      <c r="DQ158" s="14" t="e">
        <f t="shared" si="176"/>
        <v>#NUM!</v>
      </c>
      <c r="DR158" s="22" t="e">
        <f t="shared" si="177"/>
        <v>#NUM!</v>
      </c>
      <c r="DS158" s="62" t="e">
        <f t="shared" si="125"/>
        <v>#NUM!</v>
      </c>
      <c r="DT158" s="62">
        <f ca="1">AVERAGE(OFFSET($DS$3,0,0,'Données projet'!$E$14+1,1))-AVERAGE(OFFSET($H$3,0,0,'Données projet'!$E$14+1,1))</f>
        <v>75.244137291704476</v>
      </c>
      <c r="DU158" s="62">
        <f t="shared" si="152"/>
        <v>366.065475656937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5.1983843693985206</v>
      </c>
      <c r="EB158" s="23">
        <f>EXP(-LN(2)/25)*EB157+(1-EXP(-LN(2)/25))/(LN(2)/25)*Calculateur!DW158*Calculateur!DY158*VLOOKUP('Données projet'!$B$14,Paramètres!$A$1:$I$89,3,0)*0.475*44/12</f>
        <v>0.43383814176177538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5.6322225111602959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1.1368683772161603E-13</v>
      </c>
      <c r="EK158" s="18">
        <f>EJ158*VLOOKUP('Données projet'!$B$15,Paramètres!$A$1:$I$89,3,0)*VLOOKUP('Données projet'!$B$15,Paramètres!$A$1:$I$89,5,0)</f>
        <v>1.0995790944434703E-13</v>
      </c>
      <c r="EL158" s="14">
        <f t="shared" si="179"/>
        <v>1.6337280948049956E-12</v>
      </c>
      <c r="EM158" s="22">
        <f t="shared" si="180"/>
        <v>3.036919790734272E-12</v>
      </c>
      <c r="EN158" s="62">
        <f t="shared" si="128"/>
        <v>284.6235099873835</v>
      </c>
      <c r="EO158" s="62">
        <f ca="1">AVERAGE(OFFSET($EN$3,0,0,'Données projet'!$E$15+1,1))-AVERAGE(OFFSET($H$3,0,0,'Données projet'!$E$15+1,1))</f>
        <v>452.74627739105745</v>
      </c>
      <c r="EP158" s="62">
        <f t="shared" si="154"/>
        <v>281.80695725575106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1.1368683772161603E-13</v>
      </c>
      <c r="FF158" s="18">
        <f>FE158*VLOOKUP('Données projet'!$B$16,Paramètres!$A$1:$I$89,3,0)*VLOOKUP('Données projet'!$B$16,Paramètres!$A$1:$I$89,5,0)</f>
        <v>1.223725121235475E-13</v>
      </c>
      <c r="FG158" s="14">
        <f t="shared" si="182"/>
        <v>1.7956824466038182E-12</v>
      </c>
      <c r="FH158" s="22">
        <f t="shared" si="183"/>
        <v>3.3406123864501612E-12</v>
      </c>
      <c r="FI158" s="62">
        <f t="shared" si="131"/>
        <v>284.62350998738384</v>
      </c>
      <c r="FJ158" s="62">
        <f ca="1">AVERAGE(OFFSET($FI$3,0,0,'Données projet'!$E$16+1,1))-AVERAGE(OFFSET($H$3,0,0,'Données projet'!$E$16+1,1))</f>
        <v>492.72391755143508</v>
      </c>
      <c r="FK158" s="62">
        <f t="shared" si="156"/>
        <v>304.88554179994355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67.624593632921957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143.77000000000001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-5.6843418860808015E-14</v>
      </c>
      <c r="O159" s="14">
        <f>N159*VLOOKUP('Données projet'!$B$9,Paramètres!$A$1:$I$89,3,0)*VLOOKUP('Données projet'!$B$9,Paramètres!$A$1:$I$89,5,0)</f>
        <v>-5.1431925385259088E-14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388.8309693898596</v>
      </c>
      <c r="T159" s="62">
        <f t="shared" si="142"/>
        <v>549.06702041234382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0.87292425408758745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0.87292425408758745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6.7984728957526396E-14</v>
      </c>
      <c r="AK159" s="14">
        <f t="shared" si="164"/>
        <v>1.0682447123141398E-12</v>
      </c>
      <c r="AL159" s="22">
        <f t="shared" si="165"/>
        <v>1.978932943548152E-12</v>
      </c>
      <c r="AM159" s="62">
        <f t="shared" si="113"/>
        <v>284.77460595018692</v>
      </c>
      <c r="AN159" s="62">
        <f ca="1">AVERAGE(OFFSET($AM$3,0,0,'Données projet'!$E$10+1,1))-AVERAGE(OFFSET($H$3,0,0,'Données projet'!$E$10+1,1))</f>
        <v>197.85998851681552</v>
      </c>
      <c r="AO159" s="62">
        <f t="shared" si="144"/>
        <v>474.54844785896239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4.3972938676133717</v>
      </c>
      <c r="AV159" s="23">
        <f>EXP(-LN(2)/25)*AV158+(1-EXP(-LN(2)/25))/(LN(2)/25)*Calculateur!AQ159*Calculateur!AS159*VLOOKUP('Données projet'!$B$10,Paramètres!$A$1:$I$89,3,0)*0.475*44/12</f>
        <v>1.3358447521102474</v>
      </c>
      <c r="AW159" s="23">
        <f>EXP(-LN(2)/2)*AW158+(1-EXP(-LN(2)/2))/(LN(2)/2)*AQ159*AT159*VLOOKUP('Données projet'!$B$10,Paramètres!$A$1:$I$89,3,0)*0.475*44/12</f>
        <v>4.723585324632034E-18</v>
      </c>
      <c r="AX159" s="23">
        <f t="shared" si="166"/>
        <v>5.7331386197236194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1.1368683772161603E-13</v>
      </c>
      <c r="BE159" s="14">
        <f>BD159*VLOOKUP('Données projet'!$B$11,Paramètres!$A$1:$I$89,3,0)*VLOOKUP('Données projet'!$B$11,Paramètres!$A$1:$I$89,5,0)</f>
        <v>6.7984728957526396E-14</v>
      </c>
      <c r="BF159" s="14">
        <f t="shared" si="167"/>
        <v>1.0682447123141398E-12</v>
      </c>
      <c r="BG159" s="22">
        <f t="shared" si="168"/>
        <v>1.978932943548152E-12</v>
      </c>
      <c r="BH159" s="62">
        <f t="shared" si="116"/>
        <v>284.77460595018692</v>
      </c>
      <c r="BI159" s="62">
        <f ca="1">AVERAGE(OFFSET($BH$3,0,0,'Données projet'!$E$11+1,1))-AVERAGE(OFFSET($H$3,0,0,'Données projet'!$E$11+1,1))</f>
        <v>197.85998851681552</v>
      </c>
      <c r="BJ159" s="62">
        <f t="shared" si="146"/>
        <v>474.54844785896239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4.3972938676133717</v>
      </c>
      <c r="BQ159" s="23">
        <f>EXP(-LN(2)/25)*BQ158+(1-EXP(-LN(2)/25))/(LN(2)/25)*Calculateur!BL159*Calculateur!BN159*VLOOKUP('Données projet'!$B$11,Paramètres!$A$1:$I$89,3,0)*0.475*44/12</f>
        <v>1.3358447521102474</v>
      </c>
      <c r="BR159" s="23">
        <f>EXP(-LN(2)/2)*BR158+(1-EXP(-LN(2)/2))/(LN(2)/2)*BL159*BO159*VLOOKUP('Données projet'!$B$11,Paramètres!$A$1:$I$89,3,0)*0.475*44/12</f>
        <v>4.723585324632034E-18</v>
      </c>
      <c r="BS159" s="24">
        <f t="shared" si="169"/>
        <v>5.7331386197236194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>
        <f>BY159*VLOOKUP('Données projet'!$B$12,Paramètres!$A$1:$I$89,3,0)*VLOOKUP('Données projet'!$B$12,Paramètres!$A$1:$I$89,5,0)</f>
        <v>0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72.97248599808384</v>
      </c>
      <c r="CE159" s="62">
        <f t="shared" si="148"/>
        <v>346.88163654003574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4.7930150231270758</v>
      </c>
      <c r="CL159" s="23">
        <f>EXP(-LN(2)/25)*CL158+(1-EXP(-LN(2)/25))/(LN(2)/25)*Calculateur!CG159*Calculateur!CI159*VLOOKUP('Données projet'!$B$12,Paramètres!$A$1:$I$89,3,0)*0.475*44/12</f>
        <v>0.39685128465824648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5.189866307785322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>
        <f>CT159*VLOOKUP('Données projet'!$B$13,Paramètres!$A$1:$I$89,3,0)*VLOOKUP('Données projet'!$B$13,Paramètres!$A$1:$I$89,5,0)</f>
        <v>0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67.303283896086128</v>
      </c>
      <c r="CZ159" s="62">
        <f t="shared" si="150"/>
        <v>318.97925671653547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4.3524314694691606</v>
      </c>
      <c r="DG159" s="23">
        <f>EXP(-LN(2)/25)*DG158+(1-EXP(-LN(2)/25))/(LN(2)/25)*Calculateur!DB159*Calculateur!DD159*VLOOKUP('Données projet'!$B$13,Paramètres!$A$1:$I$89,3,0)*0.475*44/12</f>
        <v>0.36037191865901974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4.7128033881281803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>
        <f>DO159*VLOOKUP('Données projet'!$B$14,Paramètres!$A$1:$I$89,3,0)*VLOOKUP('Données projet'!$B$14,Paramètres!$A$1:$I$89,5,0)</f>
        <v>0</v>
      </c>
      <c r="DQ159" s="14" t="e">
        <f t="shared" si="176"/>
        <v>#NUM!</v>
      </c>
      <c r="DR159" s="22" t="e">
        <f t="shared" si="177"/>
        <v>#NUM!</v>
      </c>
      <c r="DS159" s="62" t="e">
        <f t="shared" si="125"/>
        <v>#NUM!</v>
      </c>
      <c r="DT159" s="62">
        <f ca="1">AVERAGE(OFFSET($DS$3,0,0,'Données projet'!$E$14+1,1))-AVERAGE(OFFSET($H$3,0,0,'Données projet'!$E$14+1,1))</f>
        <v>75.244137291704476</v>
      </c>
      <c r="DU159" s="62">
        <f t="shared" si="152"/>
        <v>366.065475656937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5.0964472226159998</v>
      </c>
      <c r="EB159" s="23">
        <f>EXP(-LN(2)/25)*EB158+(1-EXP(-LN(2)/25))/(LN(2)/25)*Calculateur!DW159*Calculateur!DY159*VLOOKUP('Données projet'!$B$14,Paramètres!$A$1:$I$89,3,0)*0.475*44/12</f>
        <v>0.42197481496074329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5.5184220375767428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1.1368683772161603E-13</v>
      </c>
      <c r="EK159" s="18">
        <f>EJ159*VLOOKUP('Données projet'!$B$15,Paramètres!$A$1:$I$89,3,0)*VLOOKUP('Données projet'!$B$15,Paramètres!$A$1:$I$89,5,0)</f>
        <v>1.0995790944434703E-13</v>
      </c>
      <c r="EL159" s="14">
        <f t="shared" si="179"/>
        <v>1.6337280948049956E-12</v>
      </c>
      <c r="EM159" s="22">
        <f t="shared" si="180"/>
        <v>3.036919790734272E-12</v>
      </c>
      <c r="EN159" s="62">
        <f t="shared" si="128"/>
        <v>284.77460595018795</v>
      </c>
      <c r="EO159" s="62">
        <f ca="1">AVERAGE(OFFSET($EN$3,0,0,'Données projet'!$E$15+1,1))-AVERAGE(OFFSET($H$3,0,0,'Données projet'!$E$15+1,1))</f>
        <v>452.74627739105745</v>
      </c>
      <c r="EP159" s="62">
        <f t="shared" si="154"/>
        <v>281.80695725575106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1.1368683772161603E-13</v>
      </c>
      <c r="FF159" s="18">
        <f>FE159*VLOOKUP('Données projet'!$B$16,Paramètres!$A$1:$I$89,3,0)*VLOOKUP('Données projet'!$B$16,Paramètres!$A$1:$I$89,5,0)</f>
        <v>1.223725121235475E-13</v>
      </c>
      <c r="FG159" s="14">
        <f t="shared" si="182"/>
        <v>1.7956824466038182E-12</v>
      </c>
      <c r="FH159" s="22">
        <f t="shared" si="183"/>
        <v>3.3406123864501612E-12</v>
      </c>
      <c r="FI159" s="62">
        <f t="shared" si="131"/>
        <v>284.77460595018829</v>
      </c>
      <c r="FJ159" s="62">
        <f ca="1">AVERAGE(OFFSET($FI$3,0,0,'Données projet'!$E$16+1,1))-AVERAGE(OFFSET($H$3,0,0,'Données projet'!$E$16+1,1))</f>
        <v>492.72391755143508</v>
      </c>
      <c r="FK159" s="62">
        <f t="shared" si="156"/>
        <v>304.88554179994355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67.665801622777707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143.77000000000001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-5.6843418860808015E-14</v>
      </c>
      <c r="O160" s="14">
        <f>N160*VLOOKUP('Données projet'!$B$9,Paramètres!$A$1:$I$89,3,0)*VLOOKUP('Données projet'!$B$9,Paramètres!$A$1:$I$89,5,0)</f>
        <v>-5.1431925385259088E-14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388.8309693898596</v>
      </c>
      <c r="T160" s="62">
        <f t="shared" si="142"/>
        <v>549.06702041234382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0.85580674189615169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0.85580674189615169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6.7984728957526396E-14</v>
      </c>
      <c r="AK160" s="14">
        <f t="shared" si="164"/>
        <v>1.0682447123141398E-12</v>
      </c>
      <c r="AL160" s="22">
        <f t="shared" si="165"/>
        <v>1.978932943548152E-12</v>
      </c>
      <c r="AM160" s="62">
        <f t="shared" si="113"/>
        <v>284.92308073583661</v>
      </c>
      <c r="AN160" s="62">
        <f ca="1">AVERAGE(OFFSET($AM$3,0,0,'Données projet'!$E$10+1,1))-AVERAGE(OFFSET($H$3,0,0,'Données projet'!$E$10+1,1))</f>
        <v>197.85998851681552</v>
      </c>
      <c r="AO160" s="62">
        <f t="shared" si="144"/>
        <v>474.54844785896239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4.3110656169538988</v>
      </c>
      <c r="AV160" s="23">
        <f>EXP(-LN(2)/25)*AV159+(1-EXP(-LN(2)/25))/(LN(2)/25)*Calculateur!AQ160*Calculateur!AS160*VLOOKUP('Données projet'!$B$10,Paramètres!$A$1:$I$89,3,0)*0.475*44/12</f>
        <v>1.2993160071147702</v>
      </c>
      <c r="AW160" s="23">
        <f>EXP(-LN(2)/2)*AW159+(1-EXP(-LN(2)/2))/(LN(2)/2)*AQ160*AT160*VLOOKUP('Données projet'!$B$10,Paramètres!$A$1:$I$89,3,0)*0.475*44/12</f>
        <v>3.3400792145605707E-18</v>
      </c>
      <c r="AX160" s="23">
        <f t="shared" si="166"/>
        <v>5.610381624068669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1.1368683772161603E-13</v>
      </c>
      <c r="BE160" s="14">
        <f>BD160*VLOOKUP('Données projet'!$B$11,Paramètres!$A$1:$I$89,3,0)*VLOOKUP('Données projet'!$B$11,Paramètres!$A$1:$I$89,5,0)</f>
        <v>6.7984728957526396E-14</v>
      </c>
      <c r="BF160" s="14">
        <f t="shared" si="167"/>
        <v>1.0682447123141398E-12</v>
      </c>
      <c r="BG160" s="22">
        <f t="shared" si="168"/>
        <v>1.978932943548152E-12</v>
      </c>
      <c r="BH160" s="62">
        <f t="shared" si="116"/>
        <v>284.92308073583661</v>
      </c>
      <c r="BI160" s="62">
        <f ca="1">AVERAGE(OFFSET($BH$3,0,0,'Données projet'!$E$11+1,1))-AVERAGE(OFFSET($H$3,0,0,'Données projet'!$E$11+1,1))</f>
        <v>197.85998851681552</v>
      </c>
      <c r="BJ160" s="62">
        <f t="shared" si="146"/>
        <v>474.54844785896239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4.3110656169538988</v>
      </c>
      <c r="BQ160" s="23">
        <f>EXP(-LN(2)/25)*BQ159+(1-EXP(-LN(2)/25))/(LN(2)/25)*Calculateur!BL160*Calculateur!BN160*VLOOKUP('Données projet'!$B$11,Paramètres!$A$1:$I$89,3,0)*0.475*44/12</f>
        <v>1.2993160071147702</v>
      </c>
      <c r="BR160" s="23">
        <f>EXP(-LN(2)/2)*BR159+(1-EXP(-LN(2)/2))/(LN(2)/2)*BL160*BO160*VLOOKUP('Données projet'!$B$11,Paramètres!$A$1:$I$89,3,0)*0.475*44/12</f>
        <v>3.3400792145605707E-18</v>
      </c>
      <c r="BS160" s="24">
        <f t="shared" si="169"/>
        <v>5.610381624068669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>
        <f>BY160*VLOOKUP('Données projet'!$B$12,Paramètres!$A$1:$I$89,3,0)*VLOOKUP('Données projet'!$B$12,Paramètres!$A$1:$I$89,5,0)</f>
        <v>0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72.97248599808384</v>
      </c>
      <c r="CE160" s="62">
        <f t="shared" si="148"/>
        <v>346.88163654003574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4.6990269219740508</v>
      </c>
      <c r="CL160" s="23">
        <f>EXP(-LN(2)/25)*CL159+(1-EXP(-LN(2)/25))/(LN(2)/25)*Calculateur!CG160*Calculateur!CI160*VLOOKUP('Données projet'!$B$12,Paramètres!$A$1:$I$89,3,0)*0.475*44/12</f>
        <v>0.38599936540976471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5.0850262873838155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>
        <f>CT160*VLOOKUP('Données projet'!$B$13,Paramètres!$A$1:$I$89,3,0)*VLOOKUP('Données projet'!$B$13,Paramètres!$A$1:$I$89,5,0)</f>
        <v>0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67.303283896086128</v>
      </c>
      <c r="CZ160" s="62">
        <f t="shared" si="150"/>
        <v>318.97925671653547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4.2670829430739348</v>
      </c>
      <c r="DG160" s="23">
        <f>EXP(-LN(2)/25)*DG159+(1-EXP(-LN(2)/25))/(LN(2)/25)*Calculateur!DB160*Calculateur!DD160*VLOOKUP('Données projet'!$B$13,Paramètres!$A$1:$I$89,3,0)*0.475*44/12</f>
        <v>0.35051752959215327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4.617600472666088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>
        <f>DO160*VLOOKUP('Données projet'!$B$14,Paramètres!$A$1:$I$89,3,0)*VLOOKUP('Données projet'!$B$14,Paramètres!$A$1:$I$89,5,0)</f>
        <v>0</v>
      </c>
      <c r="DQ160" s="14" t="e">
        <f t="shared" si="176"/>
        <v>#NUM!</v>
      </c>
      <c r="DR160" s="22" t="e">
        <f t="shared" si="177"/>
        <v>#NUM!</v>
      </c>
      <c r="DS160" s="62" t="e">
        <f t="shared" si="125"/>
        <v>#NUM!</v>
      </c>
      <c r="DT160" s="62">
        <f ca="1">AVERAGE(OFFSET($DS$3,0,0,'Données projet'!$E$14+1,1))-AVERAGE(OFFSET($H$3,0,0,'Données projet'!$E$14+1,1))</f>
        <v>75.244137291704476</v>
      </c>
      <c r="DU160" s="62">
        <f t="shared" si="152"/>
        <v>366.065475656937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4.9965090011063644</v>
      </c>
      <c r="EB160" s="23">
        <f>EXP(-LN(2)/25)*EB159+(1-EXP(-LN(2)/25))/(LN(2)/25)*Calculateur!DW160*Calculateur!DY160*VLOOKUP('Données projet'!$B$14,Paramètres!$A$1:$I$89,3,0)*0.475*44/12</f>
        <v>0.41043589145495069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5.4069448925613148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1.1368683772161603E-13</v>
      </c>
      <c r="EK160" s="18">
        <f>EJ160*VLOOKUP('Données projet'!$B$15,Paramètres!$A$1:$I$89,3,0)*VLOOKUP('Données projet'!$B$15,Paramètres!$A$1:$I$89,5,0)</f>
        <v>1.0995790944434703E-13</v>
      </c>
      <c r="EL160" s="14">
        <f t="shared" si="179"/>
        <v>1.6337280948049956E-12</v>
      </c>
      <c r="EM160" s="22">
        <f t="shared" si="180"/>
        <v>3.036919790734272E-12</v>
      </c>
      <c r="EN160" s="62">
        <f t="shared" si="128"/>
        <v>284.92308073583763</v>
      </c>
      <c r="EO160" s="62">
        <f ca="1">AVERAGE(OFFSET($EN$3,0,0,'Données projet'!$E$15+1,1))-AVERAGE(OFFSET($H$3,0,0,'Données projet'!$E$15+1,1))</f>
        <v>452.74627739105745</v>
      </c>
      <c r="EP160" s="62">
        <f t="shared" si="154"/>
        <v>281.80695725575106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1.1368683772161603E-13</v>
      </c>
      <c r="FF160" s="18">
        <f>FE160*VLOOKUP('Données projet'!$B$16,Paramètres!$A$1:$I$89,3,0)*VLOOKUP('Données projet'!$B$16,Paramètres!$A$1:$I$89,5,0)</f>
        <v>1.223725121235475E-13</v>
      </c>
      <c r="FG160" s="14">
        <f t="shared" si="182"/>
        <v>1.7956824466038182E-12</v>
      </c>
      <c r="FH160" s="22">
        <f t="shared" si="183"/>
        <v>3.3406123864501612E-12</v>
      </c>
      <c r="FI160" s="62">
        <f t="shared" si="131"/>
        <v>284.92308073583797</v>
      </c>
      <c r="FJ160" s="62">
        <f ca="1">AVERAGE(OFFSET($FI$3,0,0,'Données projet'!$E$16+1,1))-AVERAGE(OFFSET($H$3,0,0,'Données projet'!$E$16+1,1))</f>
        <v>492.72391755143508</v>
      </c>
      <c r="FK160" s="62">
        <f t="shared" si="156"/>
        <v>304.88554179994355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67.70629474613672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143.77000000000001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-5.6843418860808015E-14</v>
      </c>
      <c r="O161" s="14">
        <f>N161*VLOOKUP('Données projet'!$B$9,Paramètres!$A$1:$I$89,3,0)*VLOOKUP('Données projet'!$B$9,Paramètres!$A$1:$I$89,5,0)</f>
        <v>-5.1431925385259088E-14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388.8309693898596</v>
      </c>
      <c r="T161" s="62">
        <f t="shared" si="142"/>
        <v>549.06702041234382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0.83902489367813837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0.83902489367813837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6.7984728957526396E-14</v>
      </c>
      <c r="AK161" s="14">
        <f t="shared" si="164"/>
        <v>1.0682447123141398E-12</v>
      </c>
      <c r="AL161" s="22">
        <f t="shared" si="165"/>
        <v>1.978932943548152E-12</v>
      </c>
      <c r="AM161" s="62">
        <f t="shared" si="113"/>
        <v>285.06897981589532</v>
      </c>
      <c r="AN161" s="62">
        <f ca="1">AVERAGE(OFFSET($AM$3,0,0,'Données projet'!$E$10+1,1))-AVERAGE(OFFSET($H$3,0,0,'Données projet'!$E$10+1,1))</f>
        <v>197.85998851681552</v>
      </c>
      <c r="AO161" s="62">
        <f t="shared" si="144"/>
        <v>474.54844785896239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4.2265282496958188</v>
      </c>
      <c r="AV161" s="23">
        <f>EXP(-LN(2)/25)*AV160+(1-EXP(-LN(2)/25))/(LN(2)/25)*Calculateur!AQ161*Calculateur!AS161*VLOOKUP('Données projet'!$B$10,Paramètres!$A$1:$I$89,3,0)*0.475*44/12</f>
        <v>1.2637861425721577</v>
      </c>
      <c r="AW161" s="23">
        <f>EXP(-LN(2)/2)*AW160+(1-EXP(-LN(2)/2))/(LN(2)/2)*AQ161*AT161*VLOOKUP('Données projet'!$B$10,Paramètres!$A$1:$I$89,3,0)*0.475*44/12</f>
        <v>2.361792662316017E-18</v>
      </c>
      <c r="AX161" s="23">
        <f t="shared" si="166"/>
        <v>5.490314392267976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1.1368683772161603E-13</v>
      </c>
      <c r="BE161" s="14">
        <f>BD161*VLOOKUP('Données projet'!$B$11,Paramètres!$A$1:$I$89,3,0)*VLOOKUP('Données projet'!$B$11,Paramètres!$A$1:$I$89,5,0)</f>
        <v>6.7984728957526396E-14</v>
      </c>
      <c r="BF161" s="14">
        <f t="shared" si="167"/>
        <v>1.0682447123141398E-12</v>
      </c>
      <c r="BG161" s="22">
        <f t="shared" si="168"/>
        <v>1.978932943548152E-12</v>
      </c>
      <c r="BH161" s="62">
        <f t="shared" si="116"/>
        <v>285.06897981589532</v>
      </c>
      <c r="BI161" s="62">
        <f ca="1">AVERAGE(OFFSET($BH$3,0,0,'Données projet'!$E$11+1,1))-AVERAGE(OFFSET($H$3,0,0,'Données projet'!$E$11+1,1))</f>
        <v>197.85998851681552</v>
      </c>
      <c r="BJ161" s="62">
        <f t="shared" si="146"/>
        <v>474.54844785896239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4.2265282496958188</v>
      </c>
      <c r="BQ161" s="23">
        <f>EXP(-LN(2)/25)*BQ160+(1-EXP(-LN(2)/25))/(LN(2)/25)*Calculateur!BL161*Calculateur!BN161*VLOOKUP('Données projet'!$B$11,Paramètres!$A$1:$I$89,3,0)*0.475*44/12</f>
        <v>1.2637861425721577</v>
      </c>
      <c r="BR161" s="23">
        <f>EXP(-LN(2)/2)*BR160+(1-EXP(-LN(2)/2))/(LN(2)/2)*BL161*BO161*VLOOKUP('Données projet'!$B$11,Paramètres!$A$1:$I$89,3,0)*0.475*44/12</f>
        <v>2.361792662316017E-18</v>
      </c>
      <c r="BS161" s="24">
        <f t="shared" si="169"/>
        <v>5.490314392267976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>
        <f>BY161*VLOOKUP('Données projet'!$B$12,Paramètres!$A$1:$I$89,3,0)*VLOOKUP('Données projet'!$B$12,Paramètres!$A$1:$I$89,5,0)</f>
        <v>0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72.97248599808384</v>
      </c>
      <c r="CE161" s="62">
        <f t="shared" si="148"/>
        <v>346.88163654003574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4.6068818701575562</v>
      </c>
      <c r="CL161" s="23">
        <f>EXP(-LN(2)/25)*CL160+(1-EXP(-LN(2)/25))/(LN(2)/25)*Calculateur!CG161*Calculateur!CI161*VLOOKUP('Données projet'!$B$12,Paramètres!$A$1:$I$89,3,0)*0.475*44/12</f>
        <v>0.37544419246381028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4.9823260626213663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>
        <f>CT161*VLOOKUP('Données projet'!$B$13,Paramètres!$A$1:$I$89,3,0)*VLOOKUP('Données projet'!$B$13,Paramètres!$A$1:$I$89,5,0)</f>
        <v>0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67.303283896086128</v>
      </c>
      <c r="CZ161" s="62">
        <f t="shared" si="150"/>
        <v>318.97925671653547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4.1834080492238588</v>
      </c>
      <c r="DG161" s="23">
        <f>EXP(-LN(2)/25)*DG160+(1-EXP(-LN(2)/25))/(LN(2)/25)*Calculateur!DB161*Calculateur!DD161*VLOOKUP('Données projet'!$B$13,Paramètres!$A$1:$I$89,3,0)*0.475*44/12</f>
        <v>0.34093260931254005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4.5243406585363992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>
        <f>DO161*VLOOKUP('Données projet'!$B$14,Paramètres!$A$1:$I$89,3,0)*VLOOKUP('Données projet'!$B$14,Paramètres!$A$1:$I$89,5,0)</f>
        <v>0</v>
      </c>
      <c r="DQ161" s="14" t="e">
        <f t="shared" si="176"/>
        <v>#NUM!</v>
      </c>
      <c r="DR161" s="22" t="e">
        <f t="shared" si="177"/>
        <v>#NUM!</v>
      </c>
      <c r="DS161" s="62" t="e">
        <f t="shared" si="125"/>
        <v>#NUM!</v>
      </c>
      <c r="DT161" s="62">
        <f ca="1">AVERAGE(OFFSET($DS$3,0,0,'Données projet'!$E$14+1,1))-AVERAGE(OFFSET($H$3,0,0,'Données projet'!$E$14+1,1))</f>
        <v>75.244137291704476</v>
      </c>
      <c r="DU161" s="62">
        <f t="shared" si="152"/>
        <v>366.065475656937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4.8985305071642369</v>
      </c>
      <c r="EB161" s="23">
        <f>EXP(-LN(2)/25)*EB160+(1-EXP(-LN(2)/25))/(LN(2)/25)*Calculateur!DW161*Calculateur!DY161*VLOOKUP('Données projet'!$B$14,Paramètres!$A$1:$I$89,3,0)*0.475*44/12</f>
        <v>0.39921250041922957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5.2977430075834668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1.1368683772161603E-13</v>
      </c>
      <c r="EK161" s="18">
        <f>EJ161*VLOOKUP('Données projet'!$B$15,Paramètres!$A$1:$I$89,3,0)*VLOOKUP('Données projet'!$B$15,Paramètres!$A$1:$I$89,5,0)</f>
        <v>1.0995790944434703E-13</v>
      </c>
      <c r="EL161" s="14">
        <f t="shared" si="179"/>
        <v>1.6337280948049956E-12</v>
      </c>
      <c r="EM161" s="22">
        <f t="shared" si="180"/>
        <v>3.036919790734272E-12</v>
      </c>
      <c r="EN161" s="62">
        <f t="shared" si="128"/>
        <v>285.06897981589634</v>
      </c>
      <c r="EO161" s="62">
        <f ca="1">AVERAGE(OFFSET($EN$3,0,0,'Données projet'!$E$15+1,1))-AVERAGE(OFFSET($H$3,0,0,'Données projet'!$E$15+1,1))</f>
        <v>452.74627739105745</v>
      </c>
      <c r="EP161" s="62">
        <f t="shared" si="154"/>
        <v>281.80695725575106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1.1368683772161603E-13</v>
      </c>
      <c r="FF161" s="18">
        <f>FE161*VLOOKUP('Données projet'!$B$16,Paramètres!$A$1:$I$89,3,0)*VLOOKUP('Données projet'!$B$16,Paramètres!$A$1:$I$89,5,0)</f>
        <v>1.223725121235475E-13</v>
      </c>
      <c r="FG161" s="14">
        <f t="shared" si="182"/>
        <v>1.7956824466038182E-12</v>
      </c>
      <c r="FH161" s="22">
        <f t="shared" si="183"/>
        <v>3.3406123864501612E-12</v>
      </c>
      <c r="FI161" s="62">
        <f t="shared" si="131"/>
        <v>285.06897981589668</v>
      </c>
      <c r="FJ161" s="62">
        <f ca="1">AVERAGE(OFFSET($FI$3,0,0,'Données projet'!$E$16+1,1))-AVERAGE(OFFSET($H$3,0,0,'Données projet'!$E$16+1,1))</f>
        <v>492.72391755143508</v>
      </c>
      <c r="FK161" s="62">
        <f t="shared" si="156"/>
        <v>304.88554179994355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67.746085404334536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143.77000000000001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-5.6843418860808015E-14</v>
      </c>
      <c r="O162" s="14">
        <f>N162*VLOOKUP('Données projet'!$B$9,Paramètres!$A$1:$I$89,3,0)*VLOOKUP('Données projet'!$B$9,Paramètres!$A$1:$I$89,5,0)</f>
        <v>-5.1431925385259088E-14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388.8309693898596</v>
      </c>
      <c r="T162" s="62">
        <f t="shared" si="142"/>
        <v>549.06702041234382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0.82257212726776363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0.82257212726776363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6.7984728957526396E-14</v>
      </c>
      <c r="AK162" s="14">
        <f t="shared" si="164"/>
        <v>1.0682447123141398E-12</v>
      </c>
      <c r="AL162" s="22">
        <f t="shared" si="165"/>
        <v>1.978932943548152E-12</v>
      </c>
      <c r="AM162" s="62">
        <f t="shared" si="113"/>
        <v>285.21234787309641</v>
      </c>
      <c r="AN162" s="62">
        <f ca="1">AVERAGE(OFFSET($AM$3,0,0,'Données projet'!$E$10+1,1))-AVERAGE(OFFSET($H$3,0,0,'Données projet'!$E$10+1,1))</f>
        <v>197.85998851681552</v>
      </c>
      <c r="AO162" s="62">
        <f t="shared" si="144"/>
        <v>474.54844785896239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4.1436486086469673</v>
      </c>
      <c r="AV162" s="23">
        <f>EXP(-LN(2)/25)*AV161+(1-EXP(-LN(2)/25))/(LN(2)/25)*Calculateur!AQ162*Calculateur!AS162*VLOOKUP('Données projet'!$B$10,Paramètres!$A$1:$I$89,3,0)*0.475*44/12</f>
        <v>1.2292278440438973</v>
      </c>
      <c r="AW162" s="23">
        <f>EXP(-LN(2)/2)*AW161+(1-EXP(-LN(2)/2))/(LN(2)/2)*AQ162*AT162*VLOOKUP('Données projet'!$B$10,Paramètres!$A$1:$I$89,3,0)*0.475*44/12</f>
        <v>1.6700396072802854E-18</v>
      </c>
      <c r="AX162" s="23">
        <f t="shared" si="166"/>
        <v>5.3728764526908641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1.1368683772161603E-13</v>
      </c>
      <c r="BE162" s="14">
        <f>BD162*VLOOKUP('Données projet'!$B$11,Paramètres!$A$1:$I$89,3,0)*VLOOKUP('Données projet'!$B$11,Paramètres!$A$1:$I$89,5,0)</f>
        <v>6.7984728957526396E-14</v>
      </c>
      <c r="BF162" s="14">
        <f t="shared" si="167"/>
        <v>1.0682447123141398E-12</v>
      </c>
      <c r="BG162" s="22">
        <f t="shared" si="168"/>
        <v>1.978932943548152E-12</v>
      </c>
      <c r="BH162" s="62">
        <f t="shared" si="116"/>
        <v>285.21234787309641</v>
      </c>
      <c r="BI162" s="62">
        <f ca="1">AVERAGE(OFFSET($BH$3,0,0,'Données projet'!$E$11+1,1))-AVERAGE(OFFSET($H$3,0,0,'Données projet'!$E$11+1,1))</f>
        <v>197.85998851681552</v>
      </c>
      <c r="BJ162" s="62">
        <f t="shared" si="146"/>
        <v>474.54844785896239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4.1436486086469673</v>
      </c>
      <c r="BQ162" s="23">
        <f>EXP(-LN(2)/25)*BQ161+(1-EXP(-LN(2)/25))/(LN(2)/25)*Calculateur!BL162*Calculateur!BN162*VLOOKUP('Données projet'!$B$11,Paramètres!$A$1:$I$89,3,0)*0.475*44/12</f>
        <v>1.2292278440438973</v>
      </c>
      <c r="BR162" s="23">
        <f>EXP(-LN(2)/2)*BR161+(1-EXP(-LN(2)/2))/(LN(2)/2)*BL162*BO162*VLOOKUP('Données projet'!$B$11,Paramètres!$A$1:$I$89,3,0)*0.475*44/12</f>
        <v>1.6700396072802854E-18</v>
      </c>
      <c r="BS162" s="24">
        <f t="shared" si="169"/>
        <v>5.3728764526908641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>
        <f>BY162*VLOOKUP('Données projet'!$B$12,Paramètres!$A$1:$I$89,3,0)*VLOOKUP('Données projet'!$B$12,Paramètres!$A$1:$I$89,5,0)</f>
        <v>0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72.97248599808384</v>
      </c>
      <c r="CE162" s="62">
        <f t="shared" si="148"/>
        <v>346.88163654003574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4.516543726604251</v>
      </c>
      <c r="CL162" s="23">
        <f>EXP(-LN(2)/25)*CL161+(1-EXP(-LN(2)/25))/(LN(2)/25)*Calculateur!CG162*Calculateur!CI162*VLOOKUP('Données projet'!$B$12,Paramètres!$A$1:$I$89,3,0)*0.475*44/12</f>
        <v>0.36517765127713542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4.8817213778813864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>
        <f>CT162*VLOOKUP('Données projet'!$B$13,Paramètres!$A$1:$I$89,3,0)*VLOOKUP('Données projet'!$B$13,Paramètres!$A$1:$I$89,5,0)</f>
        <v>0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67.303283896086128</v>
      </c>
      <c r="CZ162" s="62">
        <f t="shared" si="150"/>
        <v>318.97925671653547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4.1013739690055369</v>
      </c>
      <c r="DG162" s="23">
        <f>EXP(-LN(2)/25)*DG161+(1-EXP(-LN(2)/25))/(LN(2)/25)*Calculateur!DB162*Calculateur!DD162*VLOOKUP('Données projet'!$B$13,Paramètres!$A$1:$I$89,3,0)*0.475*44/12</f>
        <v>0.33160978918202194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4.4329837581875591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>
        <f>DO162*VLOOKUP('Données projet'!$B$14,Paramètres!$A$1:$I$89,3,0)*VLOOKUP('Données projet'!$B$14,Paramètres!$A$1:$I$89,5,0)</f>
        <v>0</v>
      </c>
      <c r="DQ162" s="14" t="e">
        <f t="shared" si="176"/>
        <v>#NUM!</v>
      </c>
      <c r="DR162" s="22" t="e">
        <f t="shared" si="177"/>
        <v>#NUM!</v>
      </c>
      <c r="DS162" s="62" t="e">
        <f t="shared" si="125"/>
        <v>#NUM!</v>
      </c>
      <c r="DT162" s="62">
        <f ca="1">AVERAGE(OFFSET($DS$3,0,0,'Données projet'!$E$14+1,1))-AVERAGE(OFFSET($H$3,0,0,'Données projet'!$E$14+1,1))</f>
        <v>75.244137291704476</v>
      </c>
      <c r="DU162" s="62">
        <f t="shared" si="152"/>
        <v>366.065475656937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4.8024733117273337</v>
      </c>
      <c r="EB162" s="23">
        <f>EXP(-LN(2)/25)*EB161+(1-EXP(-LN(2)/25))/(LN(2)/25)*Calculateur!DW162*Calculateur!DY162*VLOOKUP('Données projet'!$B$14,Paramètres!$A$1:$I$89,3,0)*0.475*44/12</f>
        <v>0.38829601360159277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5.1907693253289269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1.1368683772161603E-13</v>
      </c>
      <c r="EK162" s="18">
        <f>EJ162*VLOOKUP('Données projet'!$B$15,Paramètres!$A$1:$I$89,3,0)*VLOOKUP('Données projet'!$B$15,Paramètres!$A$1:$I$89,5,0)</f>
        <v>1.0995790944434703E-13</v>
      </c>
      <c r="EL162" s="14">
        <f t="shared" si="179"/>
        <v>1.6337280948049956E-12</v>
      </c>
      <c r="EM162" s="22">
        <f t="shared" si="180"/>
        <v>3.036919790734272E-12</v>
      </c>
      <c r="EN162" s="62">
        <f t="shared" si="128"/>
        <v>285.21234787309743</v>
      </c>
      <c r="EO162" s="62">
        <f ca="1">AVERAGE(OFFSET($EN$3,0,0,'Données projet'!$E$15+1,1))-AVERAGE(OFFSET($H$3,0,0,'Données projet'!$E$15+1,1))</f>
        <v>452.74627739105745</v>
      </c>
      <c r="EP162" s="62">
        <f t="shared" si="154"/>
        <v>281.80695725575106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1.1368683772161603E-13</v>
      </c>
      <c r="FF162" s="18">
        <f>FE162*VLOOKUP('Données projet'!$B$16,Paramètres!$A$1:$I$89,3,0)*VLOOKUP('Données projet'!$B$16,Paramètres!$A$1:$I$89,5,0)</f>
        <v>1.223725121235475E-13</v>
      </c>
      <c r="FG162" s="14">
        <f t="shared" si="182"/>
        <v>1.7956824466038182E-12</v>
      </c>
      <c r="FH162" s="22">
        <f t="shared" si="183"/>
        <v>3.3406123864501612E-12</v>
      </c>
      <c r="FI162" s="62">
        <f t="shared" si="131"/>
        <v>285.21234787309777</v>
      </c>
      <c r="FJ162" s="62">
        <f ca="1">AVERAGE(OFFSET($FI$3,0,0,'Données projet'!$E$16+1,1))-AVERAGE(OFFSET($H$3,0,0,'Données projet'!$E$16+1,1))</f>
        <v>492.72391755143508</v>
      </c>
      <c r="FK162" s="62">
        <f t="shared" si="156"/>
        <v>304.88554179994355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67.785185783571208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143.77000000000001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-5.6843418860808015E-14</v>
      </c>
      <c r="O163" s="14">
        <f>N163*VLOOKUP('Données projet'!$B$9,Paramètres!$A$1:$I$89,3,0)*VLOOKUP('Données projet'!$B$9,Paramètres!$A$1:$I$89,5,0)</f>
        <v>-5.1431925385259088E-14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388.8309693898596</v>
      </c>
      <c r="T163" s="62">
        <f t="shared" si="142"/>
        <v>549.06702041234382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0.80644198957149971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0.80644198957149971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6.7984728957526396E-14</v>
      </c>
      <c r="AK163" s="14">
        <f t="shared" si="164"/>
        <v>1.0682447123141398E-12</v>
      </c>
      <c r="AL163" s="22">
        <f t="shared" si="165"/>
        <v>1.978932943548152E-12</v>
      </c>
      <c r="AM163" s="62">
        <f t="shared" si="113"/>
        <v>285.35322881502793</v>
      </c>
      <c r="AN163" s="62">
        <f ca="1">AVERAGE(OFFSET($AM$3,0,0,'Données projet'!$E$10+1,1))-AVERAGE(OFFSET($H$3,0,0,'Données projet'!$E$10+1,1))</f>
        <v>197.85998851681552</v>
      </c>
      <c r="AO163" s="62">
        <f t="shared" si="144"/>
        <v>474.54844785896239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4.0623941868074942</v>
      </c>
      <c r="AV163" s="23">
        <f>EXP(-LN(2)/25)*AV162+(1-EXP(-LN(2)/25))/(LN(2)/25)*Calculateur!AQ163*Calculateur!AS163*VLOOKUP('Données projet'!$B$10,Paramètres!$A$1:$I$89,3,0)*0.475*44/12</f>
        <v>1.195614544006234</v>
      </c>
      <c r="AW163" s="23">
        <f>EXP(-LN(2)/2)*AW162+(1-EXP(-LN(2)/2))/(LN(2)/2)*AQ163*AT163*VLOOKUP('Données projet'!$B$10,Paramètres!$A$1:$I$89,3,0)*0.475*44/12</f>
        <v>1.1808963311580085E-18</v>
      </c>
      <c r="AX163" s="23">
        <f t="shared" si="166"/>
        <v>5.258008730813728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1.1368683772161603E-13</v>
      </c>
      <c r="BE163" s="14">
        <f>BD163*VLOOKUP('Données projet'!$B$11,Paramètres!$A$1:$I$89,3,0)*VLOOKUP('Données projet'!$B$11,Paramètres!$A$1:$I$89,5,0)</f>
        <v>6.7984728957526396E-14</v>
      </c>
      <c r="BF163" s="14">
        <f t="shared" si="167"/>
        <v>1.0682447123141398E-12</v>
      </c>
      <c r="BG163" s="22">
        <f t="shared" si="168"/>
        <v>1.978932943548152E-12</v>
      </c>
      <c r="BH163" s="62">
        <f t="shared" si="116"/>
        <v>285.35322881502793</v>
      </c>
      <c r="BI163" s="62">
        <f ca="1">AVERAGE(OFFSET($BH$3,0,0,'Données projet'!$E$11+1,1))-AVERAGE(OFFSET($H$3,0,0,'Données projet'!$E$11+1,1))</f>
        <v>197.85998851681552</v>
      </c>
      <c r="BJ163" s="62">
        <f t="shared" si="146"/>
        <v>474.54844785896239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4.0623941868074942</v>
      </c>
      <c r="BQ163" s="23">
        <f>EXP(-LN(2)/25)*BQ162+(1-EXP(-LN(2)/25))/(LN(2)/25)*Calculateur!BL163*Calculateur!BN163*VLOOKUP('Données projet'!$B$11,Paramètres!$A$1:$I$89,3,0)*0.475*44/12</f>
        <v>1.195614544006234</v>
      </c>
      <c r="BR163" s="23">
        <f>EXP(-LN(2)/2)*BR162+(1-EXP(-LN(2)/2))/(LN(2)/2)*BL163*BO163*VLOOKUP('Données projet'!$B$11,Paramètres!$A$1:$I$89,3,0)*0.475*44/12</f>
        <v>1.1808963311580085E-18</v>
      </c>
      <c r="BS163" s="24">
        <f t="shared" si="169"/>
        <v>5.258008730813728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>
        <f>BY163*VLOOKUP('Données projet'!$B$12,Paramètres!$A$1:$I$89,3,0)*VLOOKUP('Données projet'!$B$12,Paramètres!$A$1:$I$89,5,0)</f>
        <v>0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72.97248599808384</v>
      </c>
      <c r="CE163" s="62">
        <f t="shared" si="148"/>
        <v>346.88163654003574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4.4279770589451992</v>
      </c>
      <c r="CL163" s="23">
        <f>EXP(-LN(2)/25)*CL162+(1-EXP(-LN(2)/25))/(LN(2)/25)*Calculateur!CG163*Calculateur!CI163*VLOOKUP('Données projet'!$B$12,Paramètres!$A$1:$I$89,3,0)*0.475*44/12</f>
        <v>0.35519184919910407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4.7831689081443036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>
        <f>CT163*VLOOKUP('Données projet'!$B$13,Paramètres!$A$1:$I$89,3,0)*VLOOKUP('Données projet'!$B$13,Paramètres!$A$1:$I$89,5,0)</f>
        <v>0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67.303283896086128</v>
      </c>
      <c r="CZ163" s="62">
        <f t="shared" si="150"/>
        <v>318.97925671653547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4.0209485270644478</v>
      </c>
      <c r="DG163" s="23">
        <f>EXP(-LN(2)/25)*DG162+(1-EXP(-LN(2)/25))/(LN(2)/25)*Calculateur!DB163*Calculateur!DD163*VLOOKUP('Données projet'!$B$13,Paramètres!$A$1:$I$89,3,0)*0.475*44/12</f>
        <v>0.32254190205823863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4.3434904291226868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>
        <f>DO163*VLOOKUP('Données projet'!$B$14,Paramètres!$A$1:$I$89,3,0)*VLOOKUP('Données projet'!$B$14,Paramètres!$A$1:$I$89,5,0)</f>
        <v>0</v>
      </c>
      <c r="DQ163" s="14" t="e">
        <f t="shared" si="176"/>
        <v>#NUM!</v>
      </c>
      <c r="DR163" s="22" t="e">
        <f t="shared" si="177"/>
        <v>#NUM!</v>
      </c>
      <c r="DS163" s="62" t="e">
        <f t="shared" si="125"/>
        <v>#NUM!</v>
      </c>
      <c r="DT163" s="62">
        <f ca="1">AVERAGE(OFFSET($DS$3,0,0,'Données projet'!$E$14+1,1))-AVERAGE(OFFSET($H$3,0,0,'Données projet'!$E$14+1,1))</f>
        <v>75.244137291704476</v>
      </c>
      <c r="DU163" s="62">
        <f t="shared" si="152"/>
        <v>366.065475656937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4.7082997393038442</v>
      </c>
      <c r="EB163" s="23">
        <f>EXP(-LN(2)/25)*EB162+(1-EXP(-LN(2)/25))/(LN(2)/25)*Calculateur!DW163*Calculateur!DY163*VLOOKUP('Données projet'!$B$14,Paramètres!$A$1:$I$89,3,0)*0.475*44/12</f>
        <v>0.37767803869005734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5.0859777779939019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1.1368683772161603E-13</v>
      </c>
      <c r="EK163" s="18">
        <f>EJ163*VLOOKUP('Données projet'!$B$15,Paramètres!$A$1:$I$89,3,0)*VLOOKUP('Données projet'!$B$15,Paramètres!$A$1:$I$89,5,0)</f>
        <v>1.0995790944434703E-13</v>
      </c>
      <c r="EL163" s="14">
        <f t="shared" si="179"/>
        <v>1.6337280948049956E-12</v>
      </c>
      <c r="EM163" s="22">
        <f t="shared" si="180"/>
        <v>3.036919790734272E-12</v>
      </c>
      <c r="EN163" s="62">
        <f t="shared" si="128"/>
        <v>285.35322881502896</v>
      </c>
      <c r="EO163" s="62">
        <f ca="1">AVERAGE(OFFSET($EN$3,0,0,'Données projet'!$E$15+1,1))-AVERAGE(OFFSET($H$3,0,0,'Données projet'!$E$15+1,1))</f>
        <v>452.74627739105745</v>
      </c>
      <c r="EP163" s="62">
        <f t="shared" si="154"/>
        <v>281.80695725575106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1.1368683772161603E-13</v>
      </c>
      <c r="FF163" s="18">
        <f>FE163*VLOOKUP('Données projet'!$B$16,Paramètres!$A$1:$I$89,3,0)*VLOOKUP('Données projet'!$B$16,Paramètres!$A$1:$I$89,5,0)</f>
        <v>1.223725121235475E-13</v>
      </c>
      <c r="FG163" s="14">
        <f t="shared" si="182"/>
        <v>1.7956824466038182E-12</v>
      </c>
      <c r="FH163" s="22">
        <f t="shared" si="183"/>
        <v>3.3406123864501612E-12</v>
      </c>
      <c r="FI163" s="62">
        <f t="shared" si="131"/>
        <v>285.3532288150293</v>
      </c>
      <c r="FJ163" s="62">
        <f ca="1">AVERAGE(OFFSET($FI$3,0,0,'Données projet'!$E$16+1,1))-AVERAGE(OFFSET($H$3,0,0,'Données projet'!$E$16+1,1))</f>
        <v>492.72391755143508</v>
      </c>
      <c r="FK163" s="62">
        <f t="shared" si="156"/>
        <v>304.88554179994355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67.823607858643442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143.77000000000001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-5.6843418860808015E-14</v>
      </c>
      <c r="O164" s="14">
        <f>N164*VLOOKUP('Données projet'!$B$9,Paramètres!$A$1:$I$89,3,0)*VLOOKUP('Données projet'!$B$9,Paramètres!$A$1:$I$89,5,0)</f>
        <v>-5.1431925385259088E-14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388.8309693898596</v>
      </c>
      <c r="T164" s="62">
        <f t="shared" si="142"/>
        <v>549.06702041234382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0.790628154037047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0.790628154037047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6.7984728957526396E-14</v>
      </c>
      <c r="AK164" s="14">
        <f t="shared" si="164"/>
        <v>1.0682447123141398E-12</v>
      </c>
      <c r="AL164" s="22">
        <f t="shared" si="165"/>
        <v>1.978932943548152E-12</v>
      </c>
      <c r="AM164" s="62">
        <f t="shared" si="113"/>
        <v>285.49166578757968</v>
      </c>
      <c r="AN164" s="62">
        <f ca="1">AVERAGE(OFFSET($AM$3,0,0,'Données projet'!$E$10+1,1))-AVERAGE(OFFSET($H$3,0,0,'Données projet'!$E$10+1,1))</f>
        <v>197.85998851681552</v>
      </c>
      <c r="AO164" s="62">
        <f t="shared" si="144"/>
        <v>474.54844785896239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3.9827331146199891</v>
      </c>
      <c r="AV164" s="23">
        <f>EXP(-LN(2)/25)*AV163+(1-EXP(-LN(2)/25))/(LN(2)/25)*Calculateur!AQ164*Calculateur!AS164*VLOOKUP('Données projet'!$B$10,Paramètres!$A$1:$I$89,3,0)*0.475*44/12</f>
        <v>1.1629204014257473</v>
      </c>
      <c r="AW164" s="23">
        <f>EXP(-LN(2)/2)*AW163+(1-EXP(-LN(2)/2))/(LN(2)/2)*AQ164*AT164*VLOOKUP('Données projet'!$B$10,Paramètres!$A$1:$I$89,3,0)*0.475*44/12</f>
        <v>8.3501980364014269E-19</v>
      </c>
      <c r="AX164" s="23">
        <f t="shared" si="166"/>
        <v>5.1456535160457362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1.1368683772161603E-13</v>
      </c>
      <c r="BE164" s="14">
        <f>BD164*VLOOKUP('Données projet'!$B$11,Paramètres!$A$1:$I$89,3,0)*VLOOKUP('Données projet'!$B$11,Paramètres!$A$1:$I$89,5,0)</f>
        <v>6.7984728957526396E-14</v>
      </c>
      <c r="BF164" s="14">
        <f t="shared" si="167"/>
        <v>1.0682447123141398E-12</v>
      </c>
      <c r="BG164" s="22">
        <f t="shared" si="168"/>
        <v>1.978932943548152E-12</v>
      </c>
      <c r="BH164" s="62">
        <f t="shared" si="116"/>
        <v>285.49166578757968</v>
      </c>
      <c r="BI164" s="62">
        <f ca="1">AVERAGE(OFFSET($BH$3,0,0,'Données projet'!$E$11+1,1))-AVERAGE(OFFSET($H$3,0,0,'Données projet'!$E$11+1,1))</f>
        <v>197.85998851681552</v>
      </c>
      <c r="BJ164" s="62">
        <f t="shared" si="146"/>
        <v>474.54844785896239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3.9827331146199891</v>
      </c>
      <c r="BQ164" s="23">
        <f>EXP(-LN(2)/25)*BQ163+(1-EXP(-LN(2)/25))/(LN(2)/25)*Calculateur!BL164*Calculateur!BN164*VLOOKUP('Données projet'!$B$11,Paramètres!$A$1:$I$89,3,0)*0.475*44/12</f>
        <v>1.1629204014257473</v>
      </c>
      <c r="BR164" s="23">
        <f>EXP(-LN(2)/2)*BR163+(1-EXP(-LN(2)/2))/(LN(2)/2)*BL164*BO164*VLOOKUP('Données projet'!$B$11,Paramètres!$A$1:$I$89,3,0)*0.475*44/12</f>
        <v>8.3501980364014269E-19</v>
      </c>
      <c r="BS164" s="24">
        <f t="shared" si="169"/>
        <v>5.1456535160457362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>
        <f>BY164*VLOOKUP('Données projet'!$B$12,Paramètres!$A$1:$I$89,3,0)*VLOOKUP('Données projet'!$B$12,Paramètres!$A$1:$I$89,5,0)</f>
        <v>0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72.97248599808384</v>
      </c>
      <c r="CE164" s="62">
        <f t="shared" si="148"/>
        <v>346.88163654003574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4.3411471296186077</v>
      </c>
      <c r="CL164" s="23">
        <f>EXP(-LN(2)/25)*CL163+(1-EXP(-LN(2)/25))/(LN(2)/25)*Calculateur!CG164*Calculateur!CI164*VLOOKUP('Données projet'!$B$12,Paramètres!$A$1:$I$89,3,0)*0.475*44/12</f>
        <v>0.34547910940402704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4.686626239022635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>
        <f>CT164*VLOOKUP('Données projet'!$B$13,Paramètres!$A$1:$I$89,3,0)*VLOOKUP('Données projet'!$B$13,Paramètres!$A$1:$I$89,5,0)</f>
        <v>0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67.303283896086128</v>
      </c>
      <c r="CZ164" s="62">
        <f t="shared" si="150"/>
        <v>318.97925671653547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3.9421001789851475</v>
      </c>
      <c r="DG164" s="23">
        <f>EXP(-LN(2)/25)*DG163+(1-EXP(-LN(2)/25))/(LN(2)/25)*Calculateur!DB164*Calculateur!DD164*VLOOKUP('Données projet'!$B$13,Paramètres!$A$1:$I$89,3,0)*0.475*44/12</f>
        <v>0.31372197678471464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4.2558221557698621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>
        <f>DO164*VLOOKUP('Données projet'!$B$14,Paramètres!$A$1:$I$89,3,0)*VLOOKUP('Données projet'!$B$14,Paramètres!$A$1:$I$89,5,0)</f>
        <v>0</v>
      </c>
      <c r="DQ164" s="14" t="e">
        <f t="shared" si="176"/>
        <v>#NUM!</v>
      </c>
      <c r="DR164" s="22" t="e">
        <f t="shared" si="177"/>
        <v>#NUM!</v>
      </c>
      <c r="DS164" s="62" t="e">
        <f t="shared" si="125"/>
        <v>#NUM!</v>
      </c>
      <c r="DT164" s="62">
        <f ca="1">AVERAGE(OFFSET($DS$3,0,0,'Données projet'!$E$14+1,1))-AVERAGE(OFFSET($H$3,0,0,'Données projet'!$E$14+1,1))</f>
        <v>75.244137291704476</v>
      </c>
      <c r="DU164" s="62">
        <f t="shared" si="152"/>
        <v>366.065475656937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4.6159728531953723</v>
      </c>
      <c r="EB164" s="23">
        <f>EXP(-LN(2)/25)*EB163+(1-EXP(-LN(2)/25))/(LN(2)/25)*Calculateur!DW164*Calculateur!DY164*VLOOKUP('Données projet'!$B$14,Paramètres!$A$1:$I$89,3,0)*0.475*44/12</f>
        <v>0.36735041286085285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4.9833232660562254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1.1368683772161603E-13</v>
      </c>
      <c r="EK164" s="18">
        <f>EJ164*VLOOKUP('Données projet'!$B$15,Paramètres!$A$1:$I$89,3,0)*VLOOKUP('Données projet'!$B$15,Paramètres!$A$1:$I$89,5,0)</f>
        <v>1.0995790944434703E-13</v>
      </c>
      <c r="EL164" s="14">
        <f t="shared" si="179"/>
        <v>1.6337280948049956E-12</v>
      </c>
      <c r="EM164" s="22">
        <f t="shared" si="180"/>
        <v>3.036919790734272E-12</v>
      </c>
      <c r="EN164" s="62">
        <f t="shared" si="128"/>
        <v>285.4916657875807</v>
      </c>
      <c r="EO164" s="62">
        <f ca="1">AVERAGE(OFFSET($EN$3,0,0,'Données projet'!$E$15+1,1))-AVERAGE(OFFSET($H$3,0,0,'Données projet'!$E$15+1,1))</f>
        <v>452.74627739105745</v>
      </c>
      <c r="EP164" s="62">
        <f t="shared" si="154"/>
        <v>281.80695725575106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1.1368683772161603E-13</v>
      </c>
      <c r="FF164" s="18">
        <f>FE164*VLOOKUP('Données projet'!$B$16,Paramètres!$A$1:$I$89,3,0)*VLOOKUP('Données projet'!$B$16,Paramètres!$A$1:$I$89,5,0)</f>
        <v>1.223725121235475E-13</v>
      </c>
      <c r="FG164" s="14">
        <f t="shared" si="182"/>
        <v>1.7956824466038182E-12</v>
      </c>
      <c r="FH164" s="22">
        <f t="shared" si="183"/>
        <v>3.3406123864501612E-12</v>
      </c>
      <c r="FI164" s="62">
        <f t="shared" si="131"/>
        <v>285.49166578758104</v>
      </c>
      <c r="FJ164" s="62">
        <f ca="1">AVERAGE(OFFSET($FI$3,0,0,'Données projet'!$E$16+1,1))-AVERAGE(OFFSET($H$3,0,0,'Données projet'!$E$16+1,1))</f>
        <v>492.72391755143508</v>
      </c>
      <c r="FK164" s="62">
        <f t="shared" si="156"/>
        <v>304.88554179994355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67.861363396612091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143.77000000000001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-5.6843418860808015E-14</v>
      </c>
      <c r="O165" s="14">
        <f>N165*VLOOKUP('Données projet'!$B$9,Paramètres!$A$1:$I$89,3,0)*VLOOKUP('Données projet'!$B$9,Paramètres!$A$1:$I$89,5,0)</f>
        <v>-5.1431925385259088E-14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388.8309693898596</v>
      </c>
      <c r="T165" s="62">
        <f t="shared" si="142"/>
        <v>549.06702041234382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0.77512441817193767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0.77512441817193767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6.7984728957526396E-14</v>
      </c>
      <c r="AK165" s="14">
        <f t="shared" si="164"/>
        <v>1.0682447123141398E-12</v>
      </c>
      <c r="AL165" s="22">
        <f t="shared" si="165"/>
        <v>1.978932943548152E-12</v>
      </c>
      <c r="AM165" s="62">
        <f t="shared" si="113"/>
        <v>285.62770118815627</v>
      </c>
      <c r="AN165" s="62">
        <f ca="1">AVERAGE(OFFSET($AM$3,0,0,'Données projet'!$E$10+1,1))-AVERAGE(OFFSET($H$3,0,0,'Données projet'!$E$10+1,1))</f>
        <v>197.85998851681552</v>
      </c>
      <c r="AO165" s="62">
        <f t="shared" si="144"/>
        <v>474.54844785896239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3.9046341474696247</v>
      </c>
      <c r="AV165" s="23">
        <f>EXP(-LN(2)/25)*AV164+(1-EXP(-LN(2)/25))/(LN(2)/25)*Calculateur!AQ165*Calculateur!AS165*VLOOKUP('Données projet'!$B$10,Paramètres!$A$1:$I$89,3,0)*0.475*44/12</f>
        <v>1.1311202818934343</v>
      </c>
      <c r="AW165" s="23">
        <f>EXP(-LN(2)/2)*AW164+(1-EXP(-LN(2)/2))/(LN(2)/2)*AQ165*AT165*VLOOKUP('Données projet'!$B$10,Paramètres!$A$1:$I$89,3,0)*0.475*44/12</f>
        <v>5.9044816557900425E-19</v>
      </c>
      <c r="AX165" s="23">
        <f t="shared" si="166"/>
        <v>5.0357544293630587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1.1368683772161603E-13</v>
      </c>
      <c r="BE165" s="14">
        <f>BD165*VLOOKUP('Données projet'!$B$11,Paramètres!$A$1:$I$89,3,0)*VLOOKUP('Données projet'!$B$11,Paramètres!$A$1:$I$89,5,0)</f>
        <v>6.7984728957526396E-14</v>
      </c>
      <c r="BF165" s="14">
        <f t="shared" si="167"/>
        <v>1.0682447123141398E-12</v>
      </c>
      <c r="BG165" s="22">
        <f t="shared" si="168"/>
        <v>1.978932943548152E-12</v>
      </c>
      <c r="BH165" s="62">
        <f t="shared" si="116"/>
        <v>285.62770118815627</v>
      </c>
      <c r="BI165" s="62">
        <f ca="1">AVERAGE(OFFSET($BH$3,0,0,'Données projet'!$E$11+1,1))-AVERAGE(OFFSET($H$3,0,0,'Données projet'!$E$11+1,1))</f>
        <v>197.85998851681552</v>
      </c>
      <c r="BJ165" s="62">
        <f t="shared" si="146"/>
        <v>474.54844785896239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3.9046341474696247</v>
      </c>
      <c r="BQ165" s="23">
        <f>EXP(-LN(2)/25)*BQ164+(1-EXP(-LN(2)/25))/(LN(2)/25)*Calculateur!BL165*Calculateur!BN165*VLOOKUP('Données projet'!$B$11,Paramètres!$A$1:$I$89,3,0)*0.475*44/12</f>
        <v>1.1311202818934343</v>
      </c>
      <c r="BR165" s="23">
        <f>EXP(-LN(2)/2)*BR164+(1-EXP(-LN(2)/2))/(LN(2)/2)*BL165*BO165*VLOOKUP('Données projet'!$B$11,Paramètres!$A$1:$I$89,3,0)*0.475*44/12</f>
        <v>5.9044816557900425E-19</v>
      </c>
      <c r="BS165" s="24">
        <f t="shared" si="169"/>
        <v>5.0357544293630587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>
        <f>BY165*VLOOKUP('Données projet'!$B$12,Paramètres!$A$1:$I$89,3,0)*VLOOKUP('Données projet'!$B$12,Paramètres!$A$1:$I$89,5,0)</f>
        <v>0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72.97248599808384</v>
      </c>
      <c r="CE165" s="62">
        <f t="shared" si="148"/>
        <v>346.88163654003574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4.2560198822450834</v>
      </c>
      <c r="CL165" s="23">
        <f>EXP(-LN(2)/25)*CL164+(1-EXP(-LN(2)/25))/(LN(2)/25)*Calculateur!CG165*Calculateur!CI165*VLOOKUP('Données projet'!$B$12,Paramètres!$A$1:$I$89,3,0)*0.475*44/12</f>
        <v>0.33603196498941718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4.5920518472345009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>
        <f>CT165*VLOOKUP('Données projet'!$B$13,Paramètres!$A$1:$I$89,3,0)*VLOOKUP('Données projet'!$B$13,Paramètres!$A$1:$I$89,5,0)</f>
        <v>0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67.303283896086128</v>
      </c>
      <c r="CZ165" s="62">
        <f t="shared" si="150"/>
        <v>318.97925671653547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3.8647979989189389</v>
      </c>
      <c r="DG165" s="23">
        <f>EXP(-LN(2)/25)*DG164+(1-EXP(-LN(2)/25))/(LN(2)/25)*Calculateur!DB165*Calculateur!DD165*VLOOKUP('Données projet'!$B$13,Paramètres!$A$1:$I$89,3,0)*0.475*44/12</f>
        <v>0.30514323283161487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4.1699412317505535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>
        <f>DO165*VLOOKUP('Données projet'!$B$14,Paramètres!$A$1:$I$89,3,0)*VLOOKUP('Données projet'!$B$14,Paramètres!$A$1:$I$89,5,0)</f>
        <v>0</v>
      </c>
      <c r="DQ165" s="14" t="e">
        <f t="shared" si="176"/>
        <v>#NUM!</v>
      </c>
      <c r="DR165" s="22" t="e">
        <f t="shared" si="177"/>
        <v>#NUM!</v>
      </c>
      <c r="DS165" s="62" t="e">
        <f t="shared" si="125"/>
        <v>#NUM!</v>
      </c>
      <c r="DT165" s="62">
        <f ca="1">AVERAGE(OFFSET($DS$3,0,0,'Données projet'!$E$14+1,1))-AVERAGE(OFFSET($H$3,0,0,'Données projet'!$E$14+1,1))</f>
        <v>75.244137291704476</v>
      </c>
      <c r="DU165" s="62">
        <f t="shared" si="152"/>
        <v>366.065475656937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4.5254564410096476</v>
      </c>
      <c r="EB165" s="23">
        <f>EXP(-LN(2)/25)*EB164+(1-EXP(-LN(2)/25))/(LN(2)/25)*Calculateur!DW165*Calculateur!DY165*VLOOKUP('Données projet'!$B$14,Paramètres!$A$1:$I$89,3,0)*0.475*44/12</f>
        <v>0.3573051965030542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4.8827616375127016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1.1368683772161603E-13</v>
      </c>
      <c r="EK165" s="18">
        <f>EJ165*VLOOKUP('Données projet'!$B$15,Paramètres!$A$1:$I$89,3,0)*VLOOKUP('Données projet'!$B$15,Paramètres!$A$1:$I$89,5,0)</f>
        <v>1.0995790944434703E-13</v>
      </c>
      <c r="EL165" s="14">
        <f t="shared" si="179"/>
        <v>1.6337280948049956E-12</v>
      </c>
      <c r="EM165" s="22">
        <f t="shared" si="180"/>
        <v>3.036919790734272E-12</v>
      </c>
      <c r="EN165" s="62">
        <f t="shared" si="128"/>
        <v>285.62770118815729</v>
      </c>
      <c r="EO165" s="62">
        <f ca="1">AVERAGE(OFFSET($EN$3,0,0,'Données projet'!$E$15+1,1))-AVERAGE(OFFSET($H$3,0,0,'Données projet'!$E$15+1,1))</f>
        <v>452.74627739105745</v>
      </c>
      <c r="EP165" s="62">
        <f t="shared" si="154"/>
        <v>281.80695725575106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1.1368683772161603E-13</v>
      </c>
      <c r="FF165" s="18">
        <f>FE165*VLOOKUP('Données projet'!$B$16,Paramètres!$A$1:$I$89,3,0)*VLOOKUP('Données projet'!$B$16,Paramètres!$A$1:$I$89,5,0)</f>
        <v>1.223725121235475E-13</v>
      </c>
      <c r="FG165" s="14">
        <f t="shared" si="182"/>
        <v>1.7956824466038182E-12</v>
      </c>
      <c r="FH165" s="22">
        <f t="shared" si="183"/>
        <v>3.3406123864501612E-12</v>
      </c>
      <c r="FI165" s="62">
        <f t="shared" si="131"/>
        <v>285.62770118815763</v>
      </c>
      <c r="FJ165" s="62">
        <f ca="1">AVERAGE(OFFSET($FI$3,0,0,'Données projet'!$E$16+1,1))-AVERAGE(OFFSET($H$3,0,0,'Données projet'!$E$16+1,1))</f>
        <v>492.72391755143508</v>
      </c>
      <c r="FK165" s="62">
        <f t="shared" si="156"/>
        <v>304.88554179994355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67.898463960405707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143.77000000000001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-5.6843418860808015E-14</v>
      </c>
      <c r="O166" s="14">
        <f>N166*VLOOKUP('Données projet'!$B$9,Paramètres!$A$1:$I$89,3,0)*VLOOKUP('Données projet'!$B$9,Paramètres!$A$1:$I$89,5,0)</f>
        <v>-5.1431925385259088E-14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388.8309693898596</v>
      </c>
      <c r="T166" s="62">
        <f t="shared" si="142"/>
        <v>549.06702041234382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0.75992470111079802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0.75992470111079802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6.7984728957526396E-14</v>
      </c>
      <c r="AK166" s="14">
        <f t="shared" si="164"/>
        <v>1.0682447123141398E-12</v>
      </c>
      <c r="AL166" s="22">
        <f t="shared" si="165"/>
        <v>1.978932943548152E-12</v>
      </c>
      <c r="AM166" s="62">
        <f t="shared" si="113"/>
        <v>285.76137667866249</v>
      </c>
      <c r="AN166" s="62">
        <f ca="1">AVERAGE(OFFSET($AM$3,0,0,'Données projet'!$E$10+1,1))-AVERAGE(OFFSET($H$3,0,0,'Données projet'!$E$10+1,1))</f>
        <v>197.85998851681552</v>
      </c>
      <c r="AO166" s="62">
        <f t="shared" si="144"/>
        <v>474.54844785896239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3.8280666534294125</v>
      </c>
      <c r="AV166" s="23">
        <f>EXP(-LN(2)/25)*AV165+(1-EXP(-LN(2)/25))/(LN(2)/25)*Calculateur!AQ166*Calculateur!AS166*VLOOKUP('Données projet'!$B$10,Paramètres!$A$1:$I$89,3,0)*0.475*44/12</f>
        <v>1.1001897383020278</v>
      </c>
      <c r="AW166" s="23">
        <f>EXP(-LN(2)/2)*AW165+(1-EXP(-LN(2)/2))/(LN(2)/2)*AQ166*AT166*VLOOKUP('Données projet'!$B$10,Paramètres!$A$1:$I$89,3,0)*0.475*44/12</f>
        <v>4.1750990182007134E-19</v>
      </c>
      <c r="AX166" s="23">
        <f t="shared" si="166"/>
        <v>4.9282563917314404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1.1368683772161603E-13</v>
      </c>
      <c r="BE166" s="14">
        <f>BD166*VLOOKUP('Données projet'!$B$11,Paramètres!$A$1:$I$89,3,0)*VLOOKUP('Données projet'!$B$11,Paramètres!$A$1:$I$89,5,0)</f>
        <v>6.7984728957526396E-14</v>
      </c>
      <c r="BF166" s="14">
        <f t="shared" si="167"/>
        <v>1.0682447123141398E-12</v>
      </c>
      <c r="BG166" s="22">
        <f t="shared" si="168"/>
        <v>1.978932943548152E-12</v>
      </c>
      <c r="BH166" s="62">
        <f t="shared" si="116"/>
        <v>285.76137667866249</v>
      </c>
      <c r="BI166" s="62">
        <f ca="1">AVERAGE(OFFSET($BH$3,0,0,'Données projet'!$E$11+1,1))-AVERAGE(OFFSET($H$3,0,0,'Données projet'!$E$11+1,1))</f>
        <v>197.85998851681552</v>
      </c>
      <c r="BJ166" s="62">
        <f t="shared" si="146"/>
        <v>474.54844785896239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3.8280666534294125</v>
      </c>
      <c r="BQ166" s="23">
        <f>EXP(-LN(2)/25)*BQ165+(1-EXP(-LN(2)/25))/(LN(2)/25)*Calculateur!BL166*Calculateur!BN166*VLOOKUP('Données projet'!$B$11,Paramètres!$A$1:$I$89,3,0)*0.475*44/12</f>
        <v>1.1001897383020278</v>
      </c>
      <c r="BR166" s="23">
        <f>EXP(-LN(2)/2)*BR165+(1-EXP(-LN(2)/2))/(LN(2)/2)*BL166*BO166*VLOOKUP('Données projet'!$B$11,Paramètres!$A$1:$I$89,3,0)*0.475*44/12</f>
        <v>4.1750990182007134E-19</v>
      </c>
      <c r="BS166" s="24">
        <f t="shared" si="169"/>
        <v>4.9282563917314404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>
        <f>BY166*VLOOKUP('Données projet'!$B$12,Paramètres!$A$1:$I$89,3,0)*VLOOKUP('Données projet'!$B$12,Paramètres!$A$1:$I$89,5,0)</f>
        <v>0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72.97248599808384</v>
      </c>
      <c r="CE166" s="62">
        <f t="shared" si="148"/>
        <v>346.88163654003574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4.1725619282700599</v>
      </c>
      <c r="CL166" s="23">
        <f>EXP(-LN(2)/25)*CL165+(1-EXP(-LN(2)/25))/(LN(2)/25)*Calculateur!CG166*Calculateur!CI166*VLOOKUP('Données projet'!$B$12,Paramètres!$A$1:$I$89,3,0)*0.475*44/12</f>
        <v>0.32684315323562851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4.4994050815056887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>
        <f>CT166*VLOOKUP('Données projet'!$B$13,Paramètres!$A$1:$I$89,3,0)*VLOOKUP('Données projet'!$B$13,Paramètres!$A$1:$I$89,5,0)</f>
        <v>0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67.303283896086128</v>
      </c>
      <c r="CZ166" s="62">
        <f t="shared" si="150"/>
        <v>318.97925671653547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3.7890116674541545</v>
      </c>
      <c r="DG166" s="23">
        <f>EXP(-LN(2)/25)*DG165+(1-EXP(-LN(2)/25))/(LN(2)/25)*Calculateur!DB166*Calculateur!DD166*VLOOKUP('Données projet'!$B$13,Paramètres!$A$1:$I$89,3,0)*0.475*44/12</f>
        <v>0.29679907508304915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4.0858107425372037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>
        <f>DO166*VLOOKUP('Données projet'!$B$14,Paramètres!$A$1:$I$89,3,0)*VLOOKUP('Données projet'!$B$14,Paramètres!$A$1:$I$89,5,0)</f>
        <v>0</v>
      </c>
      <c r="DQ166" s="14" t="e">
        <f t="shared" si="176"/>
        <v>#NUM!</v>
      </c>
      <c r="DR166" s="22" t="e">
        <f t="shared" si="177"/>
        <v>#NUM!</v>
      </c>
      <c r="DS166" s="62" t="e">
        <f t="shared" si="125"/>
        <v>#NUM!</v>
      </c>
      <c r="DT166" s="62">
        <f ca="1">AVERAGE(OFFSET($DS$3,0,0,'Données projet'!$E$14+1,1))-AVERAGE(OFFSET($H$3,0,0,'Données projet'!$E$14+1,1))</f>
        <v>75.244137291704476</v>
      </c>
      <c r="DU166" s="62">
        <f t="shared" si="152"/>
        <v>366.065475656937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4.4367150004573244</v>
      </c>
      <c r="EB166" s="23">
        <f>EXP(-LN(2)/25)*EB165+(1-EXP(-LN(2)/25))/(LN(2)/25)*Calculateur!DW166*Calculateur!DY166*VLOOKUP('Données projet'!$B$14,Paramètres!$A$1:$I$89,3,0)*0.475*44/12</f>
        <v>0.34753466711481451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4.7842496675721389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1.1368683772161603E-13</v>
      </c>
      <c r="EK166" s="18">
        <f>EJ166*VLOOKUP('Données projet'!$B$15,Paramètres!$A$1:$I$89,3,0)*VLOOKUP('Données projet'!$B$15,Paramètres!$A$1:$I$89,5,0)</f>
        <v>1.0995790944434703E-13</v>
      </c>
      <c r="EL166" s="14">
        <f t="shared" si="179"/>
        <v>1.6337280948049956E-12</v>
      </c>
      <c r="EM166" s="22">
        <f t="shared" si="180"/>
        <v>3.036919790734272E-12</v>
      </c>
      <c r="EN166" s="62">
        <f t="shared" si="128"/>
        <v>285.76137667866351</v>
      </c>
      <c r="EO166" s="62">
        <f ca="1">AVERAGE(OFFSET($EN$3,0,0,'Données projet'!$E$15+1,1))-AVERAGE(OFFSET($H$3,0,0,'Données projet'!$E$15+1,1))</f>
        <v>452.74627739105745</v>
      </c>
      <c r="EP166" s="62">
        <f t="shared" si="154"/>
        <v>281.80695725575106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1.1368683772161603E-13</v>
      </c>
      <c r="FF166" s="18">
        <f>FE166*VLOOKUP('Données projet'!$B$16,Paramètres!$A$1:$I$89,3,0)*VLOOKUP('Données projet'!$B$16,Paramètres!$A$1:$I$89,5,0)</f>
        <v>1.223725121235475E-13</v>
      </c>
      <c r="FG166" s="14">
        <f t="shared" si="182"/>
        <v>1.7956824466038182E-12</v>
      </c>
      <c r="FH166" s="22">
        <f t="shared" si="183"/>
        <v>3.3406123864501612E-12</v>
      </c>
      <c r="FI166" s="62">
        <f t="shared" si="131"/>
        <v>285.76137667866385</v>
      </c>
      <c r="FJ166" s="62">
        <f ca="1">AVERAGE(OFFSET($FI$3,0,0,'Données projet'!$E$16+1,1))-AVERAGE(OFFSET($H$3,0,0,'Données projet'!$E$16+1,1))</f>
        <v>492.72391755143508</v>
      </c>
      <c r="FK166" s="62">
        <f t="shared" si="156"/>
        <v>304.88554179994355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67.934920912361946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143.77000000000001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-5.6843418860808015E-14</v>
      </c>
      <c r="O167" s="14">
        <f>N167*VLOOKUP('Données projet'!$B$9,Paramètres!$A$1:$I$89,3,0)*VLOOKUP('Données projet'!$B$9,Paramètres!$A$1:$I$89,5,0)</f>
        <v>-5.1431925385259088E-14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388.8309693898596</v>
      </c>
      <c r="T167" s="62">
        <f t="shared" si="142"/>
        <v>549.06702041234382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0.74502304123031526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0.74502304123031526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6.7984728957526396E-14</v>
      </c>
      <c r="AK167" s="14">
        <f t="shared" si="164"/>
        <v>1.0682447123141398E-12</v>
      </c>
      <c r="AL167" s="22">
        <f t="shared" si="165"/>
        <v>1.978932943548152E-12</v>
      </c>
      <c r="AM167" s="62">
        <f t="shared" si="113"/>
        <v>285.89273319826202</v>
      </c>
      <c r="AN167" s="62">
        <f ca="1">AVERAGE(OFFSET($AM$3,0,0,'Données projet'!$E$10+1,1))-AVERAGE(OFFSET($H$3,0,0,'Données projet'!$E$10+1,1))</f>
        <v>197.85998851681552</v>
      </c>
      <c r="AO167" s="62">
        <f t="shared" si="144"/>
        <v>474.54844785896239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3.7530006012457693</v>
      </c>
      <c r="AV167" s="23">
        <f>EXP(-LN(2)/25)*AV166+(1-EXP(-LN(2)/25))/(LN(2)/25)*Calculateur!AQ167*Calculateur!AS167*VLOOKUP('Données projet'!$B$10,Paramètres!$A$1:$I$89,3,0)*0.475*44/12</f>
        <v>1.070104992051695</v>
      </c>
      <c r="AW167" s="23">
        <f>EXP(-LN(2)/2)*AW166+(1-EXP(-LN(2)/2))/(LN(2)/2)*AQ167*AT167*VLOOKUP('Données projet'!$B$10,Paramètres!$A$1:$I$89,3,0)*0.475*44/12</f>
        <v>2.9522408278950212E-19</v>
      </c>
      <c r="AX167" s="23">
        <f t="shared" si="166"/>
        <v>4.8231055932974645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1.1368683772161603E-13</v>
      </c>
      <c r="BE167" s="14">
        <f>BD167*VLOOKUP('Données projet'!$B$11,Paramètres!$A$1:$I$89,3,0)*VLOOKUP('Données projet'!$B$11,Paramètres!$A$1:$I$89,5,0)</f>
        <v>6.7984728957526396E-14</v>
      </c>
      <c r="BF167" s="14">
        <f t="shared" si="167"/>
        <v>1.0682447123141398E-12</v>
      </c>
      <c r="BG167" s="22">
        <f t="shared" si="168"/>
        <v>1.978932943548152E-12</v>
      </c>
      <c r="BH167" s="62">
        <f t="shared" si="116"/>
        <v>285.89273319826202</v>
      </c>
      <c r="BI167" s="62">
        <f ca="1">AVERAGE(OFFSET($BH$3,0,0,'Données projet'!$E$11+1,1))-AVERAGE(OFFSET($H$3,0,0,'Données projet'!$E$11+1,1))</f>
        <v>197.85998851681552</v>
      </c>
      <c r="BJ167" s="62">
        <f t="shared" si="146"/>
        <v>474.54844785896239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3.7530006012457693</v>
      </c>
      <c r="BQ167" s="23">
        <f>EXP(-LN(2)/25)*BQ166+(1-EXP(-LN(2)/25))/(LN(2)/25)*Calculateur!BL167*Calculateur!BN167*VLOOKUP('Données projet'!$B$11,Paramètres!$A$1:$I$89,3,0)*0.475*44/12</f>
        <v>1.070104992051695</v>
      </c>
      <c r="BR167" s="23">
        <f>EXP(-LN(2)/2)*BR166+(1-EXP(-LN(2)/2))/(LN(2)/2)*BL167*BO167*VLOOKUP('Données projet'!$B$11,Paramètres!$A$1:$I$89,3,0)*0.475*44/12</f>
        <v>2.9522408278950212E-19</v>
      </c>
      <c r="BS167" s="24">
        <f t="shared" si="169"/>
        <v>4.8231055932974645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>
        <f>BY167*VLOOKUP('Données projet'!$B$12,Paramètres!$A$1:$I$89,3,0)*VLOOKUP('Données projet'!$B$12,Paramètres!$A$1:$I$89,5,0)</f>
        <v>0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72.97248599808384</v>
      </c>
      <c r="CE167" s="62">
        <f t="shared" si="148"/>
        <v>346.88163654003574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4.0907405338681615</v>
      </c>
      <c r="CL167" s="23">
        <f>EXP(-LN(2)/25)*CL166+(1-EXP(-LN(2)/25))/(LN(2)/25)*Calculateur!CG167*Calculateur!CI167*VLOOKUP('Données projet'!$B$12,Paramètres!$A$1:$I$89,3,0)*0.475*44/12</f>
        <v>0.31790561002246581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4.4086461438906275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>
        <f>CT167*VLOOKUP('Données projet'!$B$13,Paramètres!$A$1:$I$89,3,0)*VLOOKUP('Données projet'!$B$13,Paramètres!$A$1:$I$89,5,0)</f>
        <v>0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67.303283896086128</v>
      </c>
      <c r="CZ167" s="62">
        <f t="shared" si="150"/>
        <v>318.97925671653547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3.7147114597242967</v>
      </c>
      <c r="DG167" s="23">
        <f>EXP(-LN(2)/25)*DG166+(1-EXP(-LN(2)/25))/(LN(2)/25)*Calculateur!DB167*Calculateur!DD167*VLOOKUP('Données projet'!$B$13,Paramètres!$A$1:$I$89,3,0)*0.475*44/12</f>
        <v>0.28868308876691817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4.0033945484912152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>
        <f>DO167*VLOOKUP('Données projet'!$B$14,Paramètres!$A$1:$I$89,3,0)*VLOOKUP('Données projet'!$B$14,Paramètres!$A$1:$I$89,5,0)</f>
        <v>0</v>
      </c>
      <c r="DQ167" s="14" t="e">
        <f t="shared" si="176"/>
        <v>#NUM!</v>
      </c>
      <c r="DR167" s="22" t="e">
        <f t="shared" si="177"/>
        <v>#NUM!</v>
      </c>
      <c r="DS167" s="62" t="e">
        <f t="shared" si="125"/>
        <v>#NUM!</v>
      </c>
      <c r="DT167" s="62">
        <f ca="1">AVERAGE(OFFSET($DS$3,0,0,'Données projet'!$E$14+1,1))-AVERAGE(OFFSET($H$3,0,0,'Données projet'!$E$14+1,1))</f>
        <v>75.244137291704476</v>
      </c>
      <c r="DU167" s="62">
        <f t="shared" si="152"/>
        <v>366.065475656937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4.3497137254272982</v>
      </c>
      <c r="EB167" s="23">
        <f>EXP(-LN(2)/25)*EB166+(1-EXP(-LN(2)/25))/(LN(2)/25)*Calculateur!DW167*Calculateur!DY167*VLOOKUP('Données projet'!$B$14,Paramètres!$A$1:$I$89,3,0)*0.475*44/12</f>
        <v>0.33803131336650605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4.6877450387938042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1.1368683772161603E-13</v>
      </c>
      <c r="EK167" s="18">
        <f>EJ167*VLOOKUP('Données projet'!$B$15,Paramètres!$A$1:$I$89,3,0)*VLOOKUP('Données projet'!$B$15,Paramètres!$A$1:$I$89,5,0)</f>
        <v>1.0995790944434703E-13</v>
      </c>
      <c r="EL167" s="14">
        <f t="shared" si="179"/>
        <v>1.6337280948049956E-12</v>
      </c>
      <c r="EM167" s="22">
        <f t="shared" si="180"/>
        <v>3.036919790734272E-12</v>
      </c>
      <c r="EN167" s="62">
        <f t="shared" si="128"/>
        <v>285.89273319826304</v>
      </c>
      <c r="EO167" s="62">
        <f ca="1">AVERAGE(OFFSET($EN$3,0,0,'Données projet'!$E$15+1,1))-AVERAGE(OFFSET($H$3,0,0,'Données projet'!$E$15+1,1))</f>
        <v>452.74627739105745</v>
      </c>
      <c r="EP167" s="62">
        <f t="shared" si="154"/>
        <v>281.80695725575106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1.1368683772161603E-13</v>
      </c>
      <c r="FF167" s="18">
        <f>FE167*VLOOKUP('Données projet'!$B$16,Paramètres!$A$1:$I$89,3,0)*VLOOKUP('Données projet'!$B$16,Paramètres!$A$1:$I$89,5,0)</f>
        <v>1.223725121235475E-13</v>
      </c>
      <c r="FG167" s="14">
        <f t="shared" si="182"/>
        <v>1.7956824466038182E-12</v>
      </c>
      <c r="FH167" s="22">
        <f t="shared" si="183"/>
        <v>3.3406123864501612E-12</v>
      </c>
      <c r="FI167" s="62">
        <f t="shared" si="131"/>
        <v>285.89273319826339</v>
      </c>
      <c r="FJ167" s="62">
        <f ca="1">AVERAGE(OFFSET($FI$3,0,0,'Données projet'!$E$16+1,1))-AVERAGE(OFFSET($H$3,0,0,'Données projet'!$E$16+1,1))</f>
        <v>492.72391755143508</v>
      </c>
      <c r="FK167" s="62">
        <f t="shared" si="156"/>
        <v>304.88554179994355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67.970745417707278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143.77000000000001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-5.6843418860808015E-14</v>
      </c>
      <c r="O168" s="14">
        <f>N168*VLOOKUP('Données projet'!$B$9,Paramètres!$A$1:$I$89,3,0)*VLOOKUP('Données projet'!$B$9,Paramètres!$A$1:$I$89,5,0)</f>
        <v>-5.1431925385259088E-14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388.8309693898596</v>
      </c>
      <c r="T168" s="62">
        <f t="shared" si="142"/>
        <v>549.06702041234382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0.73041359381097382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0.73041359381097382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6.7984728957526396E-14</v>
      </c>
      <c r="AK168" s="14">
        <f t="shared" si="164"/>
        <v>1.0682447123141398E-12</v>
      </c>
      <c r="AL168" s="22">
        <f t="shared" si="165"/>
        <v>1.978932943548152E-12</v>
      </c>
      <c r="AM168" s="62">
        <f t="shared" si="113"/>
        <v>286.02181097591568</v>
      </c>
      <c r="AN168" s="62">
        <f ca="1">AVERAGE(OFFSET($AM$3,0,0,'Données projet'!$E$10+1,1))-AVERAGE(OFFSET($H$3,0,0,'Données projet'!$E$10+1,1))</f>
        <v>197.85998851681552</v>
      </c>
      <c r="AO168" s="62">
        <f t="shared" si="144"/>
        <v>474.54844785896239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3.6794065485596761</v>
      </c>
      <c r="AV168" s="23">
        <f>EXP(-LN(2)/25)*AV167+(1-EXP(-LN(2)/25))/(LN(2)/25)*Calculateur!AQ168*Calculateur!AS168*VLOOKUP('Données projet'!$B$10,Paramètres!$A$1:$I$89,3,0)*0.475*44/12</f>
        <v>1.0408429147696656</v>
      </c>
      <c r="AW168" s="23">
        <f>EXP(-LN(2)/2)*AW167+(1-EXP(-LN(2)/2))/(LN(2)/2)*AQ168*AT168*VLOOKUP('Données projet'!$B$10,Paramètres!$A$1:$I$89,3,0)*0.475*44/12</f>
        <v>2.0875495091003567E-19</v>
      </c>
      <c r="AX168" s="23">
        <f t="shared" si="166"/>
        <v>4.7202494633293419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1.1368683772161603E-13</v>
      </c>
      <c r="BE168" s="14">
        <f>BD168*VLOOKUP('Données projet'!$B$11,Paramètres!$A$1:$I$89,3,0)*VLOOKUP('Données projet'!$B$11,Paramètres!$A$1:$I$89,5,0)</f>
        <v>6.7984728957526396E-14</v>
      </c>
      <c r="BF168" s="14">
        <f t="shared" si="167"/>
        <v>1.0682447123141398E-12</v>
      </c>
      <c r="BG168" s="22">
        <f t="shared" si="168"/>
        <v>1.978932943548152E-12</v>
      </c>
      <c r="BH168" s="62">
        <f t="shared" si="116"/>
        <v>286.02181097591568</v>
      </c>
      <c r="BI168" s="62">
        <f ca="1">AVERAGE(OFFSET($BH$3,0,0,'Données projet'!$E$11+1,1))-AVERAGE(OFFSET($H$3,0,0,'Données projet'!$E$11+1,1))</f>
        <v>197.85998851681552</v>
      </c>
      <c r="BJ168" s="62">
        <f t="shared" si="146"/>
        <v>474.54844785896239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3.6794065485596761</v>
      </c>
      <c r="BQ168" s="23">
        <f>EXP(-LN(2)/25)*BQ167+(1-EXP(-LN(2)/25))/(LN(2)/25)*Calculateur!BL168*Calculateur!BN168*VLOOKUP('Données projet'!$B$11,Paramètres!$A$1:$I$89,3,0)*0.475*44/12</f>
        <v>1.0408429147696656</v>
      </c>
      <c r="BR168" s="23">
        <f>EXP(-LN(2)/2)*BR167+(1-EXP(-LN(2)/2))/(LN(2)/2)*BL168*BO168*VLOOKUP('Données projet'!$B$11,Paramètres!$A$1:$I$89,3,0)*0.475*44/12</f>
        <v>2.0875495091003567E-19</v>
      </c>
      <c r="BS168" s="24">
        <f t="shared" si="169"/>
        <v>4.7202494633293419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>
        <f>BY168*VLOOKUP('Données projet'!$B$12,Paramètres!$A$1:$I$89,3,0)*VLOOKUP('Données projet'!$B$12,Paramètres!$A$1:$I$89,5,0)</f>
        <v>0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72.97248599808384</v>
      </c>
      <c r="CE168" s="62">
        <f t="shared" si="148"/>
        <v>346.88163654003574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4.0105236071043615</v>
      </c>
      <c r="CL168" s="23">
        <f>EXP(-LN(2)/25)*CL167+(1-EXP(-LN(2)/25))/(LN(2)/25)*Calculateur!CG168*Calculateur!CI168*VLOOKUP('Données projet'!$B$12,Paramètres!$A$1:$I$89,3,0)*0.475*44/12</f>
        <v>0.30921246439847205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4.3197360715028337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>
        <f>CT168*VLOOKUP('Données projet'!$B$13,Paramètres!$A$1:$I$89,3,0)*VLOOKUP('Données projet'!$B$13,Paramètres!$A$1:$I$89,5,0)</f>
        <v>0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67.303283896086128</v>
      </c>
      <c r="CZ168" s="62">
        <f t="shared" si="150"/>
        <v>318.97925671653547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3.6418682337493693</v>
      </c>
      <c r="DG168" s="23">
        <f>EXP(-LN(2)/25)*DG167+(1-EXP(-LN(2)/25))/(LN(2)/25)*Calculateur!DB168*Calculateur!DD168*VLOOKUP('Données projet'!$B$13,Paramètres!$A$1:$I$89,3,0)*0.475*44/12</f>
        <v>0.28078903452340293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3.9226572682727721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>
        <f>DO168*VLOOKUP('Données projet'!$B$14,Paramètres!$A$1:$I$89,3,0)*VLOOKUP('Données projet'!$B$14,Paramètres!$A$1:$I$89,5,0)</f>
        <v>0</v>
      </c>
      <c r="DQ168" s="14" t="e">
        <f t="shared" si="176"/>
        <v>#NUM!</v>
      </c>
      <c r="DR168" s="22" t="e">
        <f t="shared" si="177"/>
        <v>#NUM!</v>
      </c>
      <c r="DS168" s="62" t="e">
        <f t="shared" si="125"/>
        <v>#NUM!</v>
      </c>
      <c r="DT168" s="62">
        <f ca="1">AVERAGE(OFFSET($DS$3,0,0,'Données projet'!$E$14+1,1))-AVERAGE(OFFSET($H$3,0,0,'Données projet'!$E$14+1,1))</f>
        <v>75.244137291704476</v>
      </c>
      <c r="DU168" s="62">
        <f t="shared" si="152"/>
        <v>366.065475656937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4.2644184923350732</v>
      </c>
      <c r="EB168" s="23">
        <f>EXP(-LN(2)/25)*EB167+(1-EXP(-LN(2)/25))/(LN(2)/25)*Calculateur!DW168*Calculateur!DY168*VLOOKUP('Données projet'!$B$14,Paramètres!$A$1:$I$89,3,0)*0.475*44/12</f>
        <v>0.32878782932620476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4.5932063216612775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1.1368683772161603E-13</v>
      </c>
      <c r="EK168" s="18">
        <f>EJ168*VLOOKUP('Données projet'!$B$15,Paramètres!$A$1:$I$89,3,0)*VLOOKUP('Données projet'!$B$15,Paramètres!$A$1:$I$89,5,0)</f>
        <v>1.0995790944434703E-13</v>
      </c>
      <c r="EL168" s="14">
        <f t="shared" si="179"/>
        <v>1.6337280948049956E-12</v>
      </c>
      <c r="EM168" s="22">
        <f t="shared" si="180"/>
        <v>3.036919790734272E-12</v>
      </c>
      <c r="EN168" s="62">
        <f t="shared" si="128"/>
        <v>286.02181097591671</v>
      </c>
      <c r="EO168" s="62">
        <f ca="1">AVERAGE(OFFSET($EN$3,0,0,'Données projet'!$E$15+1,1))-AVERAGE(OFFSET($H$3,0,0,'Données projet'!$E$15+1,1))</f>
        <v>452.74627739105745</v>
      </c>
      <c r="EP168" s="62">
        <f t="shared" si="154"/>
        <v>281.80695725575106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1.1368683772161603E-13</v>
      </c>
      <c r="FF168" s="18">
        <f>FE168*VLOOKUP('Données projet'!$B$16,Paramètres!$A$1:$I$89,3,0)*VLOOKUP('Données projet'!$B$16,Paramètres!$A$1:$I$89,5,0)</f>
        <v>1.223725121235475E-13</v>
      </c>
      <c r="FG168" s="14">
        <f t="shared" si="182"/>
        <v>1.7956824466038182E-12</v>
      </c>
      <c r="FH168" s="22">
        <f t="shared" si="183"/>
        <v>3.3406123864501612E-12</v>
      </c>
      <c r="FI168" s="62">
        <f t="shared" si="131"/>
        <v>286.02181097591705</v>
      </c>
      <c r="FJ168" s="62">
        <f ca="1">AVERAGE(OFFSET($FI$3,0,0,'Données projet'!$E$16+1,1))-AVERAGE(OFFSET($H$3,0,0,'Données projet'!$E$16+1,1))</f>
        <v>492.72391755143508</v>
      </c>
      <c r="FK168" s="62">
        <f t="shared" si="156"/>
        <v>304.88554179994355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68.005948447976465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143.77000000000001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-5.6843418860808015E-14</v>
      </c>
      <c r="O169" s="14">
        <f>N169*VLOOKUP('Données projet'!$B$9,Paramètres!$A$1:$I$89,3,0)*VLOOKUP('Données projet'!$B$9,Paramètres!$A$1:$I$89,5,0)</f>
        <v>-5.1431925385259088E-14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388.8309693898596</v>
      </c>
      <c r="T169" s="62">
        <f t="shared" si="142"/>
        <v>549.06702041234382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0.71609062874464258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0.71609062874464258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6.7984728957526396E-14</v>
      </c>
      <c r="AK169" s="14">
        <f t="shared" si="164"/>
        <v>1.0682447123141398E-12</v>
      </c>
      <c r="AL169" s="22">
        <f t="shared" si="165"/>
        <v>1.978932943548152E-12</v>
      </c>
      <c r="AM169" s="62">
        <f t="shared" si="113"/>
        <v>286.14864954270178</v>
      </c>
      <c r="AN169" s="62">
        <f ca="1">AVERAGE(OFFSET($AM$3,0,0,'Données projet'!$E$10+1,1))-AVERAGE(OFFSET($H$3,0,0,'Données projet'!$E$10+1,1))</f>
        <v>197.85998851681552</v>
      </c>
      <c r="AO169" s="62">
        <f t="shared" si="144"/>
        <v>474.54844785896239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3.6072556303588175</v>
      </c>
      <c r="AV169" s="23">
        <f>EXP(-LN(2)/25)*AV168+(1-EXP(-LN(2)/25))/(LN(2)/25)*Calculateur!AQ169*Calculateur!AS169*VLOOKUP('Données projet'!$B$10,Paramètres!$A$1:$I$89,3,0)*0.475*44/12</f>
        <v>1.0123810105297391</v>
      </c>
      <c r="AW169" s="23">
        <f>EXP(-LN(2)/2)*AW168+(1-EXP(-LN(2)/2))/(LN(2)/2)*AQ169*AT169*VLOOKUP('Données projet'!$B$10,Paramètres!$A$1:$I$89,3,0)*0.475*44/12</f>
        <v>1.4761204139475106E-19</v>
      </c>
      <c r="AX169" s="23">
        <f t="shared" si="166"/>
        <v>4.6196366408885563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1.1368683772161603E-13</v>
      </c>
      <c r="BE169" s="14">
        <f>BD169*VLOOKUP('Données projet'!$B$11,Paramètres!$A$1:$I$89,3,0)*VLOOKUP('Données projet'!$B$11,Paramètres!$A$1:$I$89,5,0)</f>
        <v>6.7984728957526396E-14</v>
      </c>
      <c r="BF169" s="14">
        <f t="shared" si="167"/>
        <v>1.0682447123141398E-12</v>
      </c>
      <c r="BG169" s="22">
        <f t="shared" si="168"/>
        <v>1.978932943548152E-12</v>
      </c>
      <c r="BH169" s="62">
        <f t="shared" si="116"/>
        <v>286.14864954270178</v>
      </c>
      <c r="BI169" s="62">
        <f ca="1">AVERAGE(OFFSET($BH$3,0,0,'Données projet'!$E$11+1,1))-AVERAGE(OFFSET($H$3,0,0,'Données projet'!$E$11+1,1))</f>
        <v>197.85998851681552</v>
      </c>
      <c r="BJ169" s="62">
        <f t="shared" si="146"/>
        <v>474.54844785896239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3.6072556303588175</v>
      </c>
      <c r="BQ169" s="23">
        <f>EXP(-LN(2)/25)*BQ168+(1-EXP(-LN(2)/25))/(LN(2)/25)*Calculateur!BL169*Calculateur!BN169*VLOOKUP('Données projet'!$B$11,Paramètres!$A$1:$I$89,3,0)*0.475*44/12</f>
        <v>1.0123810105297391</v>
      </c>
      <c r="BR169" s="23">
        <f>EXP(-LN(2)/2)*BR168+(1-EXP(-LN(2)/2))/(LN(2)/2)*BL169*BO169*VLOOKUP('Données projet'!$B$11,Paramètres!$A$1:$I$89,3,0)*0.475*44/12</f>
        <v>1.4761204139475106E-19</v>
      </c>
      <c r="BS169" s="24">
        <f t="shared" si="169"/>
        <v>4.6196366408885563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>
        <f>BY169*VLOOKUP('Données projet'!$B$12,Paramètres!$A$1:$I$89,3,0)*VLOOKUP('Données projet'!$B$12,Paramètres!$A$1:$I$89,5,0)</f>
        <v>0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72.97248599808384</v>
      </c>
      <c r="CE169" s="62">
        <f t="shared" si="148"/>
        <v>346.88163654003574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3.9318796853469054</v>
      </c>
      <c r="CL169" s="23">
        <f>EXP(-LN(2)/25)*CL168+(1-EXP(-LN(2)/25))/(LN(2)/25)*Calculateur!CG169*Calculateur!CI169*VLOOKUP('Données projet'!$B$12,Paramètres!$A$1:$I$89,3,0)*0.475*44/12</f>
        <v>0.30075703329871906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4.2326367186456242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>
        <f>CT169*VLOOKUP('Données projet'!$B$13,Paramètres!$A$1:$I$89,3,0)*VLOOKUP('Données projet'!$B$13,Paramètres!$A$1:$I$89,5,0)</f>
        <v>0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67.303283896086128</v>
      </c>
      <c r="CZ169" s="62">
        <f t="shared" si="150"/>
        <v>318.97925671653547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3.5704534190058297</v>
      </c>
      <c r="DG169" s="23">
        <f>EXP(-LN(2)/25)*DG168+(1-EXP(-LN(2)/25))/(LN(2)/25)*Calculateur!DB169*Calculateur!DD169*VLOOKUP('Données projet'!$B$13,Paramètres!$A$1:$I$89,3,0)*0.475*44/12</f>
        <v>0.2731108436083069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3.8435642626141364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>
        <f>DO169*VLOOKUP('Données projet'!$B$14,Paramètres!$A$1:$I$89,3,0)*VLOOKUP('Données projet'!$B$14,Paramètres!$A$1:$I$89,5,0)</f>
        <v>0</v>
      </c>
      <c r="DQ169" s="14" t="e">
        <f t="shared" si="176"/>
        <v>#NUM!</v>
      </c>
      <c r="DR169" s="22" t="e">
        <f t="shared" si="177"/>
        <v>#NUM!</v>
      </c>
      <c r="DS169" s="62" t="e">
        <f t="shared" si="125"/>
        <v>#NUM!</v>
      </c>
      <c r="DT169" s="62">
        <f ca="1">AVERAGE(OFFSET($DS$3,0,0,'Données projet'!$E$14+1,1))-AVERAGE(OFFSET($H$3,0,0,'Données projet'!$E$14+1,1))</f>
        <v>75.244137291704476</v>
      </c>
      <c r="DU169" s="62">
        <f t="shared" si="152"/>
        <v>366.065475656937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4.1807958467388318</v>
      </c>
      <c r="EB169" s="23">
        <f>EXP(-LN(2)/25)*EB168+(1-EXP(-LN(2)/25))/(LN(2)/25)*Calculateur!DW169*Calculateur!DY169*VLOOKUP('Données projet'!$B$14,Paramètres!$A$1:$I$89,3,0)*0.475*44/12</f>
        <v>0.31979710884307921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4.5005929555819106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1.1368683772161603E-13</v>
      </c>
      <c r="EK169" s="18">
        <f>EJ169*VLOOKUP('Données projet'!$B$15,Paramètres!$A$1:$I$89,3,0)*VLOOKUP('Données projet'!$B$15,Paramètres!$A$1:$I$89,5,0)</f>
        <v>1.0995790944434703E-13</v>
      </c>
      <c r="EL169" s="14">
        <f t="shared" si="179"/>
        <v>1.6337280948049956E-12</v>
      </c>
      <c r="EM169" s="22">
        <f t="shared" si="180"/>
        <v>3.036919790734272E-12</v>
      </c>
      <c r="EN169" s="62">
        <f t="shared" si="128"/>
        <v>286.1486495427028</v>
      </c>
      <c r="EO169" s="62">
        <f ca="1">AVERAGE(OFFSET($EN$3,0,0,'Données projet'!$E$15+1,1))-AVERAGE(OFFSET($H$3,0,0,'Données projet'!$E$15+1,1))</f>
        <v>452.74627739105745</v>
      </c>
      <c r="EP169" s="62">
        <f t="shared" si="154"/>
        <v>281.80695725575106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1.1368683772161603E-13</v>
      </c>
      <c r="FF169" s="18">
        <f>FE169*VLOOKUP('Données projet'!$B$16,Paramètres!$A$1:$I$89,3,0)*VLOOKUP('Données projet'!$B$16,Paramètres!$A$1:$I$89,5,0)</f>
        <v>1.223725121235475E-13</v>
      </c>
      <c r="FG169" s="14">
        <f t="shared" si="182"/>
        <v>1.7956824466038182E-12</v>
      </c>
      <c r="FH169" s="22">
        <f t="shared" si="183"/>
        <v>3.3406123864501612E-12</v>
      </c>
      <c r="FI169" s="62">
        <f t="shared" si="131"/>
        <v>286.14864954270314</v>
      </c>
      <c r="FJ169" s="62">
        <f ca="1">AVERAGE(OFFSET($FI$3,0,0,'Données projet'!$E$16+1,1))-AVERAGE(OFFSET($H$3,0,0,'Données projet'!$E$16+1,1))</f>
        <v>492.72391755143508</v>
      </c>
      <c r="FK169" s="62">
        <f t="shared" si="156"/>
        <v>304.88554179994355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68.040540784372666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143.77000000000001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-5.6843418860808015E-14</v>
      </c>
      <c r="O170" s="14">
        <f>N170*VLOOKUP('Données projet'!$B$9,Paramètres!$A$1:$I$89,3,0)*VLOOKUP('Données projet'!$B$9,Paramètres!$A$1:$I$89,5,0)</f>
        <v>-5.1431925385259088E-14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388.8309693898596</v>
      </c>
      <c r="T170" s="62">
        <f t="shared" si="142"/>
        <v>549.06702041234382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0.70204852828711595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0.70204852828711595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6.7984728957526396E-14</v>
      </c>
      <c r="AK170" s="14">
        <f t="shared" si="164"/>
        <v>1.0682447123141398E-12</v>
      </c>
      <c r="AL170" s="22">
        <f t="shared" si="165"/>
        <v>1.978932943548152E-12</v>
      </c>
      <c r="AM170" s="62">
        <f t="shared" si="113"/>
        <v>286.27328774392265</v>
      </c>
      <c r="AN170" s="62">
        <f ca="1">AVERAGE(OFFSET($AM$3,0,0,'Données projet'!$E$10+1,1))-AVERAGE(OFFSET($H$3,0,0,'Données projet'!$E$10+1,1))</f>
        <v>197.85998851681552</v>
      </c>
      <c r="AO170" s="62">
        <f t="shared" si="144"/>
        <v>474.54844785896239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3.5365195476561628</v>
      </c>
      <c r="AV170" s="23">
        <f>EXP(-LN(2)/25)*AV169+(1-EXP(-LN(2)/25))/(LN(2)/25)*Calculateur!AQ170*Calculateur!AS170*VLOOKUP('Données projet'!$B$10,Paramètres!$A$1:$I$89,3,0)*0.475*44/12</f>
        <v>0.98469739855799987</v>
      </c>
      <c r="AW170" s="23">
        <f>EXP(-LN(2)/2)*AW169+(1-EXP(-LN(2)/2))/(LN(2)/2)*AQ170*AT170*VLOOKUP('Données projet'!$B$10,Paramètres!$A$1:$I$89,3,0)*0.475*44/12</f>
        <v>1.0437747545501784E-19</v>
      </c>
      <c r="AX170" s="23">
        <f t="shared" si="166"/>
        <v>4.5212169462141629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1.1368683772161603E-13</v>
      </c>
      <c r="BE170" s="14">
        <f>BD170*VLOOKUP('Données projet'!$B$11,Paramètres!$A$1:$I$89,3,0)*VLOOKUP('Données projet'!$B$11,Paramètres!$A$1:$I$89,5,0)</f>
        <v>6.7984728957526396E-14</v>
      </c>
      <c r="BF170" s="14">
        <f t="shared" si="167"/>
        <v>1.0682447123141398E-12</v>
      </c>
      <c r="BG170" s="22">
        <f t="shared" si="168"/>
        <v>1.978932943548152E-12</v>
      </c>
      <c r="BH170" s="62">
        <f t="shared" si="116"/>
        <v>286.27328774392265</v>
      </c>
      <c r="BI170" s="62">
        <f ca="1">AVERAGE(OFFSET($BH$3,0,0,'Données projet'!$E$11+1,1))-AVERAGE(OFFSET($H$3,0,0,'Données projet'!$E$11+1,1))</f>
        <v>197.85998851681552</v>
      </c>
      <c r="BJ170" s="62">
        <f t="shared" si="146"/>
        <v>474.54844785896239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3.5365195476561628</v>
      </c>
      <c r="BQ170" s="23">
        <f>EXP(-LN(2)/25)*BQ169+(1-EXP(-LN(2)/25))/(LN(2)/25)*Calculateur!BL170*Calculateur!BN170*VLOOKUP('Données projet'!$B$11,Paramètres!$A$1:$I$89,3,0)*0.475*44/12</f>
        <v>0.98469739855799987</v>
      </c>
      <c r="BR170" s="23">
        <f>EXP(-LN(2)/2)*BR169+(1-EXP(-LN(2)/2))/(LN(2)/2)*BL170*BO170*VLOOKUP('Données projet'!$B$11,Paramètres!$A$1:$I$89,3,0)*0.475*44/12</f>
        <v>1.0437747545501784E-19</v>
      </c>
      <c r="BS170" s="24">
        <f t="shared" si="169"/>
        <v>4.5212169462141629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>
        <f>BY170*VLOOKUP('Données projet'!$B$12,Paramètres!$A$1:$I$89,3,0)*VLOOKUP('Données projet'!$B$12,Paramètres!$A$1:$I$89,5,0)</f>
        <v>0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72.97248599808384</v>
      </c>
      <c r="CE170" s="62">
        <f t="shared" si="148"/>
        <v>346.88163654003574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3.8547779229270569</v>
      </c>
      <c r="CL170" s="23">
        <f>EXP(-LN(2)/25)*CL169+(1-EXP(-LN(2)/25))/(LN(2)/25)*Calculateur!CG170*Calculateur!CI170*VLOOKUP('Données projet'!$B$12,Paramètres!$A$1:$I$89,3,0)*0.475*44/12</f>
        <v>0.2925328164070406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4.1473107393340971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>
        <f>CT170*VLOOKUP('Données projet'!$B$13,Paramètres!$A$1:$I$89,3,0)*VLOOKUP('Données projet'!$B$13,Paramètres!$A$1:$I$89,5,0)</f>
        <v>0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67.303283896086128</v>
      </c>
      <c r="CZ170" s="62">
        <f t="shared" si="150"/>
        <v>318.97925671653547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3.5004390052206751</v>
      </c>
      <c r="DG170" s="23">
        <f>EXP(-LN(2)/25)*DG169+(1-EXP(-LN(2)/25))/(LN(2)/25)*Calculateur!DB170*Calculateur!DD170*VLOOKUP('Données projet'!$B$13,Paramètres!$A$1:$I$89,3,0)*0.475*44/12</f>
        <v>0.26564261322756266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3.7660816184482377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>
        <f>DO170*VLOOKUP('Données projet'!$B$14,Paramètres!$A$1:$I$89,3,0)*VLOOKUP('Données projet'!$B$14,Paramètres!$A$1:$I$89,5,0)</f>
        <v>0</v>
      </c>
      <c r="DQ170" s="14" t="e">
        <f t="shared" si="176"/>
        <v>#NUM!</v>
      </c>
      <c r="DR170" s="22" t="e">
        <f t="shared" si="177"/>
        <v>#NUM!</v>
      </c>
      <c r="DS170" s="62" t="e">
        <f t="shared" si="125"/>
        <v>#NUM!</v>
      </c>
      <c r="DT170" s="62">
        <f ca="1">AVERAGE(OFFSET($DS$3,0,0,'Données projet'!$E$14+1,1))-AVERAGE(OFFSET($H$3,0,0,'Données projet'!$E$14+1,1))</f>
        <v>75.244137291704476</v>
      </c>
      <c r="DU170" s="62">
        <f t="shared" si="152"/>
        <v>366.065475656937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4.0988129902179544</v>
      </c>
      <c r="EB170" s="23">
        <f>EXP(-LN(2)/25)*EB169+(1-EXP(-LN(2)/25))/(LN(2)/25)*Calculateur!DW170*Calculateur!DY170*VLOOKUP('Données projet'!$B$14,Paramètres!$A$1:$I$89,3,0)*0.475*44/12</f>
        <v>0.31105224008436616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4.4098652303023202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1.1368683772161603E-13</v>
      </c>
      <c r="EK170" s="18">
        <f>EJ170*VLOOKUP('Données projet'!$B$15,Paramètres!$A$1:$I$89,3,0)*VLOOKUP('Données projet'!$B$15,Paramètres!$A$1:$I$89,5,0)</f>
        <v>1.0995790944434703E-13</v>
      </c>
      <c r="EL170" s="14">
        <f t="shared" si="179"/>
        <v>1.6337280948049956E-12</v>
      </c>
      <c r="EM170" s="22">
        <f t="shared" si="180"/>
        <v>3.036919790734272E-12</v>
      </c>
      <c r="EN170" s="62">
        <f t="shared" si="128"/>
        <v>286.27328774392367</v>
      </c>
      <c r="EO170" s="62">
        <f ca="1">AVERAGE(OFFSET($EN$3,0,0,'Données projet'!$E$15+1,1))-AVERAGE(OFFSET($H$3,0,0,'Données projet'!$E$15+1,1))</f>
        <v>452.74627739105745</v>
      </c>
      <c r="EP170" s="62">
        <f t="shared" si="154"/>
        <v>281.80695725575106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1.1368683772161603E-13</v>
      </c>
      <c r="FF170" s="18">
        <f>FE170*VLOOKUP('Données projet'!$B$16,Paramètres!$A$1:$I$89,3,0)*VLOOKUP('Données projet'!$B$16,Paramètres!$A$1:$I$89,5,0)</f>
        <v>1.223725121235475E-13</v>
      </c>
      <c r="FG170" s="14">
        <f t="shared" si="182"/>
        <v>1.7956824466038182E-12</v>
      </c>
      <c r="FH170" s="22">
        <f t="shared" si="183"/>
        <v>3.3406123864501612E-12</v>
      </c>
      <c r="FI170" s="62">
        <f t="shared" si="131"/>
        <v>286.27328774392402</v>
      </c>
      <c r="FJ170" s="62">
        <f ca="1">AVERAGE(OFFSET($FI$3,0,0,'Données projet'!$E$16+1,1))-AVERAGE(OFFSET($H$3,0,0,'Données projet'!$E$16+1,1))</f>
        <v>492.72391755143508</v>
      </c>
      <c r="FK170" s="62">
        <f t="shared" si="156"/>
        <v>304.88554179994355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68.074533021069271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143.77000000000001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-5.6843418860808015E-14</v>
      </c>
      <c r="O171" s="14">
        <f>N171*VLOOKUP('Données projet'!$B$9,Paramètres!$A$1:$I$89,3,0)*VLOOKUP('Données projet'!$B$9,Paramètres!$A$1:$I$89,5,0)</f>
        <v>-5.1431925385259088E-14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388.8309693898596</v>
      </c>
      <c r="T171" s="62">
        <f t="shared" si="142"/>
        <v>549.06702041234382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0.68828178485472591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0.68828178485472591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6.7984728957526396E-14</v>
      </c>
      <c r="AK171" s="14">
        <f t="shared" si="164"/>
        <v>1.0682447123141398E-12</v>
      </c>
      <c r="AL171" s="22">
        <f t="shared" si="165"/>
        <v>1.978932943548152E-12</v>
      </c>
      <c r="AM171" s="62">
        <f t="shared" si="113"/>
        <v>286.3957637510016</v>
      </c>
      <c r="AN171" s="62">
        <f ca="1">AVERAGE(OFFSET($AM$3,0,0,'Données projet'!$E$10+1,1))-AVERAGE(OFFSET($H$3,0,0,'Données projet'!$E$10+1,1))</f>
        <v>197.85998851681552</v>
      </c>
      <c r="AO171" s="62">
        <f t="shared" si="144"/>
        <v>474.54844785896239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3.467170556390557</v>
      </c>
      <c r="AV171" s="23">
        <f>EXP(-LN(2)/25)*AV170+(1-EXP(-LN(2)/25))/(LN(2)/25)*Calculateur!AQ171*Calculateur!AS171*VLOOKUP('Données projet'!$B$10,Paramètres!$A$1:$I$89,3,0)*0.475*44/12</f>
        <v>0.95777079641144569</v>
      </c>
      <c r="AW171" s="23">
        <f>EXP(-LN(2)/2)*AW170+(1-EXP(-LN(2)/2))/(LN(2)/2)*AQ171*AT171*VLOOKUP('Données projet'!$B$10,Paramètres!$A$1:$I$89,3,0)*0.475*44/12</f>
        <v>7.3806020697375531E-20</v>
      </c>
      <c r="AX171" s="23">
        <f t="shared" si="166"/>
        <v>4.4249413528020032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1.1368683772161603E-13</v>
      </c>
      <c r="BE171" s="14">
        <f>BD171*VLOOKUP('Données projet'!$B$11,Paramètres!$A$1:$I$89,3,0)*VLOOKUP('Données projet'!$B$11,Paramètres!$A$1:$I$89,5,0)</f>
        <v>6.7984728957526396E-14</v>
      </c>
      <c r="BF171" s="14">
        <f t="shared" si="167"/>
        <v>1.0682447123141398E-12</v>
      </c>
      <c r="BG171" s="22">
        <f t="shared" si="168"/>
        <v>1.978932943548152E-12</v>
      </c>
      <c r="BH171" s="62">
        <f t="shared" si="116"/>
        <v>286.3957637510016</v>
      </c>
      <c r="BI171" s="62">
        <f ca="1">AVERAGE(OFFSET($BH$3,0,0,'Données projet'!$E$11+1,1))-AVERAGE(OFFSET($H$3,0,0,'Données projet'!$E$11+1,1))</f>
        <v>197.85998851681552</v>
      </c>
      <c r="BJ171" s="62">
        <f t="shared" si="146"/>
        <v>474.54844785896239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3.467170556390557</v>
      </c>
      <c r="BQ171" s="23">
        <f>EXP(-LN(2)/25)*BQ170+(1-EXP(-LN(2)/25))/(LN(2)/25)*Calculateur!BL171*Calculateur!BN171*VLOOKUP('Données projet'!$B$11,Paramètres!$A$1:$I$89,3,0)*0.475*44/12</f>
        <v>0.95777079641144569</v>
      </c>
      <c r="BR171" s="23">
        <f>EXP(-LN(2)/2)*BR170+(1-EXP(-LN(2)/2))/(LN(2)/2)*BL171*BO171*VLOOKUP('Données projet'!$B$11,Paramètres!$A$1:$I$89,3,0)*0.475*44/12</f>
        <v>7.3806020697375531E-20</v>
      </c>
      <c r="BS171" s="24">
        <f t="shared" si="169"/>
        <v>4.4249413528020032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>
        <f>BY171*VLOOKUP('Données projet'!$B$12,Paramètres!$A$1:$I$89,3,0)*VLOOKUP('Données projet'!$B$12,Paramètres!$A$1:$I$89,5,0)</f>
        <v>0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72.97248599808384</v>
      </c>
      <c r="CE171" s="62">
        <f t="shared" si="148"/>
        <v>346.88163654003574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3.7791880790408303</v>
      </c>
      <c r="CL171" s="23">
        <f>EXP(-LN(2)/25)*CL170+(1-EXP(-LN(2)/25))/(LN(2)/25)*Calculateur!CG171*Calculateur!CI171*VLOOKUP('Données projet'!$B$12,Paramètres!$A$1:$I$89,3,0)*0.475*44/12</f>
        <v>0.28453349115875787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4.0637215701995881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>
        <f>CT171*VLOOKUP('Données projet'!$B$13,Paramètres!$A$1:$I$89,3,0)*VLOOKUP('Données projet'!$B$13,Paramètres!$A$1:$I$89,5,0)</f>
        <v>0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67.303283896086128</v>
      </c>
      <c r="CZ171" s="62">
        <f t="shared" si="150"/>
        <v>318.97925671653547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3.4317975313852713</v>
      </c>
      <c r="DG171" s="23">
        <f>EXP(-LN(2)/25)*DG170+(1-EXP(-LN(2)/25))/(LN(2)/25)*Calculateur!DB171*Calculateur!DD171*VLOOKUP('Données projet'!$B$13,Paramètres!$A$1:$I$89,3,0)*0.475*44/12</f>
        <v>0.25837860199931706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3.6901761333845884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>
        <f>DO171*VLOOKUP('Données projet'!$B$14,Paramètres!$A$1:$I$89,3,0)*VLOOKUP('Données projet'!$B$14,Paramètres!$A$1:$I$89,5,0)</f>
        <v>0</v>
      </c>
      <c r="DQ171" s="14" t="e">
        <f t="shared" si="176"/>
        <v>#NUM!</v>
      </c>
      <c r="DR171" s="22" t="e">
        <f t="shared" si="177"/>
        <v>#NUM!</v>
      </c>
      <c r="DS171" s="62" t="e">
        <f t="shared" si="125"/>
        <v>#NUM!</v>
      </c>
      <c r="DT171" s="62">
        <f ca="1">AVERAGE(OFFSET($DS$3,0,0,'Données projet'!$E$14+1,1))-AVERAGE(OFFSET($H$3,0,0,'Données projet'!$E$14+1,1))</f>
        <v>75.244137291704476</v>
      </c>
      <c r="DU171" s="62">
        <f t="shared" si="152"/>
        <v>366.065475656937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4.0184377675088472</v>
      </c>
      <c r="EB171" s="23">
        <f>EXP(-LN(2)/25)*EB170+(1-EXP(-LN(2)/25))/(LN(2)/25)*Calculateur!DW171*Calculateur!DY171*VLOOKUP('Données projet'!$B$14,Paramètres!$A$1:$I$89,3,0)*0.475*44/12</f>
        <v>0.30254650022173279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4.3209842677305801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1.1368683772161603E-13</v>
      </c>
      <c r="EK171" s="18">
        <f>EJ171*VLOOKUP('Données projet'!$B$15,Paramètres!$A$1:$I$89,3,0)*VLOOKUP('Données projet'!$B$15,Paramètres!$A$1:$I$89,5,0)</f>
        <v>1.0995790944434703E-13</v>
      </c>
      <c r="EL171" s="14">
        <f t="shared" si="179"/>
        <v>1.6337280948049956E-12</v>
      </c>
      <c r="EM171" s="22">
        <f t="shared" si="180"/>
        <v>3.036919790734272E-12</v>
      </c>
      <c r="EN171" s="62">
        <f t="shared" si="128"/>
        <v>286.39576375100262</v>
      </c>
      <c r="EO171" s="62">
        <f ca="1">AVERAGE(OFFSET($EN$3,0,0,'Données projet'!$E$15+1,1))-AVERAGE(OFFSET($H$3,0,0,'Données projet'!$E$15+1,1))</f>
        <v>452.74627739105745</v>
      </c>
      <c r="EP171" s="62">
        <f t="shared" si="154"/>
        <v>281.80695725575106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1.1368683772161603E-13</v>
      </c>
      <c r="FF171" s="18">
        <f>FE171*VLOOKUP('Données projet'!$B$16,Paramètres!$A$1:$I$89,3,0)*VLOOKUP('Données projet'!$B$16,Paramètres!$A$1:$I$89,5,0)</f>
        <v>1.223725121235475E-13</v>
      </c>
      <c r="FG171" s="14">
        <f t="shared" si="182"/>
        <v>1.7956824466038182E-12</v>
      </c>
      <c r="FH171" s="22">
        <f t="shared" si="183"/>
        <v>3.3406123864501612E-12</v>
      </c>
      <c r="FI171" s="62">
        <f t="shared" si="131"/>
        <v>286.39576375100296</v>
      </c>
      <c r="FJ171" s="62">
        <f ca="1">AVERAGE(OFFSET($FI$3,0,0,'Données projet'!$E$16+1,1))-AVERAGE(OFFSET($H$3,0,0,'Données projet'!$E$16+1,1))</f>
        <v>492.72391755143508</v>
      </c>
      <c r="FK171" s="62">
        <f t="shared" si="156"/>
        <v>304.88554179994355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68.107935568454437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143.77000000000001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-5.6843418860808015E-14</v>
      </c>
      <c r="O172" s="14">
        <f>N172*VLOOKUP('Données projet'!$B$9,Paramètres!$A$1:$I$89,3,0)*VLOOKUP('Données projet'!$B$9,Paramètres!$A$1:$I$89,5,0)</f>
        <v>-5.1431925385259088E-14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388.8309693898596</v>
      </c>
      <c r="T172" s="62">
        <f t="shared" si="142"/>
        <v>549.06702041234382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0.67478499886416066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0.67478499886416066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6.7984728957526396E-14</v>
      </c>
      <c r="AK172" s="14">
        <f t="shared" si="164"/>
        <v>1.0682447123141398E-12</v>
      </c>
      <c r="AL172" s="22">
        <f t="shared" si="165"/>
        <v>1.978932943548152E-12</v>
      </c>
      <c r="AM172" s="62">
        <f t="shared" si="113"/>
        <v>286.51611507317307</v>
      </c>
      <c r="AN172" s="62">
        <f ca="1">AVERAGE(OFFSET($AM$3,0,0,'Données projet'!$E$10+1,1))-AVERAGE(OFFSET($H$3,0,0,'Données projet'!$E$10+1,1))</f>
        <v>197.85998851681552</v>
      </c>
      <c r="AO172" s="62">
        <f t="shared" si="144"/>
        <v>474.54844785896239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3.3991814565449618</v>
      </c>
      <c r="AV172" s="23">
        <f>EXP(-LN(2)/25)*AV171+(1-EXP(-LN(2)/25))/(LN(2)/25)*Calculateur!AQ172*Calculateur!AS172*VLOOKUP('Données projet'!$B$10,Paramètres!$A$1:$I$89,3,0)*0.475*44/12</f>
        <v>0.9315805036165975</v>
      </c>
      <c r="AW172" s="23">
        <f>EXP(-LN(2)/2)*AW171+(1-EXP(-LN(2)/2))/(LN(2)/2)*AQ172*AT172*VLOOKUP('Données projet'!$B$10,Paramètres!$A$1:$I$89,3,0)*0.475*44/12</f>
        <v>5.2188737727508918E-20</v>
      </c>
      <c r="AX172" s="23">
        <f t="shared" si="166"/>
        <v>4.330761960161559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1.1368683772161603E-13</v>
      </c>
      <c r="BE172" s="14">
        <f>BD172*VLOOKUP('Données projet'!$B$11,Paramètres!$A$1:$I$89,3,0)*VLOOKUP('Données projet'!$B$11,Paramètres!$A$1:$I$89,5,0)</f>
        <v>6.7984728957526396E-14</v>
      </c>
      <c r="BF172" s="14">
        <f t="shared" si="167"/>
        <v>1.0682447123141398E-12</v>
      </c>
      <c r="BG172" s="22">
        <f t="shared" si="168"/>
        <v>1.978932943548152E-12</v>
      </c>
      <c r="BH172" s="62">
        <f t="shared" si="116"/>
        <v>286.51611507317307</v>
      </c>
      <c r="BI172" s="62">
        <f ca="1">AVERAGE(OFFSET($BH$3,0,0,'Données projet'!$E$11+1,1))-AVERAGE(OFFSET($H$3,0,0,'Données projet'!$E$11+1,1))</f>
        <v>197.85998851681552</v>
      </c>
      <c r="BJ172" s="62">
        <f t="shared" si="146"/>
        <v>474.54844785896239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3.3991814565449618</v>
      </c>
      <c r="BQ172" s="23">
        <f>EXP(-LN(2)/25)*BQ171+(1-EXP(-LN(2)/25))/(LN(2)/25)*Calculateur!BL172*Calculateur!BN172*VLOOKUP('Données projet'!$B$11,Paramètres!$A$1:$I$89,3,0)*0.475*44/12</f>
        <v>0.9315805036165975</v>
      </c>
      <c r="BR172" s="23">
        <f>EXP(-LN(2)/2)*BR171+(1-EXP(-LN(2)/2))/(LN(2)/2)*BL172*BO172*VLOOKUP('Données projet'!$B$11,Paramètres!$A$1:$I$89,3,0)*0.475*44/12</f>
        <v>5.2188737727508918E-20</v>
      </c>
      <c r="BS172" s="24">
        <f t="shared" si="169"/>
        <v>4.330761960161559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>
        <f>BY172*VLOOKUP('Données projet'!$B$12,Paramètres!$A$1:$I$89,3,0)*VLOOKUP('Données projet'!$B$12,Paramètres!$A$1:$I$89,5,0)</f>
        <v>0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72.97248599808384</v>
      </c>
      <c r="CE172" s="62">
        <f t="shared" si="148"/>
        <v>346.88163654003574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3.7050805058879606</v>
      </c>
      <c r="CL172" s="23">
        <f>EXP(-LN(2)/25)*CL171+(1-EXP(-LN(2)/25))/(LN(2)/25)*Calculateur!CG172*Calculateur!CI172*VLOOKUP('Données projet'!$B$12,Paramètres!$A$1:$I$89,3,0)*0.475*44/12</f>
        <v>0.27675290788005563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3.9818334137680162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>
        <f>CT172*VLOOKUP('Données projet'!$B$13,Paramètres!$A$1:$I$89,3,0)*VLOOKUP('Données projet'!$B$13,Paramètres!$A$1:$I$89,5,0)</f>
        <v>0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67.303283896086128</v>
      </c>
      <c r="CZ172" s="62">
        <f t="shared" si="150"/>
        <v>318.97925671653547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3.3645020749846148</v>
      </c>
      <c r="DG172" s="23">
        <f>EXP(-LN(2)/25)*DG171+(1-EXP(-LN(2)/25))/(LN(2)/25)*Calculateur!DB172*Calculateur!DD172*VLOOKUP('Données projet'!$B$13,Paramètres!$A$1:$I$89,3,0)*0.475*44/12</f>
        <v>0.2513132255401056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3.6158153005247202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>
        <f>DO172*VLOOKUP('Données projet'!$B$14,Paramètres!$A$1:$I$89,3,0)*VLOOKUP('Données projet'!$B$14,Paramètres!$A$1:$I$89,5,0)</f>
        <v>0</v>
      </c>
      <c r="DQ172" s="14" t="e">
        <f t="shared" si="176"/>
        <v>#NUM!</v>
      </c>
      <c r="DR172" s="22" t="e">
        <f t="shared" si="177"/>
        <v>#NUM!</v>
      </c>
      <c r="DS172" s="62" t="e">
        <f t="shared" si="125"/>
        <v>#NUM!</v>
      </c>
      <c r="DT172" s="62">
        <f ca="1">AVERAGE(OFFSET($DS$3,0,0,'Données projet'!$E$14+1,1))-AVERAGE(OFFSET($H$3,0,0,'Données projet'!$E$14+1,1))</f>
        <v>75.244137291704476</v>
      </c>
      <c r="DU172" s="62">
        <f t="shared" si="152"/>
        <v>366.065475656937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3.9396386538930201</v>
      </c>
      <c r="EB172" s="23">
        <f>EXP(-LN(2)/25)*EB171+(1-EXP(-LN(2)/25))/(LN(2)/25)*Calculateur!DW172*Calculateur!DY172*VLOOKUP('Données projet'!$B$14,Paramètres!$A$1:$I$89,3,0)*0.475*44/12</f>
        <v>0.29427335026294055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4.233912004155961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1.1368683772161603E-13</v>
      </c>
      <c r="EK172" s="18">
        <f>EJ172*VLOOKUP('Données projet'!$B$15,Paramètres!$A$1:$I$89,3,0)*VLOOKUP('Données projet'!$B$15,Paramètres!$A$1:$I$89,5,0)</f>
        <v>1.0995790944434703E-13</v>
      </c>
      <c r="EL172" s="14">
        <f t="shared" si="179"/>
        <v>1.6337280948049956E-12</v>
      </c>
      <c r="EM172" s="22">
        <f t="shared" si="180"/>
        <v>3.036919790734272E-12</v>
      </c>
      <c r="EN172" s="62">
        <f t="shared" si="128"/>
        <v>286.51611507317409</v>
      </c>
      <c r="EO172" s="62">
        <f ca="1">AVERAGE(OFFSET($EN$3,0,0,'Données projet'!$E$15+1,1))-AVERAGE(OFFSET($H$3,0,0,'Données projet'!$E$15+1,1))</f>
        <v>452.74627739105745</v>
      </c>
      <c r="EP172" s="62">
        <f t="shared" si="154"/>
        <v>281.80695725575106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1.1368683772161603E-13</v>
      </c>
      <c r="FF172" s="18">
        <f>FE172*VLOOKUP('Données projet'!$B$16,Paramètres!$A$1:$I$89,3,0)*VLOOKUP('Données projet'!$B$16,Paramètres!$A$1:$I$89,5,0)</f>
        <v>1.223725121235475E-13</v>
      </c>
      <c r="FG172" s="14">
        <f t="shared" si="182"/>
        <v>1.7956824466038182E-12</v>
      </c>
      <c r="FH172" s="22">
        <f t="shared" si="183"/>
        <v>3.3406123864501612E-12</v>
      </c>
      <c r="FI172" s="62">
        <f t="shared" si="131"/>
        <v>286.51611507317443</v>
      </c>
      <c r="FJ172" s="62">
        <f ca="1">AVERAGE(OFFSET($FI$3,0,0,'Données projet'!$E$16+1,1))-AVERAGE(OFFSET($H$3,0,0,'Données projet'!$E$16+1,1))</f>
        <v>492.72391755143508</v>
      </c>
      <c r="FK172" s="62">
        <f t="shared" si="156"/>
        <v>304.88554179994355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68.140758656319392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143.77000000000001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-5.6843418860808015E-14</v>
      </c>
      <c r="O173" s="14">
        <f>N173*VLOOKUP('Données projet'!$B$9,Paramètres!$A$1:$I$89,3,0)*VLOOKUP('Données projet'!$B$9,Paramètres!$A$1:$I$89,5,0)</f>
        <v>-5.1431925385259088E-14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388.8309693898596</v>
      </c>
      <c r="T173" s="62">
        <f t="shared" si="142"/>
        <v>549.06702041234382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0.66155287661464379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0.66155287661464379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6.7984728957526396E-14</v>
      </c>
      <c r="AK173" s="14">
        <f t="shared" si="164"/>
        <v>1.0682447123141398E-12</v>
      </c>
      <c r="AL173" s="22">
        <f t="shared" si="165"/>
        <v>1.978932943548152E-12</v>
      </c>
      <c r="AM173" s="62">
        <f t="shared" si="113"/>
        <v>286.63437856897019</v>
      </c>
      <c r="AN173" s="62">
        <f ca="1">AVERAGE(OFFSET($AM$3,0,0,'Données projet'!$E$10+1,1))-AVERAGE(OFFSET($H$3,0,0,'Données projet'!$E$10+1,1))</f>
        <v>197.85998851681552</v>
      </c>
      <c r="AO173" s="62">
        <f t="shared" si="144"/>
        <v>474.54844785896239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3.3325255814780825</v>
      </c>
      <c r="AV173" s="23">
        <f>EXP(-LN(2)/25)*AV172+(1-EXP(-LN(2)/25))/(LN(2)/25)*Calculateur!AQ173*Calculateur!AS173*VLOOKUP('Données projet'!$B$10,Paramètres!$A$1:$I$89,3,0)*0.475*44/12</f>
        <v>0.90610638575551217</v>
      </c>
      <c r="AW173" s="23">
        <f>EXP(-LN(2)/2)*AW172+(1-EXP(-LN(2)/2))/(LN(2)/2)*AQ173*AT173*VLOOKUP('Données projet'!$B$10,Paramètres!$A$1:$I$89,3,0)*0.475*44/12</f>
        <v>3.6903010348687766E-20</v>
      </c>
      <c r="AX173" s="23">
        <f t="shared" si="166"/>
        <v>4.2386319672335944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1.1368683772161603E-13</v>
      </c>
      <c r="BE173" s="14">
        <f>BD173*VLOOKUP('Données projet'!$B$11,Paramètres!$A$1:$I$89,3,0)*VLOOKUP('Données projet'!$B$11,Paramètres!$A$1:$I$89,5,0)</f>
        <v>6.7984728957526396E-14</v>
      </c>
      <c r="BF173" s="14">
        <f t="shared" si="167"/>
        <v>1.0682447123141398E-12</v>
      </c>
      <c r="BG173" s="22">
        <f t="shared" si="168"/>
        <v>1.978932943548152E-12</v>
      </c>
      <c r="BH173" s="62">
        <f t="shared" si="116"/>
        <v>286.63437856897019</v>
      </c>
      <c r="BI173" s="62">
        <f ca="1">AVERAGE(OFFSET($BH$3,0,0,'Données projet'!$E$11+1,1))-AVERAGE(OFFSET($H$3,0,0,'Données projet'!$E$11+1,1))</f>
        <v>197.85998851681552</v>
      </c>
      <c r="BJ173" s="62">
        <f t="shared" si="146"/>
        <v>474.54844785896239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3.3325255814780825</v>
      </c>
      <c r="BQ173" s="23">
        <f>EXP(-LN(2)/25)*BQ172+(1-EXP(-LN(2)/25))/(LN(2)/25)*Calculateur!BL173*Calculateur!BN173*VLOOKUP('Données projet'!$B$11,Paramètres!$A$1:$I$89,3,0)*0.475*44/12</f>
        <v>0.90610638575551217</v>
      </c>
      <c r="BR173" s="23">
        <f>EXP(-LN(2)/2)*BR172+(1-EXP(-LN(2)/2))/(LN(2)/2)*BL173*BO173*VLOOKUP('Données projet'!$B$11,Paramètres!$A$1:$I$89,3,0)*0.475*44/12</f>
        <v>3.6903010348687766E-20</v>
      </c>
      <c r="BS173" s="24">
        <f t="shared" si="169"/>
        <v>4.2386319672335944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>
        <f>BY173*VLOOKUP('Données projet'!$B$12,Paramètres!$A$1:$I$89,3,0)*VLOOKUP('Données projet'!$B$12,Paramètres!$A$1:$I$89,5,0)</f>
        <v>0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72.97248599808384</v>
      </c>
      <c r="CE173" s="62">
        <f t="shared" si="148"/>
        <v>346.88163654003574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3.6324261370434621</v>
      </c>
      <c r="CL173" s="23">
        <f>EXP(-LN(2)/25)*CL172+(1-EXP(-LN(2)/25))/(LN(2)/25)*Calculateur!CG173*Calculateur!CI173*VLOOKUP('Données projet'!$B$12,Paramètres!$A$1:$I$89,3,0)*0.475*44/12</f>
        <v>0.26918508506027261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3.9016112221037345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>
        <f>CT173*VLOOKUP('Données projet'!$B$13,Paramètres!$A$1:$I$89,3,0)*VLOOKUP('Données projet'!$B$13,Paramètres!$A$1:$I$89,5,0)</f>
        <v>0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67.303283896086128</v>
      </c>
      <c r="CZ173" s="62">
        <f t="shared" si="150"/>
        <v>318.97925671653547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3.2985262414377998</v>
      </c>
      <c r="DG173" s="23">
        <f>EXP(-LN(2)/25)*DG172+(1-EXP(-LN(2)/25))/(LN(2)/25)*Calculateur!DB173*Calculateur!DD173*VLOOKUP('Données projet'!$B$13,Paramètres!$A$1:$I$89,3,0)*0.475*44/12</f>
        <v>0.24444105217172327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3.5429672936095229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>
        <f>DO173*VLOOKUP('Données projet'!$B$14,Paramètres!$A$1:$I$89,3,0)*VLOOKUP('Données projet'!$B$14,Paramètres!$A$1:$I$89,5,0)</f>
        <v>0</v>
      </c>
      <c r="DQ173" s="14" t="e">
        <f t="shared" si="176"/>
        <v>#NUM!</v>
      </c>
      <c r="DR173" s="22" t="e">
        <f t="shared" si="177"/>
        <v>#NUM!</v>
      </c>
      <c r="DS173" s="62" t="e">
        <f t="shared" si="125"/>
        <v>#NUM!</v>
      </c>
      <c r="DT173" s="62">
        <f ca="1">AVERAGE(OFFSET($DS$3,0,0,'Données projet'!$E$14+1,1))-AVERAGE(OFFSET($H$3,0,0,'Données projet'!$E$14+1,1))</f>
        <v>75.244137291704476</v>
      </c>
      <c r="DU173" s="62">
        <f t="shared" si="152"/>
        <v>366.065475656937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3.8623847428324862</v>
      </c>
      <c r="EB173" s="23">
        <f>EXP(-LN(2)/25)*EB172+(1-EXP(-LN(2)/25))/(LN(2)/25)*Calculateur!DW173*Calculateur!DY173*VLOOKUP('Données projet'!$B$14,Paramètres!$A$1:$I$89,3,0)*0.475*44/12</f>
        <v>0.2862264300248375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4.1486111728573238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1.1368683772161603E-13</v>
      </c>
      <c r="EK173" s="18">
        <f>EJ173*VLOOKUP('Données projet'!$B$15,Paramètres!$A$1:$I$89,3,0)*VLOOKUP('Données projet'!$B$15,Paramètres!$A$1:$I$89,5,0)</f>
        <v>1.0995790944434703E-13</v>
      </c>
      <c r="EL173" s="14">
        <f t="shared" si="179"/>
        <v>1.6337280948049956E-12</v>
      </c>
      <c r="EM173" s="22">
        <f t="shared" si="180"/>
        <v>3.036919790734272E-12</v>
      </c>
      <c r="EN173" s="62">
        <f t="shared" si="128"/>
        <v>286.63437856897121</v>
      </c>
      <c r="EO173" s="62">
        <f ca="1">AVERAGE(OFFSET($EN$3,0,0,'Données projet'!$E$15+1,1))-AVERAGE(OFFSET($H$3,0,0,'Données projet'!$E$15+1,1))</f>
        <v>452.74627739105745</v>
      </c>
      <c r="EP173" s="62">
        <f t="shared" si="154"/>
        <v>281.80695725575106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1.1368683772161603E-13</v>
      </c>
      <c r="FF173" s="18">
        <f>FE173*VLOOKUP('Données projet'!$B$16,Paramètres!$A$1:$I$89,3,0)*VLOOKUP('Données projet'!$B$16,Paramètres!$A$1:$I$89,5,0)</f>
        <v>1.223725121235475E-13</v>
      </c>
      <c r="FG173" s="14">
        <f t="shared" si="182"/>
        <v>1.7956824466038182E-12</v>
      </c>
      <c r="FH173" s="22">
        <f t="shared" si="183"/>
        <v>3.3406123864501612E-12</v>
      </c>
      <c r="FI173" s="62">
        <f t="shared" si="131"/>
        <v>286.63437856897156</v>
      </c>
      <c r="FJ173" s="62">
        <f ca="1">AVERAGE(OFFSET($FI$3,0,0,'Données projet'!$E$16+1,1))-AVERAGE(OFFSET($H$3,0,0,'Données projet'!$E$16+1,1))</f>
        <v>492.72391755143508</v>
      </c>
      <c r="FK173" s="62">
        <f t="shared" si="156"/>
        <v>304.88554179994355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68.17301233699132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143.77000000000001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-5.6843418860808015E-14</v>
      </c>
      <c r="O174" s="14">
        <f>N174*VLOOKUP('Données projet'!$B$9,Paramètres!$A$1:$I$89,3,0)*VLOOKUP('Données projet'!$B$9,Paramètres!$A$1:$I$89,5,0)</f>
        <v>-5.1431925385259088E-14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388.8309693898596</v>
      </c>
      <c r="T174" s="62">
        <f t="shared" si="142"/>
        <v>549.06702041234382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0.6485802282116423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0.6485802282116423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6.7984728957526396E-14</v>
      </c>
      <c r="AK174" s="14">
        <f t="shared" si="164"/>
        <v>1.0682447123141398E-12</v>
      </c>
      <c r="AL174" s="22">
        <f t="shared" si="165"/>
        <v>1.978932943548152E-12</v>
      </c>
      <c r="AM174" s="62">
        <f t="shared" si="113"/>
        <v>286.75059045751266</v>
      </c>
      <c r="AN174" s="62">
        <f ca="1">AVERAGE(OFFSET($AM$3,0,0,'Données projet'!$E$10+1,1))-AVERAGE(OFFSET($H$3,0,0,'Données projet'!$E$10+1,1))</f>
        <v>197.85998851681552</v>
      </c>
      <c r="AO174" s="62">
        <f t="shared" si="144"/>
        <v>474.54844785896239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3.2671767874651954</v>
      </c>
      <c r="AV174" s="23">
        <f>EXP(-LN(2)/25)*AV173+(1-EXP(-LN(2)/25))/(LN(2)/25)*Calculateur!AQ174*Calculateur!AS174*VLOOKUP('Données projet'!$B$10,Paramètres!$A$1:$I$89,3,0)*0.475*44/12</f>
        <v>0.88132885898696378</v>
      </c>
      <c r="AW174" s="23">
        <f>EXP(-LN(2)/2)*AW173+(1-EXP(-LN(2)/2))/(LN(2)/2)*AQ174*AT174*VLOOKUP('Données projet'!$B$10,Paramètres!$A$1:$I$89,3,0)*0.475*44/12</f>
        <v>2.6094368863754459E-20</v>
      </c>
      <c r="AX174" s="23">
        <f t="shared" si="166"/>
        <v>4.1485056464521595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1.1368683772161603E-13</v>
      </c>
      <c r="BE174" s="14">
        <f>BD174*VLOOKUP('Données projet'!$B$11,Paramètres!$A$1:$I$89,3,0)*VLOOKUP('Données projet'!$B$11,Paramètres!$A$1:$I$89,5,0)</f>
        <v>6.7984728957526396E-14</v>
      </c>
      <c r="BF174" s="14">
        <f t="shared" si="167"/>
        <v>1.0682447123141398E-12</v>
      </c>
      <c r="BG174" s="22">
        <f t="shared" si="168"/>
        <v>1.978932943548152E-12</v>
      </c>
      <c r="BH174" s="62">
        <f t="shared" si="116"/>
        <v>286.75059045751266</v>
      </c>
      <c r="BI174" s="62">
        <f ca="1">AVERAGE(OFFSET($BH$3,0,0,'Données projet'!$E$11+1,1))-AVERAGE(OFFSET($H$3,0,0,'Données projet'!$E$11+1,1))</f>
        <v>197.85998851681552</v>
      </c>
      <c r="BJ174" s="62">
        <f t="shared" si="146"/>
        <v>474.54844785896239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3.2671767874651954</v>
      </c>
      <c r="BQ174" s="23">
        <f>EXP(-LN(2)/25)*BQ173+(1-EXP(-LN(2)/25))/(LN(2)/25)*Calculateur!BL174*Calculateur!BN174*VLOOKUP('Données projet'!$B$11,Paramètres!$A$1:$I$89,3,0)*0.475*44/12</f>
        <v>0.88132885898696378</v>
      </c>
      <c r="BR174" s="23">
        <f>EXP(-LN(2)/2)*BR173+(1-EXP(-LN(2)/2))/(LN(2)/2)*BL174*BO174*VLOOKUP('Données projet'!$B$11,Paramètres!$A$1:$I$89,3,0)*0.475*44/12</f>
        <v>2.6094368863754459E-20</v>
      </c>
      <c r="BS174" s="24">
        <f t="shared" si="169"/>
        <v>4.1485056464521595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>
        <f>BY174*VLOOKUP('Données projet'!$B$12,Paramètres!$A$1:$I$89,3,0)*VLOOKUP('Données projet'!$B$12,Paramètres!$A$1:$I$89,5,0)</f>
        <v>0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72.97248599808384</v>
      </c>
      <c r="CE174" s="62">
        <f t="shared" si="148"/>
        <v>346.88163654003574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3.5611964760572148</v>
      </c>
      <c r="CL174" s="23">
        <f>EXP(-LN(2)/25)*CL173+(1-EXP(-LN(2)/25))/(LN(2)/25)*Calculateur!CG174*Calculateur!CI174*VLOOKUP('Données projet'!$B$12,Paramètres!$A$1:$I$89,3,0)*0.475*44/12</f>
        <v>0.26182420475347107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3.8230206808106857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>
        <f>CT174*VLOOKUP('Données projet'!$B$13,Paramètres!$A$1:$I$89,3,0)*VLOOKUP('Données projet'!$B$13,Paramètres!$A$1:$I$89,5,0)</f>
        <v>0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67.303283896086128</v>
      </c>
      <c r="CZ174" s="62">
        <f t="shared" si="150"/>
        <v>318.97925671653547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3.2338441537455531</v>
      </c>
      <c r="DG174" s="23">
        <f>EXP(-LN(2)/25)*DG173+(1-EXP(-LN(2)/25))/(LN(2)/25)*Calculateur!DB174*Calculateur!DD174*VLOOKUP('Données projet'!$B$13,Paramètres!$A$1:$I$89,3,0)*0.475*44/12</f>
        <v>0.23775679874549124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3.4716009524910443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>
        <f>DO174*VLOOKUP('Données projet'!$B$14,Paramètres!$A$1:$I$89,3,0)*VLOOKUP('Données projet'!$B$14,Paramètres!$A$1:$I$89,5,0)</f>
        <v>0</v>
      </c>
      <c r="DQ174" s="14" t="e">
        <f t="shared" si="176"/>
        <v>#NUM!</v>
      </c>
      <c r="DR174" s="22" t="e">
        <f t="shared" si="177"/>
        <v>#NUM!</v>
      </c>
      <c r="DS174" s="62" t="e">
        <f t="shared" si="125"/>
        <v>#NUM!</v>
      </c>
      <c r="DT174" s="62">
        <f ca="1">AVERAGE(OFFSET($DS$3,0,0,'Données projet'!$E$14+1,1))-AVERAGE(OFFSET($H$3,0,0,'Données projet'!$E$14+1,1))</f>
        <v>75.244137291704476</v>
      </c>
      <c r="DU174" s="62">
        <f t="shared" si="152"/>
        <v>366.065475656937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3.786645733847616</v>
      </c>
      <c r="EB174" s="23">
        <f>EXP(-LN(2)/25)*EB173+(1-EXP(-LN(2)/25))/(LN(2)/25)*Calculateur!DW174*Calculateur!DY174*VLOOKUP('Données projet'!$B$14,Paramètres!$A$1:$I$89,3,0)*0.475*44/12</f>
        <v>0.27839955324381455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4.0650452870914302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1.1368683772161603E-13</v>
      </c>
      <c r="EK174" s="18">
        <f>EJ174*VLOOKUP('Données projet'!$B$15,Paramètres!$A$1:$I$89,3,0)*VLOOKUP('Données projet'!$B$15,Paramètres!$A$1:$I$89,5,0)</f>
        <v>1.0995790944434703E-13</v>
      </c>
      <c r="EL174" s="14">
        <f t="shared" si="179"/>
        <v>1.6337280948049956E-12</v>
      </c>
      <c r="EM174" s="22">
        <f t="shared" si="180"/>
        <v>3.036919790734272E-12</v>
      </c>
      <c r="EN174" s="62">
        <f t="shared" si="128"/>
        <v>286.75059045751368</v>
      </c>
      <c r="EO174" s="62">
        <f ca="1">AVERAGE(OFFSET($EN$3,0,0,'Données projet'!$E$15+1,1))-AVERAGE(OFFSET($H$3,0,0,'Données projet'!$E$15+1,1))</f>
        <v>452.74627739105745</v>
      </c>
      <c r="EP174" s="62">
        <f t="shared" si="154"/>
        <v>281.80695725575106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1.1368683772161603E-13</v>
      </c>
      <c r="FF174" s="18">
        <f>FE174*VLOOKUP('Données projet'!$B$16,Paramètres!$A$1:$I$89,3,0)*VLOOKUP('Données projet'!$B$16,Paramètres!$A$1:$I$89,5,0)</f>
        <v>1.223725121235475E-13</v>
      </c>
      <c r="FG174" s="14">
        <f t="shared" si="182"/>
        <v>1.7956824466038182E-12</v>
      </c>
      <c r="FH174" s="22">
        <f t="shared" si="183"/>
        <v>3.3406123864501612E-12</v>
      </c>
      <c r="FI174" s="62">
        <f t="shared" si="131"/>
        <v>286.75059045751402</v>
      </c>
      <c r="FJ174" s="62">
        <f ca="1">AVERAGE(OFFSET($FI$3,0,0,'Données projet'!$E$16+1,1))-AVERAGE(OFFSET($H$3,0,0,'Données projet'!$E$16+1,1))</f>
        <v>492.72391755143508</v>
      </c>
      <c r="FK174" s="62">
        <f t="shared" si="156"/>
        <v>304.88554179994355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68.204706488412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143.77000000000001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-5.6843418860808015E-14</v>
      </c>
      <c r="O175" s="14">
        <f>N175*VLOOKUP('Données projet'!$B$9,Paramètres!$A$1:$I$89,3,0)*VLOOKUP('Données projet'!$B$9,Paramètres!$A$1:$I$89,5,0)</f>
        <v>-5.1431925385259088E-14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388.8309693898596</v>
      </c>
      <c r="T175" s="62">
        <f t="shared" si="142"/>
        <v>549.06702041234382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0.63586196553128949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0.63586196553128949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6.7984728957526396E-14</v>
      </c>
      <c r="AK175" s="14">
        <f t="shared" si="164"/>
        <v>1.0682447123141398E-12</v>
      </c>
      <c r="AL175" s="22">
        <f t="shared" si="165"/>
        <v>1.978932943548152E-12</v>
      </c>
      <c r="AM175" s="62">
        <f t="shared" si="113"/>
        <v>286.86478632959984</v>
      </c>
      <c r="AN175" s="62">
        <f ca="1">AVERAGE(OFFSET($AM$3,0,0,'Données projet'!$E$10+1,1))-AVERAGE(OFFSET($H$3,0,0,'Données projet'!$E$10+1,1))</f>
        <v>197.85998851681552</v>
      </c>
      <c r="AO175" s="62">
        <f t="shared" si="144"/>
        <v>474.54844785896239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3.2031094434440726</v>
      </c>
      <c r="AV175" s="23">
        <f>EXP(-LN(2)/25)*AV174+(1-EXP(-LN(2)/25))/(LN(2)/25)*Calculateur!AQ175*Calculateur!AS175*VLOOKUP('Données projet'!$B$10,Paramètres!$A$1:$I$89,3,0)*0.475*44/12</f>
        <v>0.85722887499089484</v>
      </c>
      <c r="AW175" s="23">
        <f>EXP(-LN(2)/2)*AW174+(1-EXP(-LN(2)/2))/(LN(2)/2)*AQ175*AT175*VLOOKUP('Données projet'!$B$10,Paramètres!$A$1:$I$89,3,0)*0.475*44/12</f>
        <v>1.8451505174343883E-20</v>
      </c>
      <c r="AX175" s="23">
        <f t="shared" si="166"/>
        <v>4.0603383184349671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1.1368683772161603E-13</v>
      </c>
      <c r="BE175" s="14">
        <f>BD175*VLOOKUP('Données projet'!$B$11,Paramètres!$A$1:$I$89,3,0)*VLOOKUP('Données projet'!$B$11,Paramètres!$A$1:$I$89,5,0)</f>
        <v>6.7984728957526396E-14</v>
      </c>
      <c r="BF175" s="14">
        <f t="shared" si="167"/>
        <v>1.0682447123141398E-12</v>
      </c>
      <c r="BG175" s="22">
        <f t="shared" si="168"/>
        <v>1.978932943548152E-12</v>
      </c>
      <c r="BH175" s="62">
        <f t="shared" si="116"/>
        <v>286.86478632959984</v>
      </c>
      <c r="BI175" s="62">
        <f ca="1">AVERAGE(OFFSET($BH$3,0,0,'Données projet'!$E$11+1,1))-AVERAGE(OFFSET($H$3,0,0,'Données projet'!$E$11+1,1))</f>
        <v>197.85998851681552</v>
      </c>
      <c r="BJ175" s="62">
        <f t="shared" si="146"/>
        <v>474.54844785896239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3.2031094434440726</v>
      </c>
      <c r="BQ175" s="23">
        <f>EXP(-LN(2)/25)*BQ174+(1-EXP(-LN(2)/25))/(LN(2)/25)*Calculateur!BL175*Calculateur!BN175*VLOOKUP('Données projet'!$B$11,Paramètres!$A$1:$I$89,3,0)*0.475*44/12</f>
        <v>0.85722887499089484</v>
      </c>
      <c r="BR175" s="23">
        <f>EXP(-LN(2)/2)*BR174+(1-EXP(-LN(2)/2))/(LN(2)/2)*BL175*BO175*VLOOKUP('Données projet'!$B$11,Paramètres!$A$1:$I$89,3,0)*0.475*44/12</f>
        <v>1.8451505174343883E-20</v>
      </c>
      <c r="BS175" s="24">
        <f t="shared" si="169"/>
        <v>4.0603383184349671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>
        <f>BY175*VLOOKUP('Données projet'!$B$12,Paramètres!$A$1:$I$89,3,0)*VLOOKUP('Données projet'!$B$12,Paramètres!$A$1:$I$89,5,0)</f>
        <v>0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72.97248599808384</v>
      </c>
      <c r="CE175" s="62">
        <f t="shared" si="148"/>
        <v>346.88163654003574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3.4913635852771048</v>
      </c>
      <c r="CL175" s="23">
        <f>EXP(-LN(2)/25)*CL174+(1-EXP(-LN(2)/25))/(LN(2)/25)*Calculateur!CG175*Calculateur!CI175*VLOOKUP('Données projet'!$B$12,Paramètres!$A$1:$I$89,3,0)*0.475*44/12</f>
        <v>0.25466460810575087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3.7460281933828554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>
        <f>CT175*VLOOKUP('Données projet'!$B$13,Paramètres!$A$1:$I$89,3,0)*VLOOKUP('Données projet'!$B$13,Paramètres!$A$1:$I$89,5,0)</f>
        <v>0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67.303283896086128</v>
      </c>
      <c r="CZ175" s="62">
        <f t="shared" si="150"/>
        <v>318.97925671653547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3.1704304423407734</v>
      </c>
      <c r="DG175" s="23">
        <f>EXP(-LN(2)/25)*DG174+(1-EXP(-LN(2)/25))/(LN(2)/25)*Calculateur!DB175*Calculateur!DD175*VLOOKUP('Données projet'!$B$13,Paramètres!$A$1:$I$89,3,0)*0.475*44/12</f>
        <v>0.23125532658070913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3.4016857689214826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>
        <f>DO175*VLOOKUP('Données projet'!$B$14,Paramètres!$A$1:$I$89,3,0)*VLOOKUP('Données projet'!$B$14,Paramètres!$A$1:$I$89,5,0)</f>
        <v>0</v>
      </c>
      <c r="DQ175" s="14" t="e">
        <f t="shared" si="176"/>
        <v>#NUM!</v>
      </c>
      <c r="DR175" s="22" t="e">
        <f t="shared" si="177"/>
        <v>#NUM!</v>
      </c>
      <c r="DS175" s="62" t="e">
        <f t="shared" si="125"/>
        <v>#NUM!</v>
      </c>
      <c r="DT175" s="62">
        <f ca="1">AVERAGE(OFFSET($DS$3,0,0,'Données projet'!$E$14+1,1))-AVERAGE(OFFSET($H$3,0,0,'Données projet'!$E$14+1,1))</f>
        <v>75.244137291704476</v>
      </c>
      <c r="DU175" s="62">
        <f t="shared" si="152"/>
        <v>366.065475656937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3.7123919206327054</v>
      </c>
      <c r="EB175" s="23">
        <f>EXP(-LN(2)/25)*EB174+(1-EXP(-LN(2)/25))/(LN(2)/25)*Calculateur!DW175*Calculateur!DY175*VLOOKUP('Données projet'!$B$14,Paramètres!$A$1:$I$89,3,0)*0.475*44/12</f>
        <v>0.2707867028199662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3.9831786234526714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1.1368683772161603E-13</v>
      </c>
      <c r="EK175" s="18">
        <f>EJ175*VLOOKUP('Données projet'!$B$15,Paramètres!$A$1:$I$89,3,0)*VLOOKUP('Données projet'!$B$15,Paramètres!$A$1:$I$89,5,0)</f>
        <v>1.0995790944434703E-13</v>
      </c>
      <c r="EL175" s="14">
        <f t="shared" si="179"/>
        <v>1.6337280948049956E-12</v>
      </c>
      <c r="EM175" s="22">
        <f t="shared" si="180"/>
        <v>3.036919790734272E-12</v>
      </c>
      <c r="EN175" s="62">
        <f t="shared" si="128"/>
        <v>286.86478632960086</v>
      </c>
      <c r="EO175" s="62">
        <f ca="1">AVERAGE(OFFSET($EN$3,0,0,'Données projet'!$E$15+1,1))-AVERAGE(OFFSET($H$3,0,0,'Données projet'!$E$15+1,1))</f>
        <v>452.74627739105745</v>
      </c>
      <c r="EP175" s="62">
        <f t="shared" si="154"/>
        <v>281.80695725575106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1.1368683772161603E-13</v>
      </c>
      <c r="FF175" s="18">
        <f>FE175*VLOOKUP('Données projet'!$B$16,Paramètres!$A$1:$I$89,3,0)*VLOOKUP('Données projet'!$B$16,Paramètres!$A$1:$I$89,5,0)</f>
        <v>1.223725121235475E-13</v>
      </c>
      <c r="FG175" s="14">
        <f t="shared" si="182"/>
        <v>1.7956824466038182E-12</v>
      </c>
      <c r="FH175" s="22">
        <f t="shared" si="183"/>
        <v>3.3406123864501612E-12</v>
      </c>
      <c r="FI175" s="62">
        <f t="shared" si="131"/>
        <v>286.8647863296012</v>
      </c>
      <c r="FJ175" s="62">
        <f ca="1">AVERAGE(OFFSET($FI$3,0,0,'Données projet'!$E$16+1,1))-AVERAGE(OFFSET($H$3,0,0,'Données projet'!$E$16+1,1))</f>
        <v>492.72391755143508</v>
      </c>
      <c r="FK175" s="62">
        <f t="shared" si="156"/>
        <v>304.88554179994355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68.235850817163055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143.77000000000001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-5.6843418860808015E-14</v>
      </c>
      <c r="O176" s="14">
        <f>N176*VLOOKUP('Données projet'!$B$9,Paramètres!$A$1:$I$89,3,0)*VLOOKUP('Données projet'!$B$9,Paramètres!$A$1:$I$89,5,0)</f>
        <v>-5.1431925385259088E-14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388.8309693898596</v>
      </c>
      <c r="T176" s="62">
        <f t="shared" si="142"/>
        <v>549.06702041234382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0.62339310022472405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0.62339310022472405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6.7984728957526396E-14</v>
      </c>
      <c r="AK176" s="14">
        <f t="shared" si="164"/>
        <v>1.0682447123141398E-12</v>
      </c>
      <c r="AL176" s="22">
        <f t="shared" si="165"/>
        <v>1.978932943548152E-12</v>
      </c>
      <c r="AM176" s="62">
        <f t="shared" si="113"/>
        <v>286.97700115861005</v>
      </c>
      <c r="AN176" s="62">
        <f ca="1">AVERAGE(OFFSET($AM$3,0,0,'Données projet'!$E$10+1,1))-AVERAGE(OFFSET($H$3,0,0,'Données projet'!$E$10+1,1))</f>
        <v>197.85998851681552</v>
      </c>
      <c r="AO176" s="62">
        <f t="shared" si="144"/>
        <v>474.54844785896239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3.1402984209619826</v>
      </c>
      <c r="AV176" s="23">
        <f>EXP(-LN(2)/25)*AV175+(1-EXP(-LN(2)/25))/(LN(2)/25)*Calculateur!AQ176*Calculateur!AS176*VLOOKUP('Données projet'!$B$10,Paramètres!$A$1:$I$89,3,0)*0.475*44/12</f>
        <v>0.83378790632456146</v>
      </c>
      <c r="AW176" s="23">
        <f>EXP(-LN(2)/2)*AW175+(1-EXP(-LN(2)/2))/(LN(2)/2)*AQ176*AT176*VLOOKUP('Données projet'!$B$10,Paramètres!$A$1:$I$89,3,0)*0.475*44/12</f>
        <v>1.3047184431877229E-20</v>
      </c>
      <c r="AX176" s="23">
        <f t="shared" si="166"/>
        <v>3.9740863272865443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1.1368683772161603E-13</v>
      </c>
      <c r="BE176" s="14">
        <f>BD176*VLOOKUP('Données projet'!$B$11,Paramètres!$A$1:$I$89,3,0)*VLOOKUP('Données projet'!$B$11,Paramètres!$A$1:$I$89,5,0)</f>
        <v>6.7984728957526396E-14</v>
      </c>
      <c r="BF176" s="14">
        <f t="shared" si="167"/>
        <v>1.0682447123141398E-12</v>
      </c>
      <c r="BG176" s="22">
        <f t="shared" si="168"/>
        <v>1.978932943548152E-12</v>
      </c>
      <c r="BH176" s="62">
        <f t="shared" si="116"/>
        <v>286.97700115861005</v>
      </c>
      <c r="BI176" s="62">
        <f ca="1">AVERAGE(OFFSET($BH$3,0,0,'Données projet'!$E$11+1,1))-AVERAGE(OFFSET($H$3,0,0,'Données projet'!$E$11+1,1))</f>
        <v>197.85998851681552</v>
      </c>
      <c r="BJ176" s="62">
        <f t="shared" si="146"/>
        <v>474.54844785896239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3.1402984209619826</v>
      </c>
      <c r="BQ176" s="23">
        <f>EXP(-LN(2)/25)*BQ175+(1-EXP(-LN(2)/25))/(LN(2)/25)*Calculateur!BL176*Calculateur!BN176*VLOOKUP('Données projet'!$B$11,Paramètres!$A$1:$I$89,3,0)*0.475*44/12</f>
        <v>0.83378790632456146</v>
      </c>
      <c r="BR176" s="23">
        <f>EXP(-LN(2)/2)*BR175+(1-EXP(-LN(2)/2))/(LN(2)/2)*BL176*BO176*VLOOKUP('Données projet'!$B$11,Paramètres!$A$1:$I$89,3,0)*0.475*44/12</f>
        <v>1.3047184431877229E-20</v>
      </c>
      <c r="BS176" s="24">
        <f t="shared" si="169"/>
        <v>3.9740863272865443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>
        <f>BY176*VLOOKUP('Données projet'!$B$12,Paramètres!$A$1:$I$89,3,0)*VLOOKUP('Données projet'!$B$12,Paramètres!$A$1:$I$89,5,0)</f>
        <v>0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72.97248599808384</v>
      </c>
      <c r="CE176" s="62">
        <f t="shared" si="148"/>
        <v>346.88163654003574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3.4229000748913352</v>
      </c>
      <c r="CL176" s="23">
        <f>EXP(-LN(2)/25)*CL175+(1-EXP(-LN(2)/25))/(LN(2)/25)*Calculateur!CG176*Calculateur!CI176*VLOOKUP('Données projet'!$B$12,Paramètres!$A$1:$I$89,3,0)*0.475*44/12</f>
        <v>0.24770079100486941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3.6706008658962048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>
        <f>CT176*VLOOKUP('Données projet'!$B$13,Paramètres!$A$1:$I$89,3,0)*VLOOKUP('Données projet'!$B$13,Paramètres!$A$1:$I$89,5,0)</f>
        <v>0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67.303283896086128</v>
      </c>
      <c r="CZ176" s="62">
        <f t="shared" si="150"/>
        <v>318.97925671653547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3.1082602351380966</v>
      </c>
      <c r="DG176" s="23">
        <f>EXP(-LN(2)/25)*DG175+(1-EXP(-LN(2)/25))/(LN(2)/25)*Calculateur!DB176*Calculateur!DD176*VLOOKUP('Données projet'!$B$13,Paramètres!$A$1:$I$89,3,0)*0.475*44/12</f>
        <v>0.22493163751417056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3.3331918726522671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>
        <f>DO176*VLOOKUP('Données projet'!$B$14,Paramètres!$A$1:$I$89,3,0)*VLOOKUP('Données projet'!$B$14,Paramètres!$A$1:$I$89,5,0)</f>
        <v>0</v>
      </c>
      <c r="DQ176" s="14" t="e">
        <f t="shared" si="176"/>
        <v>#NUM!</v>
      </c>
      <c r="DR176" s="22" t="e">
        <f t="shared" si="177"/>
        <v>#NUM!</v>
      </c>
      <c r="DS176" s="62" t="e">
        <f t="shared" si="125"/>
        <v>#NUM!</v>
      </c>
      <c r="DT176" s="62">
        <f ca="1">AVERAGE(OFFSET($DS$3,0,0,'Données projet'!$E$14+1,1))-AVERAGE(OFFSET($H$3,0,0,'Données projet'!$E$14+1,1))</f>
        <v>75.244137291704476</v>
      </c>
      <c r="DU176" s="62">
        <f t="shared" si="152"/>
        <v>366.065475656937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3.6395941794045852</v>
      </c>
      <c r="EB176" s="23">
        <f>EXP(-LN(2)/25)*EB175+(1-EXP(-LN(2)/25))/(LN(2)/25)*Calculateur!DW176*Calculateur!DY176*VLOOKUP('Données projet'!$B$14,Paramètres!$A$1:$I$89,3,0)*0.475*44/12</f>
        <v>0.26338202619130041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3.9029762055958854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1.1368683772161603E-13</v>
      </c>
      <c r="EK176" s="18">
        <f>EJ176*VLOOKUP('Données projet'!$B$15,Paramètres!$A$1:$I$89,3,0)*VLOOKUP('Données projet'!$B$15,Paramètres!$A$1:$I$89,5,0)</f>
        <v>1.0995790944434703E-13</v>
      </c>
      <c r="EL176" s="14">
        <f t="shared" si="179"/>
        <v>1.6337280948049956E-12</v>
      </c>
      <c r="EM176" s="22">
        <f t="shared" si="180"/>
        <v>3.036919790734272E-12</v>
      </c>
      <c r="EN176" s="62">
        <f t="shared" si="128"/>
        <v>286.97700115861107</v>
      </c>
      <c r="EO176" s="62">
        <f ca="1">AVERAGE(OFFSET($EN$3,0,0,'Données projet'!$E$15+1,1))-AVERAGE(OFFSET($H$3,0,0,'Données projet'!$E$15+1,1))</f>
        <v>452.74627739105745</v>
      </c>
      <c r="EP176" s="62">
        <f t="shared" si="154"/>
        <v>281.80695725575106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1.1368683772161603E-13</v>
      </c>
      <c r="FF176" s="18">
        <f>FE176*VLOOKUP('Données projet'!$B$16,Paramètres!$A$1:$I$89,3,0)*VLOOKUP('Données projet'!$B$16,Paramètres!$A$1:$I$89,5,0)</f>
        <v>1.223725121235475E-13</v>
      </c>
      <c r="FG176" s="14">
        <f t="shared" si="182"/>
        <v>1.7956824466038182E-12</v>
      </c>
      <c r="FH176" s="22">
        <f t="shared" si="183"/>
        <v>3.3406123864501612E-12</v>
      </c>
      <c r="FI176" s="62">
        <f t="shared" si="131"/>
        <v>286.97700115861142</v>
      </c>
      <c r="FJ176" s="62">
        <f ca="1">AVERAGE(OFFSET($FI$3,0,0,'Données projet'!$E$16+1,1))-AVERAGE(OFFSET($H$3,0,0,'Données projet'!$E$16+1,1))</f>
        <v>492.72391755143508</v>
      </c>
      <c r="FK176" s="62">
        <f t="shared" si="156"/>
        <v>304.88554179994355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68.266454861438561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143.77000000000001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-5.6843418860808015E-14</v>
      </c>
      <c r="O177" s="14">
        <f>N177*VLOOKUP('Données projet'!$B$9,Paramètres!$A$1:$I$89,3,0)*VLOOKUP('Données projet'!$B$9,Paramètres!$A$1:$I$89,5,0)</f>
        <v>-5.1431925385259088E-14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388.8309693898596</v>
      </c>
      <c r="T177" s="62">
        <f t="shared" si="142"/>
        <v>549.06702041234382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0.61116874176156355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0.61116874176156355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6.7984728957526396E-14</v>
      </c>
      <c r="AK177" s="14">
        <f t="shared" si="164"/>
        <v>1.0682447123141398E-12</v>
      </c>
      <c r="AL177" s="22">
        <f t="shared" si="165"/>
        <v>1.978932943548152E-12</v>
      </c>
      <c r="AM177" s="62">
        <f t="shared" si="113"/>
        <v>287.08726931121174</v>
      </c>
      <c r="AN177" s="62">
        <f ca="1">AVERAGE(OFFSET($AM$3,0,0,'Données projet'!$E$10+1,1))-AVERAGE(OFFSET($H$3,0,0,'Données projet'!$E$10+1,1))</f>
        <v>197.85998851681552</v>
      </c>
      <c r="AO177" s="62">
        <f t="shared" si="144"/>
        <v>474.54844785896239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3.0787190843198258</v>
      </c>
      <c r="AV177" s="23">
        <f>EXP(-LN(2)/25)*AV176+(1-EXP(-LN(2)/25))/(LN(2)/25)*Calculateur!AQ177*Calculateur!AS177*VLOOKUP('Données projet'!$B$10,Paramètres!$A$1:$I$89,3,0)*0.475*44/12</f>
        <v>0.81098793217911602</v>
      </c>
      <c r="AW177" s="23">
        <f>EXP(-LN(2)/2)*AW176+(1-EXP(-LN(2)/2))/(LN(2)/2)*AQ177*AT177*VLOOKUP('Données projet'!$B$10,Paramètres!$A$1:$I$89,3,0)*0.475*44/12</f>
        <v>9.2257525871719414E-21</v>
      </c>
      <c r="AX177" s="23">
        <f t="shared" si="166"/>
        <v>3.8897070164989418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1.1368683772161603E-13</v>
      </c>
      <c r="BE177" s="14">
        <f>BD177*VLOOKUP('Données projet'!$B$11,Paramètres!$A$1:$I$89,3,0)*VLOOKUP('Données projet'!$B$11,Paramètres!$A$1:$I$89,5,0)</f>
        <v>6.7984728957526396E-14</v>
      </c>
      <c r="BF177" s="14">
        <f t="shared" si="167"/>
        <v>1.0682447123141398E-12</v>
      </c>
      <c r="BG177" s="22">
        <f t="shared" si="168"/>
        <v>1.978932943548152E-12</v>
      </c>
      <c r="BH177" s="62">
        <f t="shared" si="116"/>
        <v>287.08726931121174</v>
      </c>
      <c r="BI177" s="62">
        <f ca="1">AVERAGE(OFFSET($BH$3,0,0,'Données projet'!$E$11+1,1))-AVERAGE(OFFSET($H$3,0,0,'Données projet'!$E$11+1,1))</f>
        <v>197.85998851681552</v>
      </c>
      <c r="BJ177" s="62">
        <f t="shared" si="146"/>
        <v>474.54844785896239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3.0787190843198258</v>
      </c>
      <c r="BQ177" s="23">
        <f>EXP(-LN(2)/25)*BQ176+(1-EXP(-LN(2)/25))/(LN(2)/25)*Calculateur!BL177*Calculateur!BN177*VLOOKUP('Données projet'!$B$11,Paramètres!$A$1:$I$89,3,0)*0.475*44/12</f>
        <v>0.81098793217911602</v>
      </c>
      <c r="BR177" s="23">
        <f>EXP(-LN(2)/2)*BR176+(1-EXP(-LN(2)/2))/(LN(2)/2)*BL177*BO177*VLOOKUP('Données projet'!$B$11,Paramètres!$A$1:$I$89,3,0)*0.475*44/12</f>
        <v>9.2257525871719414E-21</v>
      </c>
      <c r="BS177" s="24">
        <f t="shared" si="169"/>
        <v>3.8897070164989418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>
        <f>BY177*VLOOKUP('Données projet'!$B$12,Paramètres!$A$1:$I$89,3,0)*VLOOKUP('Données projet'!$B$12,Paramètres!$A$1:$I$89,5,0)</f>
        <v>0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72.97248599808384</v>
      </c>
      <c r="CE177" s="62">
        <f t="shared" si="148"/>
        <v>346.88163654003574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3.3557790921856125</v>
      </c>
      <c r="CL177" s="23">
        <f>EXP(-LN(2)/25)*CL176+(1-EXP(-LN(2)/25))/(LN(2)/25)*Calculateur!CG177*Calculateur!CI177*VLOOKUP('Données projet'!$B$12,Paramètres!$A$1:$I$89,3,0)*0.475*44/12</f>
        <v>0.24092739984882278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3.5967064920344352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>
        <f>CT177*VLOOKUP('Données projet'!$B$13,Paramètres!$A$1:$I$89,3,0)*VLOOKUP('Données projet'!$B$13,Paramètres!$A$1:$I$89,5,0)</f>
        <v>0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67.303283896086128</v>
      </c>
      <c r="CZ177" s="62">
        <f t="shared" si="150"/>
        <v>318.97925671653547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3.0473091477785821</v>
      </c>
      <c r="DG177" s="23">
        <f>EXP(-LN(2)/25)*DG176+(1-EXP(-LN(2)/25))/(LN(2)/25)*Calculateur!DB177*Calculateur!DD177*VLOOKUP('Données projet'!$B$13,Paramètres!$A$1:$I$89,3,0)*0.475*44/12</f>
        <v>0.21878087005770483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3.2660900178362868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>
        <f>DO177*VLOOKUP('Données projet'!$B$14,Paramètres!$A$1:$I$89,3,0)*VLOOKUP('Données projet'!$B$14,Paramètres!$A$1:$I$89,5,0)</f>
        <v>0</v>
      </c>
      <c r="DQ177" s="14" t="e">
        <f t="shared" si="176"/>
        <v>#NUM!</v>
      </c>
      <c r="DR177" s="22" t="e">
        <f t="shared" si="177"/>
        <v>#NUM!</v>
      </c>
      <c r="DS177" s="62" t="e">
        <f t="shared" si="125"/>
        <v>#NUM!</v>
      </c>
      <c r="DT177" s="62">
        <f ca="1">AVERAGE(OFFSET($DS$3,0,0,'Données projet'!$E$14+1,1))-AVERAGE(OFFSET($H$3,0,0,'Données projet'!$E$14+1,1))</f>
        <v>75.244137291704476</v>
      </c>
      <c r="DU177" s="62">
        <f t="shared" si="152"/>
        <v>366.065475656937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3.5682239574797103</v>
      </c>
      <c r="EB177" s="23">
        <f>EXP(-LN(2)/25)*EB176+(1-EXP(-LN(2)/25))/(LN(2)/25)*Calculateur!DW177*Calculateur!DY177*VLOOKUP('Données projet'!$B$14,Paramètres!$A$1:$I$89,3,0)*0.475*44/12</f>
        <v>0.25617983083444051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3.8244037883141511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1.1368683772161603E-13</v>
      </c>
      <c r="EK177" s="18">
        <f>EJ177*VLOOKUP('Données projet'!$B$15,Paramètres!$A$1:$I$89,3,0)*VLOOKUP('Données projet'!$B$15,Paramètres!$A$1:$I$89,5,0)</f>
        <v>1.0995790944434703E-13</v>
      </c>
      <c r="EL177" s="14">
        <f t="shared" si="179"/>
        <v>1.6337280948049956E-12</v>
      </c>
      <c r="EM177" s="22">
        <f t="shared" si="180"/>
        <v>3.036919790734272E-12</v>
      </c>
      <c r="EN177" s="62">
        <f t="shared" si="128"/>
        <v>287.08726931121276</v>
      </c>
      <c r="EO177" s="62">
        <f ca="1">AVERAGE(OFFSET($EN$3,0,0,'Données projet'!$E$15+1,1))-AVERAGE(OFFSET($H$3,0,0,'Données projet'!$E$15+1,1))</f>
        <v>452.74627739105745</v>
      </c>
      <c r="EP177" s="62">
        <f t="shared" si="154"/>
        <v>281.80695725575106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1.1368683772161603E-13</v>
      </c>
      <c r="FF177" s="18">
        <f>FE177*VLOOKUP('Données projet'!$B$16,Paramètres!$A$1:$I$89,3,0)*VLOOKUP('Données projet'!$B$16,Paramètres!$A$1:$I$89,5,0)</f>
        <v>1.223725121235475E-13</v>
      </c>
      <c r="FG177" s="14">
        <f t="shared" si="182"/>
        <v>1.7956824466038182E-12</v>
      </c>
      <c r="FH177" s="22">
        <f t="shared" si="183"/>
        <v>3.3406123864501612E-12</v>
      </c>
      <c r="FI177" s="62">
        <f t="shared" si="131"/>
        <v>287.08726931121311</v>
      </c>
      <c r="FJ177" s="62">
        <f ca="1">AVERAGE(OFFSET($FI$3,0,0,'Données projet'!$E$16+1,1))-AVERAGE(OFFSET($H$3,0,0,'Données projet'!$E$16+1,1))</f>
        <v>492.72391755143508</v>
      </c>
      <c r="FK177" s="62">
        <f t="shared" si="156"/>
        <v>304.88554179994355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68.296527993966293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143.77000000000001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-5.6843418860808015E-14</v>
      </c>
      <c r="O178" s="14">
        <f>N178*VLOOKUP('Données projet'!$B$9,Paramètres!$A$1:$I$89,3,0)*VLOOKUP('Données projet'!$B$9,Paramètres!$A$1:$I$89,5,0)</f>
        <v>-5.1431925385259088E-14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388.8309693898596</v>
      </c>
      <c r="T178" s="62">
        <f t="shared" si="142"/>
        <v>549.06702041234382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0.59918409551174323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0.59918409551174323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6.7984728957526396E-14</v>
      </c>
      <c r="AK178" s="14">
        <f t="shared" si="164"/>
        <v>1.0682447123141398E-12</v>
      </c>
      <c r="AL178" s="22">
        <f t="shared" si="165"/>
        <v>1.978932943548152E-12</v>
      </c>
      <c r="AM178" s="62">
        <f t="shared" si="113"/>
        <v>287.19562455788838</v>
      </c>
      <c r="AN178" s="62">
        <f ca="1">AVERAGE(OFFSET($AM$3,0,0,'Données projet'!$E$10+1,1))-AVERAGE(OFFSET($H$3,0,0,'Données projet'!$E$10+1,1))</f>
        <v>197.85998851681552</v>
      </c>
      <c r="AO178" s="62">
        <f t="shared" si="144"/>
        <v>474.54844785896239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3.0183472809095346</v>
      </c>
      <c r="AV178" s="23">
        <f>EXP(-LN(2)/25)*AV177+(1-EXP(-LN(2)/25))/(LN(2)/25)*Calculateur!AQ178*Calculateur!AS178*VLOOKUP('Données projet'!$B$10,Paramètres!$A$1:$I$89,3,0)*0.475*44/12</f>
        <v>0.78881142452567632</v>
      </c>
      <c r="AW178" s="23">
        <f>EXP(-LN(2)/2)*AW177+(1-EXP(-LN(2)/2))/(LN(2)/2)*AQ178*AT178*VLOOKUP('Données projet'!$B$10,Paramètres!$A$1:$I$89,3,0)*0.475*44/12</f>
        <v>6.5235922159386147E-21</v>
      </c>
      <c r="AX178" s="23">
        <f t="shared" si="166"/>
        <v>3.807158705435211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1.1368683772161603E-13</v>
      </c>
      <c r="BE178" s="14">
        <f>BD178*VLOOKUP('Données projet'!$B$11,Paramètres!$A$1:$I$89,3,0)*VLOOKUP('Données projet'!$B$11,Paramètres!$A$1:$I$89,5,0)</f>
        <v>6.7984728957526396E-14</v>
      </c>
      <c r="BF178" s="14">
        <f t="shared" si="167"/>
        <v>1.0682447123141398E-12</v>
      </c>
      <c r="BG178" s="22">
        <f t="shared" si="168"/>
        <v>1.978932943548152E-12</v>
      </c>
      <c r="BH178" s="62">
        <f t="shared" si="116"/>
        <v>287.19562455788838</v>
      </c>
      <c r="BI178" s="62">
        <f ca="1">AVERAGE(OFFSET($BH$3,0,0,'Données projet'!$E$11+1,1))-AVERAGE(OFFSET($H$3,0,0,'Données projet'!$E$11+1,1))</f>
        <v>197.85998851681552</v>
      </c>
      <c r="BJ178" s="62">
        <f t="shared" si="146"/>
        <v>474.54844785896239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3.0183472809095346</v>
      </c>
      <c r="BQ178" s="23">
        <f>EXP(-LN(2)/25)*BQ177+(1-EXP(-LN(2)/25))/(LN(2)/25)*Calculateur!BL178*Calculateur!BN178*VLOOKUP('Données projet'!$B$11,Paramètres!$A$1:$I$89,3,0)*0.475*44/12</f>
        <v>0.78881142452567632</v>
      </c>
      <c r="BR178" s="23">
        <f>EXP(-LN(2)/2)*BR177+(1-EXP(-LN(2)/2))/(LN(2)/2)*BL178*BO178*VLOOKUP('Données projet'!$B$11,Paramètres!$A$1:$I$89,3,0)*0.475*44/12</f>
        <v>6.5235922159386147E-21</v>
      </c>
      <c r="BS178" s="24">
        <f t="shared" si="169"/>
        <v>3.807158705435211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>
        <f>BY178*VLOOKUP('Données projet'!$B$12,Paramètres!$A$1:$I$89,3,0)*VLOOKUP('Données projet'!$B$12,Paramètres!$A$1:$I$89,5,0)</f>
        <v>0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72.97248599808384</v>
      </c>
      <c r="CE178" s="62">
        <f t="shared" si="148"/>
        <v>346.88163654003574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3.289974311010992</v>
      </c>
      <c r="CL178" s="23">
        <f>EXP(-LN(2)/25)*CL177+(1-EXP(-LN(2)/25))/(LN(2)/25)*Calculateur!CG178*Calculateur!CI178*VLOOKUP('Données projet'!$B$12,Paramètres!$A$1:$I$89,3,0)*0.475*44/12</f>
        <v>0.23433922743013541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3.5243135384411275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>
        <f>CT178*VLOOKUP('Données projet'!$B$13,Paramètres!$A$1:$I$89,3,0)*VLOOKUP('Données projet'!$B$13,Paramètres!$A$1:$I$89,5,0)</f>
        <v>0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67.303283896086128</v>
      </c>
      <c r="CZ178" s="62">
        <f t="shared" si="150"/>
        <v>318.97925671653547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2.9875532740656952</v>
      </c>
      <c r="DG178" s="23">
        <f>EXP(-LN(2)/25)*DG177+(1-EXP(-LN(2)/25))/(LN(2)/25)*Calculateur!DB178*Calculateur!DD178*VLOOKUP('Données projet'!$B$13,Paramètres!$A$1:$I$89,3,0)*0.475*44/12</f>
        <v>0.21279829566079098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3.2003515697264859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>
        <f>DO178*VLOOKUP('Données projet'!$B$14,Paramètres!$A$1:$I$89,3,0)*VLOOKUP('Données projet'!$B$14,Paramètres!$A$1:$I$89,5,0)</f>
        <v>0</v>
      </c>
      <c r="DQ178" s="14" t="e">
        <f t="shared" si="176"/>
        <v>#NUM!</v>
      </c>
      <c r="DR178" s="22" t="e">
        <f t="shared" si="177"/>
        <v>#NUM!</v>
      </c>
      <c r="DS178" s="62" t="e">
        <f t="shared" si="125"/>
        <v>#NUM!</v>
      </c>
      <c r="DT178" s="62">
        <f ca="1">AVERAGE(OFFSET($DS$3,0,0,'Données projet'!$E$14+1,1))-AVERAGE(OFFSET($H$3,0,0,'Données projet'!$E$14+1,1))</f>
        <v>75.244137291704476</v>
      </c>
      <c r="DU178" s="62">
        <f t="shared" si="152"/>
        <v>366.065475656937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3.4982532620752456</v>
      </c>
      <c r="EB178" s="23">
        <f>EXP(-LN(2)/25)*EB177+(1-EXP(-LN(2)/25))/(LN(2)/25)*Calculateur!DW178*Calculateur!DY178*VLOOKUP('Données projet'!$B$14,Paramètres!$A$1:$I$89,3,0)*0.475*44/12</f>
        <v>0.24917457988836095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3.7474278419636065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1.1368683772161603E-13</v>
      </c>
      <c r="EK178" s="18">
        <f>EJ178*VLOOKUP('Données projet'!$B$15,Paramètres!$A$1:$I$89,3,0)*VLOOKUP('Données projet'!$B$15,Paramètres!$A$1:$I$89,5,0)</f>
        <v>1.0995790944434703E-13</v>
      </c>
      <c r="EL178" s="14">
        <f t="shared" si="179"/>
        <v>1.6337280948049956E-12</v>
      </c>
      <c r="EM178" s="22">
        <f t="shared" si="180"/>
        <v>3.036919790734272E-12</v>
      </c>
      <c r="EN178" s="62">
        <f t="shared" si="128"/>
        <v>287.1956245578894</v>
      </c>
      <c r="EO178" s="62">
        <f ca="1">AVERAGE(OFFSET($EN$3,0,0,'Données projet'!$E$15+1,1))-AVERAGE(OFFSET($H$3,0,0,'Données projet'!$E$15+1,1))</f>
        <v>452.74627739105745</v>
      </c>
      <c r="EP178" s="62">
        <f t="shared" si="154"/>
        <v>281.80695725575106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1.1368683772161603E-13</v>
      </c>
      <c r="FF178" s="18">
        <f>FE178*VLOOKUP('Données projet'!$B$16,Paramètres!$A$1:$I$89,3,0)*VLOOKUP('Données projet'!$B$16,Paramètres!$A$1:$I$89,5,0)</f>
        <v>1.223725121235475E-13</v>
      </c>
      <c r="FG178" s="14">
        <f t="shared" si="182"/>
        <v>1.7956824466038182E-12</v>
      </c>
      <c r="FH178" s="22">
        <f t="shared" si="183"/>
        <v>3.3406123864501612E-12</v>
      </c>
      <c r="FI178" s="62">
        <f t="shared" si="131"/>
        <v>287.19562455788974</v>
      </c>
      <c r="FJ178" s="62">
        <f ca="1">AVERAGE(OFFSET($FI$3,0,0,'Données projet'!$E$16+1,1))-AVERAGE(OFFSET($H$3,0,0,'Données projet'!$E$16+1,1))</f>
        <v>492.72391755143508</v>
      </c>
      <c r="FK178" s="62">
        <f t="shared" si="156"/>
        <v>304.88554179994355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68.326079424878102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143.77000000000001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-5.6843418860808015E-14</v>
      </c>
      <c r="O179" s="14">
        <f>N179*VLOOKUP('Données projet'!$B$9,Paramètres!$A$1:$I$89,3,0)*VLOOKUP('Données projet'!$B$9,Paramètres!$A$1:$I$89,5,0)</f>
        <v>-5.1431925385259088E-14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388.8309693898596</v>
      </c>
      <c r="T179" s="62">
        <f t="shared" si="142"/>
        <v>549.06702041234382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0.58743446086496942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0.58743446086496942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6.7984728957526396E-14</v>
      </c>
      <c r="AK179" s="14">
        <f t="shared" si="164"/>
        <v>1.0682447123141398E-12</v>
      </c>
      <c r="AL179" s="22">
        <f t="shared" si="165"/>
        <v>1.978932943548152E-12</v>
      </c>
      <c r="AM179" s="62">
        <f t="shared" si="113"/>
        <v>287.30210008328118</v>
      </c>
      <c r="AN179" s="62">
        <f ca="1">AVERAGE(OFFSET($AM$3,0,0,'Données projet'!$E$10+1,1))-AVERAGE(OFFSET($H$3,0,0,'Données projet'!$E$10+1,1))</f>
        <v>197.85998851681552</v>
      </c>
      <c r="AO179" s="62">
        <f t="shared" si="144"/>
        <v>474.54844785896239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2.9591593317409552</v>
      </c>
      <c r="AV179" s="23">
        <f>EXP(-LN(2)/25)*AV178+(1-EXP(-LN(2)/25))/(LN(2)/25)*Calculateur!AQ179*Calculateur!AS179*VLOOKUP('Données projet'!$B$10,Paramètres!$A$1:$I$89,3,0)*0.475*44/12</f>
        <v>0.7672413346402317</v>
      </c>
      <c r="AW179" s="23">
        <f>EXP(-LN(2)/2)*AW178+(1-EXP(-LN(2)/2))/(LN(2)/2)*AQ179*AT179*VLOOKUP('Données projet'!$B$10,Paramètres!$A$1:$I$89,3,0)*0.475*44/12</f>
        <v>4.6128762935859707E-21</v>
      </c>
      <c r="AX179" s="23">
        <f t="shared" si="166"/>
        <v>3.7264006663811871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1.1368683772161603E-13</v>
      </c>
      <c r="BE179" s="14">
        <f>BD179*VLOOKUP('Données projet'!$B$11,Paramètres!$A$1:$I$89,3,0)*VLOOKUP('Données projet'!$B$11,Paramètres!$A$1:$I$89,5,0)</f>
        <v>6.7984728957526396E-14</v>
      </c>
      <c r="BF179" s="14">
        <f t="shared" si="167"/>
        <v>1.0682447123141398E-12</v>
      </c>
      <c r="BG179" s="22">
        <f t="shared" si="168"/>
        <v>1.978932943548152E-12</v>
      </c>
      <c r="BH179" s="62">
        <f t="shared" si="116"/>
        <v>287.30210008328118</v>
      </c>
      <c r="BI179" s="62">
        <f ca="1">AVERAGE(OFFSET($BH$3,0,0,'Données projet'!$E$11+1,1))-AVERAGE(OFFSET($H$3,0,0,'Données projet'!$E$11+1,1))</f>
        <v>197.85998851681552</v>
      </c>
      <c r="BJ179" s="62">
        <f t="shared" si="146"/>
        <v>474.54844785896239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2.9591593317409552</v>
      </c>
      <c r="BQ179" s="23">
        <f>EXP(-LN(2)/25)*BQ178+(1-EXP(-LN(2)/25))/(LN(2)/25)*Calculateur!BL179*Calculateur!BN179*VLOOKUP('Données projet'!$B$11,Paramètres!$A$1:$I$89,3,0)*0.475*44/12</f>
        <v>0.7672413346402317</v>
      </c>
      <c r="BR179" s="23">
        <f>EXP(-LN(2)/2)*BR178+(1-EXP(-LN(2)/2))/(LN(2)/2)*BL179*BO179*VLOOKUP('Données projet'!$B$11,Paramètres!$A$1:$I$89,3,0)*0.475*44/12</f>
        <v>4.6128762935859707E-21</v>
      </c>
      <c r="BS179" s="24">
        <f t="shared" si="169"/>
        <v>3.7264006663811871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>
        <f>BY179*VLOOKUP('Données projet'!$B$12,Paramètres!$A$1:$I$89,3,0)*VLOOKUP('Données projet'!$B$12,Paramètres!$A$1:$I$89,5,0)</f>
        <v>0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72.97248599808384</v>
      </c>
      <c r="CE179" s="62">
        <f t="shared" si="148"/>
        <v>346.88163654003574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3.2254599214582522</v>
      </c>
      <c r="CL179" s="23">
        <f>EXP(-LN(2)/25)*CL178+(1-EXP(-LN(2)/25))/(LN(2)/25)*Calculateur!CG179*Calculateur!CI179*VLOOKUP('Données projet'!$B$12,Paramètres!$A$1:$I$89,3,0)*0.475*44/12</f>
        <v>0.22793120893269397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3.4533911303909464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>
        <f>CT179*VLOOKUP('Données projet'!$B$13,Paramètres!$A$1:$I$89,3,0)*VLOOKUP('Données projet'!$B$13,Paramètres!$A$1:$I$89,5,0)</f>
        <v>0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67.303283896086128</v>
      </c>
      <c r="CZ179" s="62">
        <f t="shared" si="150"/>
        <v>318.97925671653547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2.9289691765888342</v>
      </c>
      <c r="DG179" s="23">
        <f>EXP(-LN(2)/25)*DG178+(1-EXP(-LN(2)/25))/(LN(2)/25)*Calculateur!DB179*Calculateur!DD179*VLOOKUP('Données projet'!$B$13,Paramètres!$A$1:$I$89,3,0)*0.475*44/12</f>
        <v>0.20697931507537062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3.1359484916642049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>
        <f>DO179*VLOOKUP('Données projet'!$B$14,Paramètres!$A$1:$I$89,3,0)*VLOOKUP('Données projet'!$B$14,Paramètres!$A$1:$I$89,5,0)</f>
        <v>0</v>
      </c>
      <c r="DQ179" s="14" t="e">
        <f t="shared" si="176"/>
        <v>#NUM!</v>
      </c>
      <c r="DR179" s="22" t="e">
        <f t="shared" si="177"/>
        <v>#NUM!</v>
      </c>
      <c r="DS179" s="62" t="e">
        <f t="shared" si="125"/>
        <v>#NUM!</v>
      </c>
      <c r="DT179" s="62">
        <f ca="1">AVERAGE(OFFSET($DS$3,0,0,'Données projet'!$E$14+1,1))-AVERAGE(OFFSET($H$3,0,0,'Données projet'!$E$14+1,1))</f>
        <v>75.244137291704476</v>
      </c>
      <c r="DU179" s="62">
        <f t="shared" si="152"/>
        <v>366.065475656937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3.4296546493297519</v>
      </c>
      <c r="EB179" s="23">
        <f>EXP(-LN(2)/25)*EB178+(1-EXP(-LN(2)/25))/(LN(2)/25)*Calculateur!DW179*Calculateur!DY179*VLOOKUP('Données projet'!$B$14,Paramètres!$A$1:$I$89,3,0)*0.475*44/12</f>
        <v>0.24236088789779206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3.6720155372275438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1.1368683772161603E-13</v>
      </c>
      <c r="EK179" s="18">
        <f>EJ179*VLOOKUP('Données projet'!$B$15,Paramètres!$A$1:$I$89,3,0)*VLOOKUP('Données projet'!$B$15,Paramètres!$A$1:$I$89,5,0)</f>
        <v>1.0995790944434703E-13</v>
      </c>
      <c r="EL179" s="14">
        <f t="shared" si="179"/>
        <v>1.6337280948049956E-12</v>
      </c>
      <c r="EM179" s="22">
        <f t="shared" si="180"/>
        <v>3.036919790734272E-12</v>
      </c>
      <c r="EN179" s="62">
        <f t="shared" si="128"/>
        <v>287.3021000832822</v>
      </c>
      <c r="EO179" s="62">
        <f ca="1">AVERAGE(OFFSET($EN$3,0,0,'Données projet'!$E$15+1,1))-AVERAGE(OFFSET($H$3,0,0,'Données projet'!$E$15+1,1))</f>
        <v>452.74627739105745</v>
      </c>
      <c r="EP179" s="62">
        <f t="shared" si="154"/>
        <v>281.80695725575106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1.1368683772161603E-13</v>
      </c>
      <c r="FF179" s="18">
        <f>FE179*VLOOKUP('Données projet'!$B$16,Paramètres!$A$1:$I$89,3,0)*VLOOKUP('Données projet'!$B$16,Paramètres!$A$1:$I$89,5,0)</f>
        <v>1.223725121235475E-13</v>
      </c>
      <c r="FG179" s="14">
        <f t="shared" si="182"/>
        <v>1.7956824466038182E-12</v>
      </c>
      <c r="FH179" s="22">
        <f t="shared" si="183"/>
        <v>3.3406123864501612E-12</v>
      </c>
      <c r="FI179" s="62">
        <f t="shared" si="131"/>
        <v>287.30210008328254</v>
      </c>
      <c r="FJ179" s="62">
        <f ca="1">AVERAGE(OFFSET($FI$3,0,0,'Données projet'!$E$16+1,1))-AVERAGE(OFFSET($H$3,0,0,'Données projet'!$E$16+1,1))</f>
        <v>492.72391755143508</v>
      </c>
      <c r="FK179" s="62">
        <f t="shared" si="156"/>
        <v>304.88554179994355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68.355118204530697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143.77000000000001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-5.6843418860808015E-14</v>
      </c>
      <c r="O180" s="14">
        <f>N180*VLOOKUP('Données projet'!$B$9,Paramètres!$A$1:$I$89,3,0)*VLOOKUP('Données projet'!$B$9,Paramètres!$A$1:$I$89,5,0)</f>
        <v>-5.1431925385259088E-14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388.8309693898596</v>
      </c>
      <c r="T180" s="62">
        <f t="shared" si="142"/>
        <v>549.06702041234382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0.57591522938704931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0.57591522938704931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6.7984728957526396E-14</v>
      </c>
      <c r="AK180" s="14">
        <f t="shared" si="164"/>
        <v>1.0682447123141398E-12</v>
      </c>
      <c r="AL180" s="22">
        <f t="shared" si="165"/>
        <v>1.978932943548152E-12</v>
      </c>
      <c r="AM180" s="62">
        <f t="shared" si="113"/>
        <v>287.40672849635212</v>
      </c>
      <c r="AN180" s="62">
        <f ca="1">AVERAGE(OFFSET($AM$3,0,0,'Données projet'!$E$10+1,1))-AVERAGE(OFFSET($H$3,0,0,'Données projet'!$E$10+1,1))</f>
        <v>197.85998851681552</v>
      </c>
      <c r="AO180" s="62">
        <f t="shared" si="144"/>
        <v>474.54844785896239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2.9011320221544876</v>
      </c>
      <c r="AV180" s="23">
        <f>EXP(-LN(2)/25)*AV179+(1-EXP(-LN(2)/25))/(LN(2)/25)*Calculateur!AQ180*Calculateur!AS180*VLOOKUP('Données projet'!$B$10,Paramètres!$A$1:$I$89,3,0)*0.475*44/12</f>
        <v>0.74626107999702629</v>
      </c>
      <c r="AW180" s="23">
        <f>EXP(-LN(2)/2)*AW179+(1-EXP(-LN(2)/2))/(LN(2)/2)*AQ180*AT180*VLOOKUP('Données projet'!$B$10,Paramètres!$A$1:$I$89,3,0)*0.475*44/12</f>
        <v>3.2617961079693074E-21</v>
      </c>
      <c r="AX180" s="23">
        <f t="shared" si="166"/>
        <v>3.647393102151514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1.1368683772161603E-13</v>
      </c>
      <c r="BE180" s="14">
        <f>BD180*VLOOKUP('Données projet'!$B$11,Paramètres!$A$1:$I$89,3,0)*VLOOKUP('Données projet'!$B$11,Paramètres!$A$1:$I$89,5,0)</f>
        <v>6.7984728957526396E-14</v>
      </c>
      <c r="BF180" s="14">
        <f t="shared" si="167"/>
        <v>1.0682447123141398E-12</v>
      </c>
      <c r="BG180" s="22">
        <f t="shared" si="168"/>
        <v>1.978932943548152E-12</v>
      </c>
      <c r="BH180" s="62">
        <f t="shared" si="116"/>
        <v>287.40672849635212</v>
      </c>
      <c r="BI180" s="62">
        <f ca="1">AVERAGE(OFFSET($BH$3,0,0,'Données projet'!$E$11+1,1))-AVERAGE(OFFSET($H$3,0,0,'Données projet'!$E$11+1,1))</f>
        <v>197.85998851681552</v>
      </c>
      <c r="BJ180" s="62">
        <f t="shared" si="146"/>
        <v>474.54844785896239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2.9011320221544876</v>
      </c>
      <c r="BQ180" s="23">
        <f>EXP(-LN(2)/25)*BQ179+(1-EXP(-LN(2)/25))/(LN(2)/25)*Calculateur!BL180*Calculateur!BN180*VLOOKUP('Données projet'!$B$11,Paramètres!$A$1:$I$89,3,0)*0.475*44/12</f>
        <v>0.74626107999702629</v>
      </c>
      <c r="BR180" s="23">
        <f>EXP(-LN(2)/2)*BR179+(1-EXP(-LN(2)/2))/(LN(2)/2)*BL180*BO180*VLOOKUP('Données projet'!$B$11,Paramètres!$A$1:$I$89,3,0)*0.475*44/12</f>
        <v>3.2617961079693074E-21</v>
      </c>
      <c r="BS180" s="24">
        <f t="shared" si="169"/>
        <v>3.647393102151514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>
        <f>BY180*VLOOKUP('Données projet'!$B$12,Paramètres!$A$1:$I$89,3,0)*VLOOKUP('Données projet'!$B$12,Paramètres!$A$1:$I$89,5,0)</f>
        <v>0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72.97248599808384</v>
      </c>
      <c r="CE180" s="62">
        <f t="shared" si="148"/>
        <v>346.88163654003574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3.1622106197347497</v>
      </c>
      <c r="CL180" s="23">
        <f>EXP(-LN(2)/25)*CL179+(1-EXP(-LN(2)/25))/(LN(2)/25)*Calculateur!CG180*Calculateur!CI180*VLOOKUP('Données projet'!$B$12,Paramètres!$A$1:$I$89,3,0)*0.475*44/12</f>
        <v>0.22169841803804813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3.3839090377727978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>
        <f>CT180*VLOOKUP('Données projet'!$B$13,Paramètres!$A$1:$I$89,3,0)*VLOOKUP('Données projet'!$B$13,Paramètres!$A$1:$I$89,5,0)</f>
        <v>0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67.303283896086128</v>
      </c>
      <c r="CZ180" s="62">
        <f t="shared" si="150"/>
        <v>318.97925671653547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2.8715338775307231</v>
      </c>
      <c r="DG180" s="23">
        <f>EXP(-LN(2)/25)*DG179+(1-EXP(-LN(2)/25))/(LN(2)/25)*Calculateur!DB180*Calculateur!DD180*VLOOKUP('Données projet'!$B$13,Paramètres!$A$1:$I$89,3,0)*0.475*44/12</f>
        <v>0.2013194548200655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3.0728533323507885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>
        <f>DO180*VLOOKUP('Données projet'!$B$14,Paramètres!$A$1:$I$89,3,0)*VLOOKUP('Données projet'!$B$14,Paramètres!$A$1:$I$89,5,0)</f>
        <v>0</v>
      </c>
      <c r="DQ180" s="14" t="e">
        <f t="shared" si="176"/>
        <v>#NUM!</v>
      </c>
      <c r="DR180" s="22" t="e">
        <f t="shared" si="177"/>
        <v>#NUM!</v>
      </c>
      <c r="DS180" s="62" t="e">
        <f t="shared" si="125"/>
        <v>#NUM!</v>
      </c>
      <c r="DT180" s="62">
        <f ca="1">AVERAGE(OFFSET($DS$3,0,0,'Données projet'!$E$14+1,1))-AVERAGE(OFFSET($H$3,0,0,'Données projet'!$E$14+1,1))</f>
        <v>75.244137291704476</v>
      </c>
      <c r="DU180" s="62">
        <f t="shared" si="152"/>
        <v>366.065475656937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3.3624012135391754</v>
      </c>
      <c r="EB180" s="23">
        <f>EXP(-LN(2)/25)*EB179+(1-EXP(-LN(2)/25))/(LN(2)/25)*Calculateur!DW180*Calculateur!DY180*VLOOKUP('Données projet'!$B$14,Paramètres!$A$1:$I$89,3,0)*0.475*44/12</f>
        <v>0.23573351667302175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3.5981347302121973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1.1368683772161603E-13</v>
      </c>
      <c r="EK180" s="18">
        <f>EJ180*VLOOKUP('Données projet'!$B$15,Paramètres!$A$1:$I$89,3,0)*VLOOKUP('Données projet'!$B$15,Paramètres!$A$1:$I$89,5,0)</f>
        <v>1.0995790944434703E-13</v>
      </c>
      <c r="EL180" s="14">
        <f t="shared" si="179"/>
        <v>1.6337280948049956E-12</v>
      </c>
      <c r="EM180" s="22">
        <f t="shared" si="180"/>
        <v>3.036919790734272E-12</v>
      </c>
      <c r="EN180" s="62">
        <f t="shared" si="128"/>
        <v>287.40672849635314</v>
      </c>
      <c r="EO180" s="62">
        <f ca="1">AVERAGE(OFFSET($EN$3,0,0,'Données projet'!$E$15+1,1))-AVERAGE(OFFSET($H$3,0,0,'Données projet'!$E$15+1,1))</f>
        <v>452.74627739105745</v>
      </c>
      <c r="EP180" s="62">
        <f t="shared" si="154"/>
        <v>281.80695725575106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1.1368683772161603E-13</v>
      </c>
      <c r="FF180" s="18">
        <f>FE180*VLOOKUP('Données projet'!$B$16,Paramètres!$A$1:$I$89,3,0)*VLOOKUP('Données projet'!$B$16,Paramètres!$A$1:$I$89,5,0)</f>
        <v>1.223725121235475E-13</v>
      </c>
      <c r="FG180" s="14">
        <f t="shared" si="182"/>
        <v>1.7956824466038182E-12</v>
      </c>
      <c r="FH180" s="22">
        <f t="shared" si="183"/>
        <v>3.3406123864501612E-12</v>
      </c>
      <c r="FI180" s="62">
        <f t="shared" si="131"/>
        <v>287.40672849635348</v>
      </c>
      <c r="FJ180" s="62">
        <f ca="1">AVERAGE(OFFSET($FI$3,0,0,'Données projet'!$E$16+1,1))-AVERAGE(OFFSET($H$3,0,0,'Données projet'!$E$16+1,1))</f>
        <v>492.72391755143508</v>
      </c>
      <c r="FK180" s="62">
        <f t="shared" si="156"/>
        <v>304.88554179994355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68.383653226277318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143.77000000000001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-5.6843418860808015E-14</v>
      </c>
      <c r="O181" s="14">
        <f>N181*VLOOKUP('Données projet'!$B$9,Paramètres!$A$1:$I$89,3,0)*VLOOKUP('Données projet'!$B$9,Paramètres!$A$1:$I$89,5,0)</f>
        <v>-5.1431925385259088E-14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388.8309693898596</v>
      </c>
      <c r="T181" s="62">
        <f t="shared" si="142"/>
        <v>549.06702041234382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0.56462188301237382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0.56462188301237382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6.7984728957526396E-14</v>
      </c>
      <c r="AK181" s="14">
        <f t="shared" si="164"/>
        <v>1.0682447123141398E-12</v>
      </c>
      <c r="AL181" s="22">
        <f t="shared" si="165"/>
        <v>1.978932943548152E-12</v>
      </c>
      <c r="AM181" s="62">
        <f t="shared" si="113"/>
        <v>287.50954184037039</v>
      </c>
      <c r="AN181" s="62">
        <f ca="1">AVERAGE(OFFSET($AM$3,0,0,'Données projet'!$E$10+1,1))-AVERAGE(OFFSET($H$3,0,0,'Données projet'!$E$10+1,1))</f>
        <v>197.85998851681552</v>
      </c>
      <c r="AO181" s="62">
        <f t="shared" si="144"/>
        <v>474.54844785896239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2.8442425927158466</v>
      </c>
      <c r="AV181" s="23">
        <f>EXP(-LN(2)/25)*AV180+(1-EXP(-LN(2)/25))/(LN(2)/25)*Calculateur!AQ181*Calculateur!AS181*VLOOKUP('Données projet'!$B$10,Paramètres!$A$1:$I$89,3,0)*0.475*44/12</f>
        <v>0.72585453152034296</v>
      </c>
      <c r="AW181" s="23">
        <f>EXP(-LN(2)/2)*AW180+(1-EXP(-LN(2)/2))/(LN(2)/2)*AQ181*AT181*VLOOKUP('Données projet'!$B$10,Paramètres!$A$1:$I$89,3,0)*0.475*44/12</f>
        <v>2.3064381467929853E-21</v>
      </c>
      <c r="AX181" s="23">
        <f t="shared" si="166"/>
        <v>3.5700971242361894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1.1368683772161603E-13</v>
      </c>
      <c r="BE181" s="14">
        <f>BD181*VLOOKUP('Données projet'!$B$11,Paramètres!$A$1:$I$89,3,0)*VLOOKUP('Données projet'!$B$11,Paramètres!$A$1:$I$89,5,0)</f>
        <v>6.7984728957526396E-14</v>
      </c>
      <c r="BF181" s="14">
        <f t="shared" si="167"/>
        <v>1.0682447123141398E-12</v>
      </c>
      <c r="BG181" s="22">
        <f t="shared" si="168"/>
        <v>1.978932943548152E-12</v>
      </c>
      <c r="BH181" s="62">
        <f t="shared" si="116"/>
        <v>287.50954184037039</v>
      </c>
      <c r="BI181" s="62">
        <f ca="1">AVERAGE(OFFSET($BH$3,0,0,'Données projet'!$E$11+1,1))-AVERAGE(OFFSET($H$3,0,0,'Données projet'!$E$11+1,1))</f>
        <v>197.85998851681552</v>
      </c>
      <c r="BJ181" s="62">
        <f t="shared" si="146"/>
        <v>474.54844785896239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2.8442425927158466</v>
      </c>
      <c r="BQ181" s="23">
        <f>EXP(-LN(2)/25)*BQ180+(1-EXP(-LN(2)/25))/(LN(2)/25)*Calculateur!BL181*Calculateur!BN181*VLOOKUP('Données projet'!$B$11,Paramètres!$A$1:$I$89,3,0)*0.475*44/12</f>
        <v>0.72585453152034296</v>
      </c>
      <c r="BR181" s="23">
        <f>EXP(-LN(2)/2)*BR180+(1-EXP(-LN(2)/2))/(LN(2)/2)*BL181*BO181*VLOOKUP('Données projet'!$B$11,Paramètres!$A$1:$I$89,3,0)*0.475*44/12</f>
        <v>2.3064381467929853E-21</v>
      </c>
      <c r="BS181" s="24">
        <f t="shared" si="169"/>
        <v>3.5700971242361894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>
        <f>BY181*VLOOKUP('Données projet'!$B$12,Paramètres!$A$1:$I$89,3,0)*VLOOKUP('Données projet'!$B$12,Paramètres!$A$1:$I$89,5,0)</f>
        <v>0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72.97248599808384</v>
      </c>
      <c r="CE181" s="62">
        <f t="shared" si="148"/>
        <v>346.88163654003574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3.1002015982397801</v>
      </c>
      <c r="CL181" s="23">
        <f>EXP(-LN(2)/25)*CL180+(1-EXP(-LN(2)/25))/(LN(2)/25)*Calculateur!CG181*Calculateur!CI181*VLOOKUP('Données projet'!$B$12,Paramètres!$A$1:$I$89,3,0)*0.475*44/12</f>
        <v>0.21563606313818459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3.3158376613779645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>
        <f>CT181*VLOOKUP('Données projet'!$B$13,Paramètres!$A$1:$I$89,3,0)*VLOOKUP('Données projet'!$B$13,Paramètres!$A$1:$I$89,5,0)</f>
        <v>0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67.303283896086128</v>
      </c>
      <c r="CZ181" s="62">
        <f t="shared" si="150"/>
        <v>318.97925671653547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2.8152248496550683</v>
      </c>
      <c r="DG181" s="23">
        <f>EXP(-LN(2)/25)*DG180+(1-EXP(-LN(2)/25))/(LN(2)/25)*Calculateur!DB181*Calculateur!DD181*VLOOKUP('Données projet'!$B$13,Paramètres!$A$1:$I$89,3,0)*0.475*44/12</f>
        <v>0.1958143637410808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3.011039213396149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>
        <f>DO181*VLOOKUP('Données projet'!$B$14,Paramètres!$A$1:$I$89,3,0)*VLOOKUP('Données projet'!$B$14,Paramètres!$A$1:$I$89,5,0)</f>
        <v>0</v>
      </c>
      <c r="DQ181" s="14" t="e">
        <f t="shared" si="176"/>
        <v>#NUM!</v>
      </c>
      <c r="DR181" s="22" t="e">
        <f t="shared" si="177"/>
        <v>#NUM!</v>
      </c>
      <c r="DS181" s="62" t="e">
        <f t="shared" si="125"/>
        <v>#NUM!</v>
      </c>
      <c r="DT181" s="62">
        <f ca="1">AVERAGE(OFFSET($DS$3,0,0,'Données projet'!$E$14+1,1))-AVERAGE(OFFSET($H$3,0,0,'Données projet'!$E$14+1,1))</f>
        <v>75.244137291704476</v>
      </c>
      <c r="DU181" s="62">
        <f t="shared" si="152"/>
        <v>366.065475656937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3.2964665766039065</v>
      </c>
      <c r="EB181" s="23">
        <f>EXP(-LN(2)/25)*EB180+(1-EXP(-LN(2)/25))/(LN(2)/25)*Calculateur!DW181*Calculateur!DY181*VLOOKUP('Données projet'!$B$14,Paramètres!$A$1:$I$89,3,0)*0.475*44/12</f>
        <v>0.2292873712629111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3.5257539478668178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1.1368683772161603E-13</v>
      </c>
      <c r="EK181" s="18">
        <f>EJ181*VLOOKUP('Données projet'!$B$15,Paramètres!$A$1:$I$89,3,0)*VLOOKUP('Données projet'!$B$15,Paramètres!$A$1:$I$89,5,0)</f>
        <v>1.0995790944434703E-13</v>
      </c>
      <c r="EL181" s="14">
        <f t="shared" si="179"/>
        <v>1.6337280948049956E-12</v>
      </c>
      <c r="EM181" s="22">
        <f t="shared" si="180"/>
        <v>3.036919790734272E-12</v>
      </c>
      <c r="EN181" s="62">
        <f t="shared" si="128"/>
        <v>287.50954184037141</v>
      </c>
      <c r="EO181" s="62">
        <f ca="1">AVERAGE(OFFSET($EN$3,0,0,'Données projet'!$E$15+1,1))-AVERAGE(OFFSET($H$3,0,0,'Données projet'!$E$15+1,1))</f>
        <v>452.74627739105745</v>
      </c>
      <c r="EP181" s="62">
        <f t="shared" si="154"/>
        <v>281.80695725575106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1.1368683772161603E-13</v>
      </c>
      <c r="FF181" s="18">
        <f>FE181*VLOOKUP('Données projet'!$B$16,Paramètres!$A$1:$I$89,3,0)*VLOOKUP('Données projet'!$B$16,Paramètres!$A$1:$I$89,5,0)</f>
        <v>1.223725121235475E-13</v>
      </c>
      <c r="FG181" s="14">
        <f t="shared" si="182"/>
        <v>1.7956824466038182E-12</v>
      </c>
      <c r="FH181" s="22">
        <f t="shared" si="183"/>
        <v>3.3406123864501612E-12</v>
      </c>
      <c r="FI181" s="62">
        <f t="shared" si="131"/>
        <v>287.50954184037175</v>
      </c>
      <c r="FJ181" s="62">
        <f ca="1">AVERAGE(OFFSET($FI$3,0,0,'Données projet'!$E$16+1,1))-AVERAGE(OFFSET($H$3,0,0,'Données projet'!$E$16+1,1))</f>
        <v>492.72391755143508</v>
      </c>
      <c r="FK181" s="62">
        <f t="shared" si="156"/>
        <v>304.88554179994355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68.411693229191371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143.77000000000001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-5.6843418860808015E-14</v>
      </c>
      <c r="O182" s="14">
        <f>N182*VLOOKUP('Données projet'!$B$9,Paramètres!$A$1:$I$89,3,0)*VLOOKUP('Données projet'!$B$9,Paramètres!$A$1:$I$89,5,0)</f>
        <v>-5.1431925385259088E-14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388.8309693898596</v>
      </c>
      <c r="T182" s="62">
        <f t="shared" si="142"/>
        <v>549.06702041234382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0.55354999227184454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0.55354999227184454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6.7984728957526396E-14</v>
      </c>
      <c r="AK182" s="14">
        <f t="shared" si="164"/>
        <v>1.0682447123141398E-12</v>
      </c>
      <c r="AL182" s="22">
        <f t="shared" si="165"/>
        <v>1.978932943548152E-12</v>
      </c>
      <c r="AM182" s="62">
        <f t="shared" si="113"/>
        <v>287.61057160272605</v>
      </c>
      <c r="AN182" s="62">
        <f ca="1">AVERAGE(OFFSET($AM$3,0,0,'Données projet'!$E$10+1,1))-AVERAGE(OFFSET($H$3,0,0,'Données projet'!$E$10+1,1))</f>
        <v>197.85998851681552</v>
      </c>
      <c r="AO182" s="62">
        <f t="shared" si="144"/>
        <v>474.54844785896239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2.7884687302893716</v>
      </c>
      <c r="AV182" s="23">
        <f>EXP(-LN(2)/25)*AV181+(1-EXP(-LN(2)/25))/(LN(2)/25)*Calculateur!AQ182*Calculateur!AS182*VLOOKUP('Données projet'!$B$10,Paramètres!$A$1:$I$89,3,0)*0.475*44/12</f>
        <v>0.70600600118488832</v>
      </c>
      <c r="AW182" s="23">
        <f>EXP(-LN(2)/2)*AW181+(1-EXP(-LN(2)/2))/(LN(2)/2)*AQ182*AT182*VLOOKUP('Données projet'!$B$10,Paramètres!$A$1:$I$89,3,0)*0.475*44/12</f>
        <v>1.6308980539846537E-21</v>
      </c>
      <c r="AX182" s="23">
        <f t="shared" si="166"/>
        <v>3.4944747314742601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1.1368683772161603E-13</v>
      </c>
      <c r="BE182" s="14">
        <f>BD182*VLOOKUP('Données projet'!$B$11,Paramètres!$A$1:$I$89,3,0)*VLOOKUP('Données projet'!$B$11,Paramètres!$A$1:$I$89,5,0)</f>
        <v>6.7984728957526396E-14</v>
      </c>
      <c r="BF182" s="14">
        <f t="shared" si="167"/>
        <v>1.0682447123141398E-12</v>
      </c>
      <c r="BG182" s="22">
        <f t="shared" si="168"/>
        <v>1.978932943548152E-12</v>
      </c>
      <c r="BH182" s="62">
        <f t="shared" si="116"/>
        <v>287.61057160272605</v>
      </c>
      <c r="BI182" s="62">
        <f ca="1">AVERAGE(OFFSET($BH$3,0,0,'Données projet'!$E$11+1,1))-AVERAGE(OFFSET($H$3,0,0,'Données projet'!$E$11+1,1))</f>
        <v>197.85998851681552</v>
      </c>
      <c r="BJ182" s="62">
        <f t="shared" si="146"/>
        <v>474.54844785896239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2.7884687302893716</v>
      </c>
      <c r="BQ182" s="23">
        <f>EXP(-LN(2)/25)*BQ181+(1-EXP(-LN(2)/25))/(LN(2)/25)*Calculateur!BL182*Calculateur!BN182*VLOOKUP('Données projet'!$B$11,Paramètres!$A$1:$I$89,3,0)*0.475*44/12</f>
        <v>0.70600600118488832</v>
      </c>
      <c r="BR182" s="23">
        <f>EXP(-LN(2)/2)*BR181+(1-EXP(-LN(2)/2))/(LN(2)/2)*BL182*BO182*VLOOKUP('Données projet'!$B$11,Paramètres!$A$1:$I$89,3,0)*0.475*44/12</f>
        <v>1.6308980539846537E-21</v>
      </c>
      <c r="BS182" s="24">
        <f t="shared" si="169"/>
        <v>3.4944747314742601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>
        <f>BY182*VLOOKUP('Données projet'!$B$12,Paramètres!$A$1:$I$89,3,0)*VLOOKUP('Données projet'!$B$12,Paramètres!$A$1:$I$89,5,0)</f>
        <v>0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72.97248599808384</v>
      </c>
      <c r="CE182" s="62">
        <f t="shared" si="148"/>
        <v>346.88163654003574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3.0394085358345584</v>
      </c>
      <c r="CL182" s="23">
        <f>EXP(-LN(2)/25)*CL181+(1-EXP(-LN(2)/25))/(LN(2)/25)*Calculateur!CG182*Calculateur!CI182*VLOOKUP('Données projet'!$B$12,Paramètres!$A$1:$I$89,3,0)*0.475*44/12</f>
        <v>0.20973948365186321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3.2491480194864217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>
        <f>CT182*VLOOKUP('Données projet'!$B$13,Paramètres!$A$1:$I$89,3,0)*VLOOKUP('Données projet'!$B$13,Paramètres!$A$1:$I$89,5,0)</f>
        <v>0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67.303283896086128</v>
      </c>
      <c r="CZ182" s="62">
        <f t="shared" si="150"/>
        <v>318.97925671653547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2.7600200074709393</v>
      </c>
      <c r="DG182" s="23">
        <f>EXP(-LN(2)/25)*DG181+(1-EXP(-LN(2)/25))/(LN(2)/25)*Calculateur!DB182*Calculateur!DD182*VLOOKUP('Données projet'!$B$13,Paramètres!$A$1:$I$89,3,0)*0.475*44/12</f>
        <v>0.19045980966715109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2.9504798171380906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>
        <f>DO182*VLOOKUP('Données projet'!$B$14,Paramètres!$A$1:$I$89,3,0)*VLOOKUP('Données projet'!$B$14,Paramètres!$A$1:$I$89,5,0)</f>
        <v>0</v>
      </c>
      <c r="DQ182" s="14" t="e">
        <f t="shared" si="176"/>
        <v>#NUM!</v>
      </c>
      <c r="DR182" s="22" t="e">
        <f t="shared" si="177"/>
        <v>#NUM!</v>
      </c>
      <c r="DS182" s="62" t="e">
        <f t="shared" si="125"/>
        <v>#NUM!</v>
      </c>
      <c r="DT182" s="62">
        <f ca="1">AVERAGE(OFFSET($DS$3,0,0,'Données projet'!$E$14+1,1))-AVERAGE(OFFSET($H$3,0,0,'Données projet'!$E$14+1,1))</f>
        <v>75.244137291704476</v>
      </c>
      <c r="DU182" s="62">
        <f t="shared" si="152"/>
        <v>366.065475656937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3.2318248776827807</v>
      </c>
      <c r="EB182" s="23">
        <f>EXP(-LN(2)/25)*EB181+(1-EXP(-LN(2)/25))/(LN(2)/25)*Calculateur!DW182*Calculateur!DY182*VLOOKUP('Données projet'!$B$14,Paramètres!$A$1:$I$89,3,0)*0.475*44/12</f>
        <v>0.22301749603802798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3.4548423737208087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1.1368683772161603E-13</v>
      </c>
      <c r="EK182" s="18">
        <f>EJ182*VLOOKUP('Données projet'!$B$15,Paramètres!$A$1:$I$89,3,0)*VLOOKUP('Données projet'!$B$15,Paramètres!$A$1:$I$89,5,0)</f>
        <v>1.0995790944434703E-13</v>
      </c>
      <c r="EL182" s="14">
        <f t="shared" si="179"/>
        <v>1.6337280948049956E-12</v>
      </c>
      <c r="EM182" s="22">
        <f t="shared" si="180"/>
        <v>3.036919790734272E-12</v>
      </c>
      <c r="EN182" s="62">
        <f t="shared" si="128"/>
        <v>287.61057160272708</v>
      </c>
      <c r="EO182" s="62">
        <f ca="1">AVERAGE(OFFSET($EN$3,0,0,'Données projet'!$E$15+1,1))-AVERAGE(OFFSET($H$3,0,0,'Données projet'!$E$15+1,1))</f>
        <v>452.74627739105745</v>
      </c>
      <c r="EP182" s="62">
        <f t="shared" si="154"/>
        <v>281.80695725575106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1.1368683772161603E-13</v>
      </c>
      <c r="FF182" s="18">
        <f>FE182*VLOOKUP('Données projet'!$B$16,Paramètres!$A$1:$I$89,3,0)*VLOOKUP('Données projet'!$B$16,Paramètres!$A$1:$I$89,5,0)</f>
        <v>1.223725121235475E-13</v>
      </c>
      <c r="FG182" s="14">
        <f t="shared" si="182"/>
        <v>1.7956824466038182E-12</v>
      </c>
      <c r="FH182" s="22">
        <f t="shared" si="183"/>
        <v>3.3406123864501612E-12</v>
      </c>
      <c r="FI182" s="62">
        <f t="shared" si="131"/>
        <v>287.61057160272742</v>
      </c>
      <c r="FJ182" s="62">
        <f ca="1">AVERAGE(OFFSET($FI$3,0,0,'Données projet'!$E$16+1,1))-AVERAGE(OFFSET($H$3,0,0,'Données projet'!$E$16+1,1))</f>
        <v>492.72391755143508</v>
      </c>
      <c r="FK182" s="62">
        <f t="shared" si="156"/>
        <v>304.88554179994355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68.439246800742922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143.77000000000001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-5.6843418860808015E-14</v>
      </c>
      <c r="O183" s="14">
        <f>N183*VLOOKUP('Données projet'!$B$9,Paramètres!$A$1:$I$89,3,0)*VLOOKUP('Données projet'!$B$9,Paramètres!$A$1:$I$89,5,0)</f>
        <v>-5.1431925385259088E-14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388.8309693898596</v>
      </c>
      <c r="T183" s="62">
        <f t="shared" si="142"/>
        <v>549.06702041234382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0.54269521455555059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0.54269521455555059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6.7984728957526396E-14</v>
      </c>
      <c r="AK183" s="14">
        <f t="shared" si="164"/>
        <v>1.0682447123141398E-12</v>
      </c>
      <c r="AL183" s="22">
        <f t="shared" si="165"/>
        <v>1.978932943548152E-12</v>
      </c>
      <c r="AM183" s="62">
        <f t="shared" si="113"/>
        <v>287.70984872457365</v>
      </c>
      <c r="AN183" s="62">
        <f ca="1">AVERAGE(OFFSET($AM$3,0,0,'Données projet'!$E$10+1,1))-AVERAGE(OFFSET($H$3,0,0,'Données projet'!$E$10+1,1))</f>
        <v>197.85998851681552</v>
      </c>
      <c r="AO183" s="62">
        <f t="shared" si="144"/>
        <v>474.54844785896239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2.7337885592863826</v>
      </c>
      <c r="AV183" s="23">
        <f>EXP(-LN(2)/25)*AV182+(1-EXP(-LN(2)/25))/(LN(2)/25)*Calculateur!AQ183*Calculateur!AS183*VLOOKUP('Données projet'!$B$10,Paramètres!$A$1:$I$89,3,0)*0.475*44/12</f>
        <v>0.6867002299552456</v>
      </c>
      <c r="AW183" s="23">
        <f>EXP(-LN(2)/2)*AW182+(1-EXP(-LN(2)/2))/(LN(2)/2)*AQ183*AT183*VLOOKUP('Données projet'!$B$10,Paramètres!$A$1:$I$89,3,0)*0.475*44/12</f>
        <v>1.1532190733964927E-21</v>
      </c>
      <c r="AX183" s="23">
        <f t="shared" si="166"/>
        <v>3.4204887892416282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1.1368683772161603E-13</v>
      </c>
      <c r="BE183" s="14">
        <f>BD183*VLOOKUP('Données projet'!$B$11,Paramètres!$A$1:$I$89,3,0)*VLOOKUP('Données projet'!$B$11,Paramètres!$A$1:$I$89,5,0)</f>
        <v>6.7984728957526396E-14</v>
      </c>
      <c r="BF183" s="14">
        <f t="shared" si="167"/>
        <v>1.0682447123141398E-12</v>
      </c>
      <c r="BG183" s="22">
        <f t="shared" si="168"/>
        <v>1.978932943548152E-12</v>
      </c>
      <c r="BH183" s="62">
        <f t="shared" si="116"/>
        <v>287.70984872457365</v>
      </c>
      <c r="BI183" s="62">
        <f ca="1">AVERAGE(OFFSET($BH$3,0,0,'Données projet'!$E$11+1,1))-AVERAGE(OFFSET($H$3,0,0,'Données projet'!$E$11+1,1))</f>
        <v>197.85998851681552</v>
      </c>
      <c r="BJ183" s="62">
        <f t="shared" si="146"/>
        <v>474.54844785896239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2.7337885592863826</v>
      </c>
      <c r="BQ183" s="23">
        <f>EXP(-LN(2)/25)*BQ182+(1-EXP(-LN(2)/25))/(LN(2)/25)*Calculateur!BL183*Calculateur!BN183*VLOOKUP('Données projet'!$B$11,Paramètres!$A$1:$I$89,3,0)*0.475*44/12</f>
        <v>0.6867002299552456</v>
      </c>
      <c r="BR183" s="23">
        <f>EXP(-LN(2)/2)*BR182+(1-EXP(-LN(2)/2))/(LN(2)/2)*BL183*BO183*VLOOKUP('Données projet'!$B$11,Paramètres!$A$1:$I$89,3,0)*0.475*44/12</f>
        <v>1.1532190733964927E-21</v>
      </c>
      <c r="BS183" s="24">
        <f t="shared" si="169"/>
        <v>3.4204887892416282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>
        <f>BY183*VLOOKUP('Données projet'!$B$12,Paramètres!$A$1:$I$89,3,0)*VLOOKUP('Données projet'!$B$12,Paramètres!$A$1:$I$89,5,0)</f>
        <v>0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72.97248599808384</v>
      </c>
      <c r="CE183" s="62">
        <f t="shared" si="148"/>
        <v>346.88163654003574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2.9798075883029966</v>
      </c>
      <c r="CL183" s="23">
        <f>EXP(-LN(2)/25)*CL182+(1-EXP(-LN(2)/25))/(LN(2)/25)*Calculateur!CG183*Calculateur!CI183*VLOOKUP('Données projet'!$B$12,Paramètres!$A$1:$I$89,3,0)*0.475*44/12</f>
        <v>0.20400414644168294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3.1838117347446797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>
        <f>CT183*VLOOKUP('Données projet'!$B$13,Paramètres!$A$1:$I$89,3,0)*VLOOKUP('Données projet'!$B$13,Paramètres!$A$1:$I$89,5,0)</f>
        <v>0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67.303283896086128</v>
      </c>
      <c r="CZ183" s="62">
        <f t="shared" si="150"/>
        <v>318.97925671653547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2.7058976985704124</v>
      </c>
      <c r="DG183" s="23">
        <f>EXP(-LN(2)/25)*DG182+(1-EXP(-LN(2)/25))/(LN(2)/25)*Calculateur!DB183*Calculateur!DD183*VLOOKUP('Données projet'!$B$13,Paramètres!$A$1:$I$89,3,0)*0.475*44/12</f>
        <v>0.18525167615595675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2.891149374726369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>
        <f>DO183*VLOOKUP('Données projet'!$B$14,Paramètres!$A$1:$I$89,3,0)*VLOOKUP('Données projet'!$B$14,Paramètres!$A$1:$I$89,5,0)</f>
        <v>0</v>
      </c>
      <c r="DQ183" s="14" t="e">
        <f t="shared" si="176"/>
        <v>#NUM!</v>
      </c>
      <c r="DR183" s="22" t="e">
        <f t="shared" si="177"/>
        <v>#NUM!</v>
      </c>
      <c r="DS183" s="62" t="e">
        <f t="shared" si="125"/>
        <v>#NUM!</v>
      </c>
      <c r="DT183" s="62">
        <f ca="1">AVERAGE(OFFSET($DS$3,0,0,'Données projet'!$E$14+1,1))-AVERAGE(OFFSET($H$3,0,0,'Données projet'!$E$14+1,1))</f>
        <v>75.244137291704476</v>
      </c>
      <c r="DU183" s="62">
        <f t="shared" si="152"/>
        <v>366.065475656937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3.1684507630499552</v>
      </c>
      <c r="EB183" s="23">
        <f>EXP(-LN(2)/25)*EB182+(1-EXP(-LN(2)/25))/(LN(2)/25)*Calculateur!DW183*Calculateur!DY183*VLOOKUP('Données projet'!$B$14,Paramètres!$A$1:$I$89,3,0)*0.475*44/12</f>
        <v>0.21691907088088769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3.3853698339308429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1.1368683772161603E-13</v>
      </c>
      <c r="EK183" s="18">
        <f>EJ183*VLOOKUP('Données projet'!$B$15,Paramètres!$A$1:$I$89,3,0)*VLOOKUP('Données projet'!$B$15,Paramètres!$A$1:$I$89,5,0)</f>
        <v>1.0995790944434703E-13</v>
      </c>
      <c r="EL183" s="14">
        <f t="shared" si="179"/>
        <v>1.6337280948049956E-12</v>
      </c>
      <c r="EM183" s="22">
        <f t="shared" si="180"/>
        <v>3.036919790734272E-12</v>
      </c>
      <c r="EN183" s="62">
        <f t="shared" si="128"/>
        <v>287.70984872457467</v>
      </c>
      <c r="EO183" s="62">
        <f ca="1">AVERAGE(OFFSET($EN$3,0,0,'Données projet'!$E$15+1,1))-AVERAGE(OFFSET($H$3,0,0,'Données projet'!$E$15+1,1))</f>
        <v>452.74627739105745</v>
      </c>
      <c r="EP183" s="62">
        <f t="shared" si="154"/>
        <v>281.80695725575106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1.1368683772161603E-13</v>
      </c>
      <c r="FF183" s="18">
        <f>FE183*VLOOKUP('Données projet'!$B$16,Paramètres!$A$1:$I$89,3,0)*VLOOKUP('Données projet'!$B$16,Paramètres!$A$1:$I$89,5,0)</f>
        <v>1.223725121235475E-13</v>
      </c>
      <c r="FG183" s="14">
        <f t="shared" si="182"/>
        <v>1.7956824466038182E-12</v>
      </c>
      <c r="FH183" s="22">
        <f t="shared" si="183"/>
        <v>3.3406123864501612E-12</v>
      </c>
      <c r="FI183" s="62">
        <f t="shared" si="131"/>
        <v>287.70984872457501</v>
      </c>
      <c r="FJ183" s="62">
        <f ca="1">AVERAGE(OFFSET($FI$3,0,0,'Données projet'!$E$16+1,1))-AVERAGE(OFFSET($H$3,0,0,'Données projet'!$E$16+1,1))</f>
        <v>492.72391755143508</v>
      </c>
      <c r="FK183" s="62">
        <f t="shared" si="156"/>
        <v>304.88554179994355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68.466322379428632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143.77000000000001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-5.6843418860808015E-14</v>
      </c>
      <c r="O184" s="14">
        <f>N184*VLOOKUP('Données projet'!$B$9,Paramètres!$A$1:$I$89,3,0)*VLOOKUP('Données projet'!$B$9,Paramètres!$A$1:$I$89,5,0)</f>
        <v>-5.1431925385259088E-14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388.8309693898596</v>
      </c>
      <c r="T184" s="62">
        <f t="shared" si="142"/>
        <v>549.06702041234382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0.53205329240951249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0.53205329240951249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6.7984728957526396E-14</v>
      </c>
      <c r="AK184" s="14">
        <f t="shared" si="164"/>
        <v>1.0682447123141398E-12</v>
      </c>
      <c r="AL184" s="22">
        <f t="shared" si="165"/>
        <v>1.978932943548152E-12</v>
      </c>
      <c r="AM184" s="62">
        <f t="shared" si="113"/>
        <v>287.80740361030746</v>
      </c>
      <c r="AN184" s="62">
        <f ca="1">AVERAGE(OFFSET($AM$3,0,0,'Données projet'!$E$10+1,1))-AVERAGE(OFFSET($H$3,0,0,'Données projet'!$E$10+1,1))</f>
        <v>197.85998851681552</v>
      </c>
      <c r="AO184" s="62">
        <f t="shared" si="144"/>
        <v>474.54844785896239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2.680180633085151</v>
      </c>
      <c r="AV184" s="23">
        <f>EXP(-LN(2)/25)*AV183+(1-EXP(-LN(2)/25))/(LN(2)/25)*Calculateur!AQ184*Calculateur!AS184*VLOOKUP('Données projet'!$B$10,Paramètres!$A$1:$I$89,3,0)*0.475*44/12</f>
        <v>0.66792237605512383</v>
      </c>
      <c r="AW184" s="23">
        <f>EXP(-LN(2)/2)*AW183+(1-EXP(-LN(2)/2))/(LN(2)/2)*AQ184*AT184*VLOOKUP('Données projet'!$B$10,Paramètres!$A$1:$I$89,3,0)*0.475*44/12</f>
        <v>8.1544902699232684E-22</v>
      </c>
      <c r="AX184" s="23">
        <f t="shared" si="166"/>
        <v>3.3481030091402748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1.1368683772161603E-13</v>
      </c>
      <c r="BE184" s="14">
        <f>BD184*VLOOKUP('Données projet'!$B$11,Paramètres!$A$1:$I$89,3,0)*VLOOKUP('Données projet'!$B$11,Paramètres!$A$1:$I$89,5,0)</f>
        <v>6.7984728957526396E-14</v>
      </c>
      <c r="BF184" s="14">
        <f t="shared" si="167"/>
        <v>1.0682447123141398E-12</v>
      </c>
      <c r="BG184" s="22">
        <f t="shared" si="168"/>
        <v>1.978932943548152E-12</v>
      </c>
      <c r="BH184" s="62">
        <f t="shared" si="116"/>
        <v>287.80740361030746</v>
      </c>
      <c r="BI184" s="62">
        <f ca="1">AVERAGE(OFFSET($BH$3,0,0,'Données projet'!$E$11+1,1))-AVERAGE(OFFSET($H$3,0,0,'Données projet'!$E$11+1,1))</f>
        <v>197.85998851681552</v>
      </c>
      <c r="BJ184" s="62">
        <f t="shared" si="146"/>
        <v>474.54844785896239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2.680180633085151</v>
      </c>
      <c r="BQ184" s="23">
        <f>EXP(-LN(2)/25)*BQ183+(1-EXP(-LN(2)/25))/(LN(2)/25)*Calculateur!BL184*Calculateur!BN184*VLOOKUP('Données projet'!$B$11,Paramètres!$A$1:$I$89,3,0)*0.475*44/12</f>
        <v>0.66792237605512383</v>
      </c>
      <c r="BR184" s="23">
        <f>EXP(-LN(2)/2)*BR183+(1-EXP(-LN(2)/2))/(LN(2)/2)*BL184*BO184*VLOOKUP('Données projet'!$B$11,Paramètres!$A$1:$I$89,3,0)*0.475*44/12</f>
        <v>8.1544902699232684E-22</v>
      </c>
      <c r="BS184" s="24">
        <f t="shared" si="169"/>
        <v>3.3481030091402748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>
        <f>BY184*VLOOKUP('Données projet'!$B$12,Paramètres!$A$1:$I$89,3,0)*VLOOKUP('Données projet'!$B$12,Paramètres!$A$1:$I$89,5,0)</f>
        <v>0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72.97248599808384</v>
      </c>
      <c r="CE184" s="62">
        <f t="shared" si="148"/>
        <v>346.88163654003574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2.92137537899954</v>
      </c>
      <c r="CL184" s="23">
        <f>EXP(-LN(2)/25)*CL183+(1-EXP(-LN(2)/25))/(LN(2)/25)*Calculateur!CG184*Calculateur!CI184*VLOOKUP('Données projet'!$B$12,Paramètres!$A$1:$I$89,3,0)*0.475*44/12</f>
        <v>0.19842564232912333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3.1198010213286635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>
        <f>CT184*VLOOKUP('Données projet'!$B$13,Paramètres!$A$1:$I$89,3,0)*VLOOKUP('Données projet'!$B$13,Paramètres!$A$1:$I$89,5,0)</f>
        <v>0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67.303283896086128</v>
      </c>
      <c r="CZ184" s="62">
        <f t="shared" si="150"/>
        <v>318.97925671653547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2.652836695136076</v>
      </c>
      <c r="DG184" s="23">
        <f>EXP(-LN(2)/25)*DG183+(1-EXP(-LN(2)/25))/(LN(2)/25)*Calculateur!DB184*Calculateur!DD184*VLOOKUP('Données projet'!$B$13,Paramètres!$A$1:$I$89,3,0)*0.475*44/12</f>
        <v>0.18018595932950987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2.8330226544655859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>
        <f>DO184*VLOOKUP('Données projet'!$B$14,Paramètres!$A$1:$I$89,3,0)*VLOOKUP('Données projet'!$B$14,Paramètres!$A$1:$I$89,5,0)</f>
        <v>0</v>
      </c>
      <c r="DQ184" s="14" t="e">
        <f t="shared" si="176"/>
        <v>#NUM!</v>
      </c>
      <c r="DR184" s="22" t="e">
        <f t="shared" si="177"/>
        <v>#NUM!</v>
      </c>
      <c r="DS184" s="62" t="e">
        <f t="shared" si="125"/>
        <v>#NUM!</v>
      </c>
      <c r="DT184" s="62">
        <f ca="1">AVERAGE(OFFSET($DS$3,0,0,'Données projet'!$E$14+1,1))-AVERAGE(OFFSET($H$3,0,0,'Données projet'!$E$14+1,1))</f>
        <v>75.244137291704476</v>
      </c>
      <c r="DU184" s="62">
        <f t="shared" si="152"/>
        <v>366.065475656937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3.1063193761506862</v>
      </c>
      <c r="EB184" s="23">
        <f>EXP(-LN(2)/25)*EB183+(1-EXP(-LN(2)/25))/(LN(2)/25)*Calculateur!DW184*Calculateur!DY184*VLOOKUP('Données projet'!$B$14,Paramètres!$A$1:$I$89,3,0)*0.475*44/12</f>
        <v>0.21098740748037165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3.3173067836310577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1.1368683772161603E-13</v>
      </c>
      <c r="EK184" s="18">
        <f>EJ184*VLOOKUP('Données projet'!$B$15,Paramètres!$A$1:$I$89,3,0)*VLOOKUP('Données projet'!$B$15,Paramètres!$A$1:$I$89,5,0)</f>
        <v>1.0995790944434703E-13</v>
      </c>
      <c r="EL184" s="14">
        <f t="shared" si="179"/>
        <v>1.6337280948049956E-12</v>
      </c>
      <c r="EM184" s="22">
        <f t="shared" si="180"/>
        <v>3.036919790734272E-12</v>
      </c>
      <c r="EN184" s="62">
        <f t="shared" si="128"/>
        <v>287.80740361030848</v>
      </c>
      <c r="EO184" s="62">
        <f ca="1">AVERAGE(OFFSET($EN$3,0,0,'Données projet'!$E$15+1,1))-AVERAGE(OFFSET($H$3,0,0,'Données projet'!$E$15+1,1))</f>
        <v>452.74627739105745</v>
      </c>
      <c r="EP184" s="62">
        <f t="shared" si="154"/>
        <v>281.80695725575106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1.1368683772161603E-13</v>
      </c>
      <c r="FF184" s="18">
        <f>FE184*VLOOKUP('Données projet'!$B$16,Paramètres!$A$1:$I$89,3,0)*VLOOKUP('Données projet'!$B$16,Paramètres!$A$1:$I$89,5,0)</f>
        <v>1.223725121235475E-13</v>
      </c>
      <c r="FG184" s="14">
        <f t="shared" si="182"/>
        <v>1.7956824466038182E-12</v>
      </c>
      <c r="FH184" s="22">
        <f t="shared" si="183"/>
        <v>3.3406123864501612E-12</v>
      </c>
      <c r="FI184" s="62">
        <f t="shared" si="131"/>
        <v>287.80740361030882</v>
      </c>
      <c r="FJ184" s="62">
        <f ca="1">AVERAGE(OFFSET($FI$3,0,0,'Données projet'!$E$16+1,1))-AVERAGE(OFFSET($H$3,0,0,'Données projet'!$E$16+1,1))</f>
        <v>492.72391755143508</v>
      </c>
      <c r="FK184" s="62">
        <f t="shared" si="156"/>
        <v>304.88554179994355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68.492928257356041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143.77000000000001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-5.6843418860808015E-14</v>
      </c>
      <c r="O185" s="14">
        <f>N185*VLOOKUP('Données projet'!$B$9,Paramètres!$A$1:$I$89,3,0)*VLOOKUP('Données projet'!$B$9,Paramètres!$A$1:$I$89,5,0)</f>
        <v>-5.1431925385259088E-14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388.8309693898596</v>
      </c>
      <c r="T185" s="62">
        <f t="shared" si="142"/>
        <v>549.06702041234382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0.52162005186582661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0.52162005186582661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6.7984728957526396E-14</v>
      </c>
      <c r="AK185" s="14">
        <f t="shared" si="164"/>
        <v>1.0682447123141398E-12</v>
      </c>
      <c r="AL185" s="22">
        <f t="shared" si="165"/>
        <v>1.978932943548152E-12</v>
      </c>
      <c r="AM185" s="62">
        <f t="shared" si="113"/>
        <v>287.90326613687398</v>
      </c>
      <c r="AN185" s="62">
        <f ca="1">AVERAGE(OFFSET($AM$3,0,0,'Données projet'!$E$10+1,1))-AVERAGE(OFFSET($H$3,0,0,'Données projet'!$E$10+1,1))</f>
        <v>197.85998851681552</v>
      </c>
      <c r="AO185" s="62">
        <f t="shared" si="144"/>
        <v>474.54844785896239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2.6276239256191194</v>
      </c>
      <c r="AV185" s="23">
        <f>EXP(-LN(2)/25)*AV184+(1-EXP(-LN(2)/25))/(LN(2)/25)*Calculateur!AQ185*Calculateur!AS185*VLOOKUP('Données projet'!$B$10,Paramètres!$A$1:$I$89,3,0)*0.475*44/12</f>
        <v>0.64965800355738523</v>
      </c>
      <c r="AW185" s="23">
        <f>EXP(-LN(2)/2)*AW184+(1-EXP(-LN(2)/2))/(LN(2)/2)*AQ185*AT185*VLOOKUP('Données projet'!$B$10,Paramètres!$A$1:$I$89,3,0)*0.475*44/12</f>
        <v>5.7660953669824634E-22</v>
      </c>
      <c r="AX185" s="23">
        <f t="shared" si="166"/>
        <v>3.2772819291765045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1.1368683772161603E-13</v>
      </c>
      <c r="BE185" s="14">
        <f>BD185*VLOOKUP('Données projet'!$B$11,Paramètres!$A$1:$I$89,3,0)*VLOOKUP('Données projet'!$B$11,Paramètres!$A$1:$I$89,5,0)</f>
        <v>6.7984728957526396E-14</v>
      </c>
      <c r="BF185" s="14">
        <f t="shared" si="167"/>
        <v>1.0682447123141398E-12</v>
      </c>
      <c r="BG185" s="22">
        <f t="shared" si="168"/>
        <v>1.978932943548152E-12</v>
      </c>
      <c r="BH185" s="62">
        <f t="shared" si="116"/>
        <v>287.90326613687398</v>
      </c>
      <c r="BI185" s="62">
        <f ca="1">AVERAGE(OFFSET($BH$3,0,0,'Données projet'!$E$11+1,1))-AVERAGE(OFFSET($H$3,0,0,'Données projet'!$E$11+1,1))</f>
        <v>197.85998851681552</v>
      </c>
      <c r="BJ185" s="62">
        <f t="shared" si="146"/>
        <v>474.54844785896239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2.6276239256191194</v>
      </c>
      <c r="BQ185" s="23">
        <f>EXP(-LN(2)/25)*BQ184+(1-EXP(-LN(2)/25))/(LN(2)/25)*Calculateur!BL185*Calculateur!BN185*VLOOKUP('Données projet'!$B$11,Paramètres!$A$1:$I$89,3,0)*0.475*44/12</f>
        <v>0.64965800355738523</v>
      </c>
      <c r="BR185" s="23">
        <f>EXP(-LN(2)/2)*BR184+(1-EXP(-LN(2)/2))/(LN(2)/2)*BL185*BO185*VLOOKUP('Données projet'!$B$11,Paramètres!$A$1:$I$89,3,0)*0.475*44/12</f>
        <v>5.7660953669824634E-22</v>
      </c>
      <c r="BS185" s="24">
        <f t="shared" si="169"/>
        <v>3.2772819291765045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>
        <f>BY185*VLOOKUP('Données projet'!$B$12,Paramètres!$A$1:$I$89,3,0)*VLOOKUP('Données projet'!$B$12,Paramètres!$A$1:$I$89,5,0)</f>
        <v>0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72.97248599808384</v>
      </c>
      <c r="CE185" s="62">
        <f t="shared" si="148"/>
        <v>346.88163654003574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2.864088989680396</v>
      </c>
      <c r="CL185" s="23">
        <f>EXP(-LN(2)/25)*CL184+(1-EXP(-LN(2)/25))/(LN(2)/25)*Calculateur!CG185*Calculateur!CI185*VLOOKUP('Données projet'!$B$12,Paramètres!$A$1:$I$89,3,0)*0.475*44/12</f>
        <v>0.19299968270488244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3.0570886723852784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>
        <f>CT185*VLOOKUP('Données projet'!$B$13,Paramètres!$A$1:$I$89,3,0)*VLOOKUP('Données projet'!$B$13,Paramètres!$A$1:$I$89,5,0)</f>
        <v>0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67.303283896086128</v>
      </c>
      <c r="CZ185" s="62">
        <f t="shared" si="150"/>
        <v>318.97925671653547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2.6008161856150704</v>
      </c>
      <c r="DG185" s="23">
        <f>EXP(-LN(2)/25)*DG184+(1-EXP(-LN(2)/25))/(LN(2)/25)*Calculateur!DB185*Calculateur!DD185*VLOOKUP('Données projet'!$B$13,Paramètres!$A$1:$I$89,3,0)*0.475*44/12</f>
        <v>0.17525876479607663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2.776074950411147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>
        <f>DO185*VLOOKUP('Données projet'!$B$14,Paramètres!$A$1:$I$89,3,0)*VLOOKUP('Données projet'!$B$14,Paramètres!$A$1:$I$89,5,0)</f>
        <v>0</v>
      </c>
      <c r="DQ185" s="14" t="e">
        <f t="shared" si="176"/>
        <v>#NUM!</v>
      </c>
      <c r="DR185" s="22" t="e">
        <f t="shared" si="177"/>
        <v>#NUM!</v>
      </c>
      <c r="DS185" s="62" t="e">
        <f t="shared" si="125"/>
        <v>#NUM!</v>
      </c>
      <c r="DT185" s="62">
        <f ca="1">AVERAGE(OFFSET($DS$3,0,0,'Données projet'!$E$14+1,1))-AVERAGE(OFFSET($H$3,0,0,'Données projet'!$E$14+1,1))</f>
        <v>75.244137291704476</v>
      </c>
      <c r="DU185" s="62">
        <f t="shared" si="152"/>
        <v>366.065475656937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3.0454063478521078</v>
      </c>
      <c r="EB185" s="23">
        <f>EXP(-LN(2)/25)*EB184+(1-EXP(-LN(2)/25))/(LN(2)/25)*Calculateur!DW185*Calculateur!DY185*VLOOKUP('Données projet'!$B$14,Paramètres!$A$1:$I$89,3,0)*0.475*44/12</f>
        <v>0.20521794572747534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3.250624293579583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1.1368683772161603E-13</v>
      </c>
      <c r="EK185" s="18">
        <f>EJ185*VLOOKUP('Données projet'!$B$15,Paramètres!$A$1:$I$89,3,0)*VLOOKUP('Données projet'!$B$15,Paramètres!$A$1:$I$89,5,0)</f>
        <v>1.0995790944434703E-13</v>
      </c>
      <c r="EL185" s="14">
        <f t="shared" si="179"/>
        <v>1.6337280948049956E-12</v>
      </c>
      <c r="EM185" s="22">
        <f t="shared" si="180"/>
        <v>3.036919790734272E-12</v>
      </c>
      <c r="EN185" s="62">
        <f t="shared" si="128"/>
        <v>287.903266136875</v>
      </c>
      <c r="EO185" s="62">
        <f ca="1">AVERAGE(OFFSET($EN$3,0,0,'Données projet'!$E$15+1,1))-AVERAGE(OFFSET($H$3,0,0,'Données projet'!$E$15+1,1))</f>
        <v>452.74627739105745</v>
      </c>
      <c r="EP185" s="62">
        <f t="shared" si="154"/>
        <v>281.80695725575106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1.1368683772161603E-13</v>
      </c>
      <c r="FF185" s="18">
        <f>FE185*VLOOKUP('Données projet'!$B$16,Paramètres!$A$1:$I$89,3,0)*VLOOKUP('Données projet'!$B$16,Paramètres!$A$1:$I$89,5,0)</f>
        <v>1.223725121235475E-13</v>
      </c>
      <c r="FG185" s="14">
        <f t="shared" si="182"/>
        <v>1.7956824466038182E-12</v>
      </c>
      <c r="FH185" s="22">
        <f t="shared" si="183"/>
        <v>3.3406123864501612E-12</v>
      </c>
      <c r="FI185" s="62">
        <f t="shared" si="131"/>
        <v>287.90326613687535</v>
      </c>
      <c r="FJ185" s="62">
        <f ca="1">AVERAGE(OFFSET($FI$3,0,0,'Données projet'!$E$16+1,1))-AVERAGE(OFFSET($H$3,0,0,'Données projet'!$E$16+1,1))</f>
        <v>492.72391755143508</v>
      </c>
      <c r="FK185" s="62">
        <f t="shared" si="156"/>
        <v>304.88554179994355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68.519072582783267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143.77000000000001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-5.6843418860808015E-14</v>
      </c>
      <c r="O186" s="14">
        <f>N186*VLOOKUP('Données projet'!$B$9,Paramètres!$A$1:$I$89,3,0)*VLOOKUP('Données projet'!$B$9,Paramètres!$A$1:$I$89,5,0)</f>
        <v>-5.1431925385259088E-14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388.8309693898596</v>
      </c>
      <c r="T186" s="62">
        <f t="shared" si="142"/>
        <v>549.06702041234382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0.51139140080555401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0.51139140080555401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6.7984728957526396E-14</v>
      </c>
      <c r="AK186" s="14">
        <f t="shared" si="164"/>
        <v>1.0682447123141398E-12</v>
      </c>
      <c r="AL186" s="22">
        <f t="shared" si="165"/>
        <v>1.978932943548152E-12</v>
      </c>
      <c r="AM186" s="62">
        <f t="shared" si="113"/>
        <v>287.997465662921</v>
      </c>
      <c r="AN186" s="62">
        <f ca="1">AVERAGE(OFFSET($AM$3,0,0,'Données projet'!$E$10+1,1))-AVERAGE(OFFSET($H$3,0,0,'Données projet'!$E$10+1,1))</f>
        <v>197.85998851681552</v>
      </c>
      <c r="AO186" s="62">
        <f t="shared" si="144"/>
        <v>474.54844785896239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2.5760978231300702</v>
      </c>
      <c r="AV186" s="23">
        <f>EXP(-LN(2)/25)*AV185+(1-EXP(-LN(2)/25))/(LN(2)/25)*Calculateur!AQ186*Calculateur!AS186*VLOOKUP('Données projet'!$B$10,Paramètres!$A$1:$I$89,3,0)*0.475*44/12</f>
        <v>0.63189307128607897</v>
      </c>
      <c r="AW186" s="23">
        <f>EXP(-LN(2)/2)*AW185+(1-EXP(-LN(2)/2))/(LN(2)/2)*AQ186*AT186*VLOOKUP('Données projet'!$B$10,Paramètres!$A$1:$I$89,3,0)*0.475*44/12</f>
        <v>4.0772451349616342E-22</v>
      </c>
      <c r="AX186" s="23">
        <f t="shared" si="166"/>
        <v>3.2079908944161493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1.1368683772161603E-13</v>
      </c>
      <c r="BE186" s="14">
        <f>BD186*VLOOKUP('Données projet'!$B$11,Paramètres!$A$1:$I$89,3,0)*VLOOKUP('Données projet'!$B$11,Paramètres!$A$1:$I$89,5,0)</f>
        <v>6.7984728957526396E-14</v>
      </c>
      <c r="BF186" s="14">
        <f t="shared" si="167"/>
        <v>1.0682447123141398E-12</v>
      </c>
      <c r="BG186" s="22">
        <f t="shared" si="168"/>
        <v>1.978932943548152E-12</v>
      </c>
      <c r="BH186" s="62">
        <f t="shared" si="116"/>
        <v>287.997465662921</v>
      </c>
      <c r="BI186" s="62">
        <f ca="1">AVERAGE(OFFSET($BH$3,0,0,'Données projet'!$E$11+1,1))-AVERAGE(OFFSET($H$3,0,0,'Données projet'!$E$11+1,1))</f>
        <v>197.85998851681552</v>
      </c>
      <c r="BJ186" s="62">
        <f t="shared" si="146"/>
        <v>474.54844785896239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2.5760978231300702</v>
      </c>
      <c r="BQ186" s="23">
        <f>EXP(-LN(2)/25)*BQ185+(1-EXP(-LN(2)/25))/(LN(2)/25)*Calculateur!BL186*Calculateur!BN186*VLOOKUP('Données projet'!$B$11,Paramètres!$A$1:$I$89,3,0)*0.475*44/12</f>
        <v>0.63189307128607897</v>
      </c>
      <c r="BR186" s="23">
        <f>EXP(-LN(2)/2)*BR185+(1-EXP(-LN(2)/2))/(LN(2)/2)*BL186*BO186*VLOOKUP('Données projet'!$B$11,Paramètres!$A$1:$I$89,3,0)*0.475*44/12</f>
        <v>4.0772451349616342E-22</v>
      </c>
      <c r="BS186" s="24">
        <f t="shared" si="169"/>
        <v>3.2079908944161493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>
        <f>BY186*VLOOKUP('Données projet'!$B$12,Paramètres!$A$1:$I$89,3,0)*VLOOKUP('Données projet'!$B$12,Paramètres!$A$1:$I$89,5,0)</f>
        <v>0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72.97248599808384</v>
      </c>
      <c r="CE186" s="62">
        <f t="shared" si="148"/>
        <v>346.88163654003574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2.8079259515145529</v>
      </c>
      <c r="CL186" s="23">
        <f>EXP(-LN(2)/25)*CL185+(1-EXP(-LN(2)/25))/(LN(2)/25)*Calculateur!CG186*Calculateur!CI186*VLOOKUP('Données projet'!$B$12,Paramètres!$A$1:$I$89,3,0)*0.475*44/12</f>
        <v>0.18772209623190522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2.995648047746458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>
        <f>CT186*VLOOKUP('Données projet'!$B$13,Paramètres!$A$1:$I$89,3,0)*VLOOKUP('Données projet'!$B$13,Paramètres!$A$1:$I$89,5,0)</f>
        <v>0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67.303283896086128</v>
      </c>
      <c r="CZ186" s="62">
        <f t="shared" si="150"/>
        <v>318.97925671653547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2.5498157665563941</v>
      </c>
      <c r="DG186" s="23">
        <f>EXP(-LN(2)/25)*DG185+(1-EXP(-LN(2)/25))/(LN(2)/25)*Calculateur!DB186*Calculateur!DD186*VLOOKUP('Données projet'!$B$13,Paramètres!$A$1:$I$89,3,0)*0.475*44/12</f>
        <v>0.17046630465627002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2.7202820712126643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>
        <f>DO186*VLOOKUP('Données projet'!$B$14,Paramètres!$A$1:$I$89,3,0)*VLOOKUP('Données projet'!$B$14,Paramètres!$A$1:$I$89,5,0)</f>
        <v>0</v>
      </c>
      <c r="DQ186" s="14" t="e">
        <f t="shared" si="176"/>
        <v>#NUM!</v>
      </c>
      <c r="DR186" s="22" t="e">
        <f t="shared" si="177"/>
        <v>#NUM!</v>
      </c>
      <c r="DS186" s="62" t="e">
        <f t="shared" si="125"/>
        <v>#NUM!</v>
      </c>
      <c r="DT186" s="62">
        <f ca="1">AVERAGE(OFFSET($DS$3,0,0,'Données projet'!$E$14+1,1))-AVERAGE(OFFSET($H$3,0,0,'Données projet'!$E$14+1,1))</f>
        <v>75.244137291704476</v>
      </c>
      <c r="DU186" s="62">
        <f t="shared" si="152"/>
        <v>366.065475656937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2.9856877868851859</v>
      </c>
      <c r="EB186" s="23">
        <f>EXP(-LN(2)/25)*EB185+(1-EXP(-LN(2)/25))/(LN(2)/25)*Calculateur!DW186*Calculateur!DY186*VLOOKUP('Données projet'!$B$14,Paramètres!$A$1:$I$89,3,0)*0.475*44/12</f>
        <v>0.19960625020961478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3.1852940370948009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1.1368683772161603E-13</v>
      </c>
      <c r="EK186" s="18">
        <f>EJ186*VLOOKUP('Données projet'!$B$15,Paramètres!$A$1:$I$89,3,0)*VLOOKUP('Données projet'!$B$15,Paramètres!$A$1:$I$89,5,0)</f>
        <v>1.0995790944434703E-13</v>
      </c>
      <c r="EL186" s="14">
        <f t="shared" si="179"/>
        <v>1.6337280948049956E-12</v>
      </c>
      <c r="EM186" s="22">
        <f t="shared" si="180"/>
        <v>3.036919790734272E-12</v>
      </c>
      <c r="EN186" s="62">
        <f t="shared" si="128"/>
        <v>287.99746566292202</v>
      </c>
      <c r="EO186" s="62">
        <f ca="1">AVERAGE(OFFSET($EN$3,0,0,'Données projet'!$E$15+1,1))-AVERAGE(OFFSET($H$3,0,0,'Données projet'!$E$15+1,1))</f>
        <v>452.74627739105745</v>
      </c>
      <c r="EP186" s="62">
        <f t="shared" si="154"/>
        <v>281.80695725575106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1.1368683772161603E-13</v>
      </c>
      <c r="FF186" s="18">
        <f>FE186*VLOOKUP('Données projet'!$B$16,Paramètres!$A$1:$I$89,3,0)*VLOOKUP('Données projet'!$B$16,Paramètres!$A$1:$I$89,5,0)</f>
        <v>1.223725121235475E-13</v>
      </c>
      <c r="FG186" s="14">
        <f t="shared" si="182"/>
        <v>1.7956824466038182E-12</v>
      </c>
      <c r="FH186" s="22">
        <f t="shared" si="183"/>
        <v>3.3406123864501612E-12</v>
      </c>
      <c r="FI186" s="62">
        <f t="shared" si="131"/>
        <v>287.99746566292237</v>
      </c>
      <c r="FJ186" s="62">
        <f ca="1">AVERAGE(OFFSET($FI$3,0,0,'Données projet'!$E$16+1,1))-AVERAGE(OFFSET($H$3,0,0,'Données projet'!$E$16+1,1))</f>
        <v>492.72391755143508</v>
      </c>
      <c r="FK186" s="62">
        <f t="shared" si="156"/>
        <v>304.88554179994355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68.544763362614276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143.77000000000001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-5.6843418860808015E-14</v>
      </c>
      <c r="O187" s="14">
        <f>N187*VLOOKUP('Données projet'!$B$9,Paramètres!$A$1:$I$89,3,0)*VLOOKUP('Données projet'!$B$9,Paramètres!$A$1:$I$89,5,0)</f>
        <v>-5.1431925385259088E-14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388.8309693898596</v>
      </c>
      <c r="T187" s="62">
        <f t="shared" si="142"/>
        <v>549.06702041234382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0.50136332735371225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0.50136332735371225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6.7984728957526396E-14</v>
      </c>
      <c r="AK187" s="14">
        <f t="shared" si="164"/>
        <v>1.0682447123141398E-12</v>
      </c>
      <c r="AL187" s="22">
        <f t="shared" si="165"/>
        <v>1.978932943548152E-12</v>
      </c>
      <c r="AM187" s="62">
        <f t="shared" si="113"/>
        <v>288.09003103778969</v>
      </c>
      <c r="AN187" s="62">
        <f ca="1">AVERAGE(OFFSET($AM$3,0,0,'Données projet'!$E$10+1,1))-AVERAGE(OFFSET($H$3,0,0,'Données projet'!$E$10+1,1))</f>
        <v>197.85998851681552</v>
      </c>
      <c r="AO187" s="62">
        <f t="shared" si="144"/>
        <v>474.54844785896239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2.5255821160830121</v>
      </c>
      <c r="AV187" s="23">
        <f>EXP(-LN(2)/25)*AV186+(1-EXP(-LN(2)/25))/(LN(2)/25)*Calculateur!AQ187*Calculateur!AS187*VLOOKUP('Données projet'!$B$10,Paramètres!$A$1:$I$89,3,0)*0.475*44/12</f>
        <v>0.61461392202194876</v>
      </c>
      <c r="AW187" s="23">
        <f>EXP(-LN(2)/2)*AW186+(1-EXP(-LN(2)/2))/(LN(2)/2)*AQ187*AT187*VLOOKUP('Données projet'!$B$10,Paramètres!$A$1:$I$89,3,0)*0.475*44/12</f>
        <v>2.8830476834912317E-22</v>
      </c>
      <c r="AX187" s="23">
        <f t="shared" si="166"/>
        <v>3.140196038104961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1.1368683772161603E-13</v>
      </c>
      <c r="BE187" s="14">
        <f>BD187*VLOOKUP('Données projet'!$B$11,Paramètres!$A$1:$I$89,3,0)*VLOOKUP('Données projet'!$B$11,Paramètres!$A$1:$I$89,5,0)</f>
        <v>6.7984728957526396E-14</v>
      </c>
      <c r="BF187" s="14">
        <f t="shared" si="167"/>
        <v>1.0682447123141398E-12</v>
      </c>
      <c r="BG187" s="22">
        <f t="shared" si="168"/>
        <v>1.978932943548152E-12</v>
      </c>
      <c r="BH187" s="62">
        <f t="shared" si="116"/>
        <v>288.09003103778969</v>
      </c>
      <c r="BI187" s="62">
        <f ca="1">AVERAGE(OFFSET($BH$3,0,0,'Données projet'!$E$11+1,1))-AVERAGE(OFFSET($H$3,0,0,'Données projet'!$E$11+1,1))</f>
        <v>197.85998851681552</v>
      </c>
      <c r="BJ187" s="62">
        <f t="shared" si="146"/>
        <v>474.54844785896239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2.5255821160830121</v>
      </c>
      <c r="BQ187" s="23">
        <f>EXP(-LN(2)/25)*BQ186+(1-EXP(-LN(2)/25))/(LN(2)/25)*Calculateur!BL187*Calculateur!BN187*VLOOKUP('Données projet'!$B$11,Paramètres!$A$1:$I$89,3,0)*0.475*44/12</f>
        <v>0.61461392202194876</v>
      </c>
      <c r="BR187" s="23">
        <f>EXP(-LN(2)/2)*BR186+(1-EXP(-LN(2)/2))/(LN(2)/2)*BL187*BO187*VLOOKUP('Données projet'!$B$11,Paramètres!$A$1:$I$89,3,0)*0.475*44/12</f>
        <v>2.8830476834912317E-22</v>
      </c>
      <c r="BS187" s="24">
        <f t="shared" si="169"/>
        <v>3.140196038104961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>
        <f>BY187*VLOOKUP('Données projet'!$B$12,Paramètres!$A$1:$I$89,3,0)*VLOOKUP('Données projet'!$B$12,Paramètres!$A$1:$I$89,5,0)</f>
        <v>0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72.97248599808384</v>
      </c>
      <c r="CE187" s="62">
        <f t="shared" si="148"/>
        <v>346.88163654003574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2.7528642362710714</v>
      </c>
      <c r="CL187" s="23">
        <f>EXP(-LN(2)/25)*CL186+(1-EXP(-LN(2)/25))/(LN(2)/25)*Calculateur!CG187*Calculateur!CI187*VLOOKUP('Données projet'!$B$12,Paramètres!$A$1:$I$89,3,0)*0.475*44/12</f>
        <v>0.18258882563856776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2.9354530619096391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>
        <f>CT187*VLOOKUP('Données projet'!$B$13,Paramètres!$A$1:$I$89,3,0)*VLOOKUP('Données projet'!$B$13,Paramètres!$A$1:$I$89,5,0)</f>
        <v>0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67.303283896086128</v>
      </c>
      <c r="CZ187" s="62">
        <f t="shared" si="150"/>
        <v>318.97925671653547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2.4998154346082742</v>
      </c>
      <c r="DG187" s="23">
        <f>EXP(-LN(2)/25)*DG186+(1-EXP(-LN(2)/25))/(LN(2)/25)*Calculateur!DB187*Calculateur!DD187*VLOOKUP('Données projet'!$B$13,Paramètres!$A$1:$I$89,3,0)*0.475*44/12</f>
        <v>0.16580489459101097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2.6656203291992853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>
        <f>DO187*VLOOKUP('Données projet'!$B$14,Paramètres!$A$1:$I$89,3,0)*VLOOKUP('Données projet'!$B$14,Paramètres!$A$1:$I$89,5,0)</f>
        <v>0</v>
      </c>
      <c r="DQ187" s="14" t="e">
        <f t="shared" si="176"/>
        <v>#NUM!</v>
      </c>
      <c r="DR187" s="22" t="e">
        <f t="shared" si="177"/>
        <v>#NUM!</v>
      </c>
      <c r="DS187" s="62" t="e">
        <f t="shared" si="125"/>
        <v>#NUM!</v>
      </c>
      <c r="DT187" s="62">
        <f ca="1">AVERAGE(OFFSET($DS$3,0,0,'Données projet'!$E$14+1,1))-AVERAGE(OFFSET($H$3,0,0,'Données projet'!$E$14+1,1))</f>
        <v>75.244137291704476</v>
      </c>
      <c r="DU187" s="62">
        <f t="shared" si="152"/>
        <v>366.065475656937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2.9271402704740996</v>
      </c>
      <c r="EB187" s="23">
        <f>EXP(-LN(2)/25)*EB186+(1-EXP(-LN(2)/25))/(LN(2)/25)*Calculateur!DW187*Calculateur!DY187*VLOOKUP('Données projet'!$B$14,Paramètres!$A$1:$I$89,3,0)*0.475*44/12</f>
        <v>0.19414800680079639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3.1212882772748962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1.1368683772161603E-13</v>
      </c>
      <c r="EK187" s="18">
        <f>EJ187*VLOOKUP('Données projet'!$B$15,Paramètres!$A$1:$I$89,3,0)*VLOOKUP('Données projet'!$B$15,Paramètres!$A$1:$I$89,5,0)</f>
        <v>1.0995790944434703E-13</v>
      </c>
      <c r="EL187" s="14">
        <f t="shared" si="179"/>
        <v>1.6337280948049956E-12</v>
      </c>
      <c r="EM187" s="22">
        <f t="shared" si="180"/>
        <v>3.036919790734272E-12</v>
      </c>
      <c r="EN187" s="62">
        <f t="shared" si="128"/>
        <v>288.09003103779071</v>
      </c>
      <c r="EO187" s="62">
        <f ca="1">AVERAGE(OFFSET($EN$3,0,0,'Données projet'!$E$15+1,1))-AVERAGE(OFFSET($H$3,0,0,'Données projet'!$E$15+1,1))</f>
        <v>452.74627739105745</v>
      </c>
      <c r="EP187" s="62">
        <f t="shared" si="154"/>
        <v>281.80695725575106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1.1368683772161603E-13</v>
      </c>
      <c r="FF187" s="18">
        <f>FE187*VLOOKUP('Données projet'!$B$16,Paramètres!$A$1:$I$89,3,0)*VLOOKUP('Données projet'!$B$16,Paramètres!$A$1:$I$89,5,0)</f>
        <v>1.223725121235475E-13</v>
      </c>
      <c r="FG187" s="14">
        <f t="shared" si="182"/>
        <v>1.7956824466038182E-12</v>
      </c>
      <c r="FH187" s="22">
        <f t="shared" si="183"/>
        <v>3.3406123864501612E-12</v>
      </c>
      <c r="FI187" s="62">
        <f t="shared" si="131"/>
        <v>288.09003103779105</v>
      </c>
      <c r="FJ187" s="62">
        <f ca="1">AVERAGE(OFFSET($FI$3,0,0,'Données projet'!$E$16+1,1))-AVERAGE(OFFSET($H$3,0,0,'Données projet'!$E$16+1,1))</f>
        <v>492.72391755143508</v>
      </c>
      <c r="FK187" s="62">
        <f t="shared" si="156"/>
        <v>304.88554179994355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68.570008464851185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143.77000000000001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-5.6843418860808015E-14</v>
      </c>
      <c r="O188" s="14">
        <f>N188*VLOOKUP('Données projet'!$B$9,Paramètres!$A$1:$I$89,3,0)*VLOOKUP('Données projet'!$B$9,Paramètres!$A$1:$I$89,5,0)</f>
        <v>-5.1431925385259088E-14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388.8309693898596</v>
      </c>
      <c r="T188" s="62">
        <f t="shared" si="142"/>
        <v>549.06702041234382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0.49153189830574023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0.49153189830574023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6.7984728957526396E-14</v>
      </c>
      <c r="AK188" s="14">
        <f t="shared" si="164"/>
        <v>1.0682447123141398E-12</v>
      </c>
      <c r="AL188" s="22">
        <f t="shared" si="165"/>
        <v>1.978932943548152E-12</v>
      </c>
      <c r="AM188" s="62">
        <f t="shared" si="113"/>
        <v>288.18099061034962</v>
      </c>
      <c r="AN188" s="62">
        <f ca="1">AVERAGE(OFFSET($AM$3,0,0,'Données projet'!$E$10+1,1))-AVERAGE(OFFSET($H$3,0,0,'Données projet'!$E$10+1,1))</f>
        <v>197.85998851681552</v>
      </c>
      <c r="AO188" s="62">
        <f t="shared" si="144"/>
        <v>474.54844785896239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2.476056991239608</v>
      </c>
      <c r="AV188" s="23">
        <f>EXP(-LN(2)/25)*AV187+(1-EXP(-LN(2)/25))/(LN(2)/25)*Calculateur!AQ188*Calculateur!AS188*VLOOKUP('Données projet'!$B$10,Paramètres!$A$1:$I$89,3,0)*0.475*44/12</f>
        <v>0.59780727200311712</v>
      </c>
      <c r="AW188" s="23">
        <f>EXP(-LN(2)/2)*AW187+(1-EXP(-LN(2)/2))/(LN(2)/2)*AQ188*AT188*VLOOKUP('Données projet'!$B$10,Paramètres!$A$1:$I$89,3,0)*0.475*44/12</f>
        <v>2.0386225674808171E-22</v>
      </c>
      <c r="AX188" s="23">
        <f t="shared" si="166"/>
        <v>3.0738642632427249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1.1368683772161603E-13</v>
      </c>
      <c r="BE188" s="14">
        <f>BD188*VLOOKUP('Données projet'!$B$11,Paramètres!$A$1:$I$89,3,0)*VLOOKUP('Données projet'!$B$11,Paramètres!$A$1:$I$89,5,0)</f>
        <v>6.7984728957526396E-14</v>
      </c>
      <c r="BF188" s="14">
        <f t="shared" si="167"/>
        <v>1.0682447123141398E-12</v>
      </c>
      <c r="BG188" s="22">
        <f t="shared" si="168"/>
        <v>1.978932943548152E-12</v>
      </c>
      <c r="BH188" s="62">
        <f t="shared" si="116"/>
        <v>288.18099061034962</v>
      </c>
      <c r="BI188" s="62">
        <f ca="1">AVERAGE(OFFSET($BH$3,0,0,'Données projet'!$E$11+1,1))-AVERAGE(OFFSET($H$3,0,0,'Données projet'!$E$11+1,1))</f>
        <v>197.85998851681552</v>
      </c>
      <c r="BJ188" s="62">
        <f t="shared" si="146"/>
        <v>474.54844785896239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2.476056991239608</v>
      </c>
      <c r="BQ188" s="23">
        <f>EXP(-LN(2)/25)*BQ187+(1-EXP(-LN(2)/25))/(LN(2)/25)*Calculateur!BL188*Calculateur!BN188*VLOOKUP('Données projet'!$B$11,Paramètres!$A$1:$I$89,3,0)*0.475*44/12</f>
        <v>0.59780727200311712</v>
      </c>
      <c r="BR188" s="23">
        <f>EXP(-LN(2)/2)*BR187+(1-EXP(-LN(2)/2))/(LN(2)/2)*BL188*BO188*VLOOKUP('Données projet'!$B$11,Paramètres!$A$1:$I$89,3,0)*0.475*44/12</f>
        <v>2.0386225674808171E-22</v>
      </c>
      <c r="BS188" s="24">
        <f t="shared" si="169"/>
        <v>3.0738642632427249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>
        <f>BY188*VLOOKUP('Données projet'!$B$12,Paramètres!$A$1:$I$89,3,0)*VLOOKUP('Données projet'!$B$12,Paramètres!$A$1:$I$89,5,0)</f>
        <v>0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72.97248599808384</v>
      </c>
      <c r="CE188" s="62">
        <f t="shared" si="148"/>
        <v>346.88163654003574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2.6988822476791841</v>
      </c>
      <c r="CL188" s="23">
        <f>EXP(-LN(2)/25)*CL187+(1-EXP(-LN(2)/25))/(LN(2)/25)*Calculateur!CG188*Calculateur!CI188*VLOOKUP('Données projet'!$B$12,Paramètres!$A$1:$I$89,3,0)*0.475*44/12</f>
        <v>0.17759592459955209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2.8764781722787363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>
        <f>CT188*VLOOKUP('Données projet'!$B$13,Paramètres!$A$1:$I$89,3,0)*VLOOKUP('Données projet'!$B$13,Paramètres!$A$1:$I$89,5,0)</f>
        <v>0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67.303283896086128</v>
      </c>
      <c r="CZ188" s="62">
        <f t="shared" si="150"/>
        <v>318.97925671653547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2.4507955786724658</v>
      </c>
      <c r="DG188" s="23">
        <f>EXP(-LN(2)/25)*DG187+(1-EXP(-LN(2)/25))/(LN(2)/25)*Calculateur!DB188*Calculateur!DD188*VLOOKUP('Données projet'!$B$13,Paramètres!$A$1:$I$89,3,0)*0.475*44/12</f>
        <v>0.16127095102911931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2.6120665297015853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>
        <f>DO188*VLOOKUP('Données projet'!$B$14,Paramètres!$A$1:$I$89,3,0)*VLOOKUP('Données projet'!$B$14,Paramètres!$A$1:$I$89,5,0)</f>
        <v>0</v>
      </c>
      <c r="DQ188" s="14" t="e">
        <f t="shared" si="176"/>
        <v>#NUM!</v>
      </c>
      <c r="DR188" s="22" t="e">
        <f t="shared" si="177"/>
        <v>#NUM!</v>
      </c>
      <c r="DS188" s="62" t="e">
        <f t="shared" si="125"/>
        <v>#NUM!</v>
      </c>
      <c r="DT188" s="62">
        <f ca="1">AVERAGE(OFFSET($DS$3,0,0,'Données projet'!$E$14+1,1))-AVERAGE(OFFSET($H$3,0,0,'Données projet'!$E$14+1,1))</f>
        <v>75.244137291704476</v>
      </c>
      <c r="DU188" s="62">
        <f t="shared" si="152"/>
        <v>366.065475656937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2.8697408351493761</v>
      </c>
      <c r="EB188" s="23">
        <f>EXP(-LN(2)/25)*EB187+(1-EXP(-LN(2)/25))/(LN(2)/25)*Calculateur!DW188*Calculateur!DY188*VLOOKUP('Données projet'!$B$14,Paramètres!$A$1:$I$89,3,0)*0.475*44/12</f>
        <v>0.18883901934502867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3.0585798544944049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1.1368683772161603E-13</v>
      </c>
      <c r="EK188" s="18">
        <f>EJ188*VLOOKUP('Données projet'!$B$15,Paramètres!$A$1:$I$89,3,0)*VLOOKUP('Données projet'!$B$15,Paramètres!$A$1:$I$89,5,0)</f>
        <v>1.0995790944434703E-13</v>
      </c>
      <c r="EL188" s="14">
        <f t="shared" si="179"/>
        <v>1.6337280948049956E-12</v>
      </c>
      <c r="EM188" s="22">
        <f t="shared" si="180"/>
        <v>3.036919790734272E-12</v>
      </c>
      <c r="EN188" s="62">
        <f t="shared" si="128"/>
        <v>288.18099061035065</v>
      </c>
      <c r="EO188" s="62">
        <f ca="1">AVERAGE(OFFSET($EN$3,0,0,'Données projet'!$E$15+1,1))-AVERAGE(OFFSET($H$3,0,0,'Données projet'!$E$15+1,1))</f>
        <v>452.74627739105745</v>
      </c>
      <c r="EP188" s="62">
        <f t="shared" si="154"/>
        <v>281.80695725575106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1.1368683772161603E-13</v>
      </c>
      <c r="FF188" s="18">
        <f>FE188*VLOOKUP('Données projet'!$B$16,Paramètres!$A$1:$I$89,3,0)*VLOOKUP('Données projet'!$B$16,Paramètres!$A$1:$I$89,5,0)</f>
        <v>1.223725121235475E-13</v>
      </c>
      <c r="FG188" s="14">
        <f t="shared" si="182"/>
        <v>1.7956824466038182E-12</v>
      </c>
      <c r="FH188" s="22">
        <f t="shared" si="183"/>
        <v>3.3406123864501612E-12</v>
      </c>
      <c r="FI188" s="62">
        <f t="shared" si="131"/>
        <v>288.18099061035099</v>
      </c>
      <c r="FJ188" s="62">
        <f ca="1">AVERAGE(OFFSET($FI$3,0,0,'Données projet'!$E$16+1,1))-AVERAGE(OFFSET($H$3,0,0,'Données projet'!$E$16+1,1))</f>
        <v>492.72391755143508</v>
      </c>
      <c r="FK188" s="62">
        <f t="shared" si="156"/>
        <v>304.88554179994355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68.594815621003903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143.77000000000001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-5.6843418860808015E-14</v>
      </c>
      <c r="O189" s="14">
        <f>N189*VLOOKUP('Données projet'!$B$9,Paramètres!$A$1:$I$89,3,0)*VLOOKUP('Données projet'!$B$9,Paramètres!$A$1:$I$89,5,0)</f>
        <v>-5.1431925385259088E-14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388.8309693898596</v>
      </c>
      <c r="T189" s="62">
        <f t="shared" si="142"/>
        <v>549.06702041234382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0.48189325758481938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0.48189325758481938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6.7984728957526396E-14</v>
      </c>
      <c r="AK189" s="14">
        <f t="shared" si="164"/>
        <v>1.0682447123141398E-12</v>
      </c>
      <c r="AL189" s="22">
        <f t="shared" si="165"/>
        <v>1.978932943548152E-12</v>
      </c>
      <c r="AM189" s="62">
        <f t="shared" si="113"/>
        <v>288.2703722376807</v>
      </c>
      <c r="AN189" s="62">
        <f ca="1">AVERAGE(OFFSET($AM$3,0,0,'Données projet'!$E$10+1,1))-AVERAGE(OFFSET($H$3,0,0,'Données projet'!$E$10+1,1))</f>
        <v>197.85998851681552</v>
      </c>
      <c r="AO189" s="62">
        <f t="shared" si="144"/>
        <v>474.54844785896239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2.4275030238870396</v>
      </c>
      <c r="AV189" s="23">
        <f>EXP(-LN(2)/25)*AV188+(1-EXP(-LN(2)/25))/(LN(2)/25)*Calculateur!AQ189*Calculateur!AS189*VLOOKUP('Données projet'!$B$10,Paramètres!$A$1:$I$89,3,0)*0.475*44/12</f>
        <v>0.58146020071287374</v>
      </c>
      <c r="AW189" s="23">
        <f>EXP(-LN(2)/2)*AW188+(1-EXP(-LN(2)/2))/(LN(2)/2)*AQ189*AT189*VLOOKUP('Données projet'!$B$10,Paramètres!$A$1:$I$89,3,0)*0.475*44/12</f>
        <v>1.4415238417456158E-22</v>
      </c>
      <c r="AX189" s="23">
        <f t="shared" si="166"/>
        <v>3.0089632245999134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1.1368683772161603E-13</v>
      </c>
      <c r="BE189" s="14">
        <f>BD189*VLOOKUP('Données projet'!$B$11,Paramètres!$A$1:$I$89,3,0)*VLOOKUP('Données projet'!$B$11,Paramètres!$A$1:$I$89,5,0)</f>
        <v>6.7984728957526396E-14</v>
      </c>
      <c r="BF189" s="14">
        <f t="shared" si="167"/>
        <v>1.0682447123141398E-12</v>
      </c>
      <c r="BG189" s="22">
        <f t="shared" si="168"/>
        <v>1.978932943548152E-12</v>
      </c>
      <c r="BH189" s="62">
        <f t="shared" si="116"/>
        <v>288.2703722376807</v>
      </c>
      <c r="BI189" s="62">
        <f ca="1">AVERAGE(OFFSET($BH$3,0,0,'Données projet'!$E$11+1,1))-AVERAGE(OFFSET($H$3,0,0,'Données projet'!$E$11+1,1))</f>
        <v>197.85998851681552</v>
      </c>
      <c r="BJ189" s="62">
        <f t="shared" si="146"/>
        <v>474.54844785896239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2.4275030238870396</v>
      </c>
      <c r="BQ189" s="23">
        <f>EXP(-LN(2)/25)*BQ188+(1-EXP(-LN(2)/25))/(LN(2)/25)*Calculateur!BL189*Calculateur!BN189*VLOOKUP('Données projet'!$B$11,Paramètres!$A$1:$I$89,3,0)*0.475*44/12</f>
        <v>0.58146020071287374</v>
      </c>
      <c r="BR189" s="23">
        <f>EXP(-LN(2)/2)*BR188+(1-EXP(-LN(2)/2))/(LN(2)/2)*BL189*BO189*VLOOKUP('Données projet'!$B$11,Paramètres!$A$1:$I$89,3,0)*0.475*44/12</f>
        <v>1.4415238417456158E-22</v>
      </c>
      <c r="BS189" s="24">
        <f t="shared" si="169"/>
        <v>3.0089632245999134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>
        <f>BY189*VLOOKUP('Données projet'!$B$12,Paramètres!$A$1:$I$89,3,0)*VLOOKUP('Données projet'!$B$12,Paramètres!$A$1:$I$89,5,0)</f>
        <v>0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72.97248599808384</v>
      </c>
      <c r="CE189" s="62">
        <f t="shared" si="148"/>
        <v>346.88163654003574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2.6459588129578218</v>
      </c>
      <c r="CL189" s="23">
        <f>EXP(-LN(2)/25)*CL188+(1-EXP(-LN(2)/25))/(LN(2)/25)*Calculateur!CG189*Calculateur!CI189*VLOOKUP('Données projet'!$B$12,Paramètres!$A$1:$I$89,3,0)*0.475*44/12</f>
        <v>0.17273955470201358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2.8186983676598354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>
        <f>CT189*VLOOKUP('Données projet'!$B$13,Paramètres!$A$1:$I$89,3,0)*VLOOKUP('Données projet'!$B$13,Paramètres!$A$1:$I$89,5,0)</f>
        <v>0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67.303283896086128</v>
      </c>
      <c r="CZ189" s="62">
        <f t="shared" si="150"/>
        <v>318.97925671653547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2.4027369722123986</v>
      </c>
      <c r="DG189" s="23">
        <f>EXP(-LN(2)/25)*DG188+(1-EXP(-LN(2)/25))/(LN(2)/25)*Calculateur!DB189*Calculateur!DD189*VLOOKUP('Données projet'!$B$13,Paramètres!$A$1:$I$89,3,0)*0.475*44/12</f>
        <v>0.15686098839235732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2.5595979606047559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>
        <f>DO189*VLOOKUP('Données projet'!$B$14,Paramètres!$A$1:$I$89,3,0)*VLOOKUP('Données projet'!$B$14,Paramètres!$A$1:$I$89,5,0)</f>
        <v>0</v>
      </c>
      <c r="DQ189" s="14" t="e">
        <f t="shared" si="176"/>
        <v>#NUM!</v>
      </c>
      <c r="DR189" s="22" t="e">
        <f t="shared" si="177"/>
        <v>#NUM!</v>
      </c>
      <c r="DS189" s="62" t="e">
        <f t="shared" si="125"/>
        <v>#NUM!</v>
      </c>
      <c r="DT189" s="62">
        <f ca="1">AVERAGE(OFFSET($DS$3,0,0,'Données projet'!$E$14+1,1))-AVERAGE(OFFSET($H$3,0,0,'Données projet'!$E$14+1,1))</f>
        <v>75.244137291704476</v>
      </c>
      <c r="DU189" s="62">
        <f t="shared" si="152"/>
        <v>366.065475656937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2.8134669677411717</v>
      </c>
      <c r="EB189" s="23">
        <f>EXP(-LN(2)/25)*EB188+(1-EXP(-LN(2)/25))/(LN(2)/25)*Calculateur!DW189*Calculateur!DY189*VLOOKUP('Données projet'!$B$14,Paramètres!$A$1:$I$89,3,0)*0.475*44/12</f>
        <v>0.18367520643042642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2.9971421741715982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1.1368683772161603E-13</v>
      </c>
      <c r="EK189" s="18">
        <f>EJ189*VLOOKUP('Données projet'!$B$15,Paramètres!$A$1:$I$89,3,0)*VLOOKUP('Données projet'!$B$15,Paramètres!$A$1:$I$89,5,0)</f>
        <v>1.0995790944434703E-13</v>
      </c>
      <c r="EL189" s="14">
        <f t="shared" si="179"/>
        <v>1.6337280948049956E-12</v>
      </c>
      <c r="EM189" s="22">
        <f t="shared" si="180"/>
        <v>3.036919790734272E-12</v>
      </c>
      <c r="EN189" s="62">
        <f t="shared" si="128"/>
        <v>288.27037223768173</v>
      </c>
      <c r="EO189" s="62">
        <f ca="1">AVERAGE(OFFSET($EN$3,0,0,'Données projet'!$E$15+1,1))-AVERAGE(OFFSET($H$3,0,0,'Données projet'!$E$15+1,1))</f>
        <v>452.74627739105745</v>
      </c>
      <c r="EP189" s="62">
        <f t="shared" si="154"/>
        <v>281.80695725575106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1.1368683772161603E-13</v>
      </c>
      <c r="FF189" s="18">
        <f>FE189*VLOOKUP('Données projet'!$B$16,Paramètres!$A$1:$I$89,3,0)*VLOOKUP('Données projet'!$B$16,Paramètres!$A$1:$I$89,5,0)</f>
        <v>1.223725121235475E-13</v>
      </c>
      <c r="FG189" s="14">
        <f t="shared" si="182"/>
        <v>1.7956824466038182E-12</v>
      </c>
      <c r="FH189" s="22">
        <f t="shared" si="183"/>
        <v>3.3406123864501612E-12</v>
      </c>
      <c r="FI189" s="62">
        <f t="shared" si="131"/>
        <v>288.27037223768207</v>
      </c>
      <c r="FJ189" s="62">
        <f ca="1">AVERAGE(OFFSET($FI$3,0,0,'Données projet'!$E$16+1,1))-AVERAGE(OFFSET($H$3,0,0,'Données projet'!$E$16+1,1))</f>
        <v>492.72391755143508</v>
      </c>
      <c r="FK189" s="62">
        <f t="shared" si="156"/>
        <v>304.88554179994355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68.619192428457836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143.77000000000001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-5.6843418860808015E-14</v>
      </c>
      <c r="O190" s="14">
        <f>N190*VLOOKUP('Données projet'!$B$9,Paramètres!$A$1:$I$89,3,0)*VLOOKUP('Données projet'!$B$9,Paramètres!$A$1:$I$89,5,0)</f>
        <v>-5.1431925385259088E-14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388.8309693898596</v>
      </c>
      <c r="T190" s="62">
        <f t="shared" si="142"/>
        <v>549.06702041234382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0.47244362472944545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0.47244362472944545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6.7984728957526396E-14</v>
      </c>
      <c r="AK190" s="14">
        <f t="shared" si="164"/>
        <v>1.0682447123141398E-12</v>
      </c>
      <c r="AL190" s="22">
        <f t="shared" si="165"/>
        <v>1.978932943548152E-12</v>
      </c>
      <c r="AM190" s="62">
        <f t="shared" si="113"/>
        <v>288.35820329360507</v>
      </c>
      <c r="AN190" s="62">
        <f ca="1">AVERAGE(OFFSET($AM$3,0,0,'Données projet'!$E$10+1,1))-AVERAGE(OFFSET($H$3,0,0,'Données projet'!$E$10+1,1))</f>
        <v>197.85998851681552</v>
      </c>
      <c r="AO190" s="62">
        <f t="shared" si="144"/>
        <v>474.54844785896239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2.3799011702192594</v>
      </c>
      <c r="AV190" s="23">
        <f>EXP(-LN(2)/25)*AV189+(1-EXP(-LN(2)/25))/(LN(2)/25)*Calculateur!AQ190*Calculateur!AS190*VLOOKUP('Données projet'!$B$10,Paramètres!$A$1:$I$89,3,0)*0.475*44/12</f>
        <v>0.56556014094671725</v>
      </c>
      <c r="AW190" s="23">
        <f>EXP(-LN(2)/2)*AW189+(1-EXP(-LN(2)/2))/(LN(2)/2)*AQ190*AT190*VLOOKUP('Données projet'!$B$10,Paramètres!$A$1:$I$89,3,0)*0.475*44/12</f>
        <v>1.0193112837404086E-22</v>
      </c>
      <c r="AX190" s="23">
        <f t="shared" si="166"/>
        <v>2.9454613111659764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1.1368683772161603E-13</v>
      </c>
      <c r="BE190" s="14">
        <f>BD190*VLOOKUP('Données projet'!$B$11,Paramètres!$A$1:$I$89,3,0)*VLOOKUP('Données projet'!$B$11,Paramètres!$A$1:$I$89,5,0)</f>
        <v>6.7984728957526396E-14</v>
      </c>
      <c r="BF190" s="14">
        <f t="shared" si="167"/>
        <v>1.0682447123141398E-12</v>
      </c>
      <c r="BG190" s="22">
        <f t="shared" si="168"/>
        <v>1.978932943548152E-12</v>
      </c>
      <c r="BH190" s="62">
        <f t="shared" si="116"/>
        <v>288.35820329360507</v>
      </c>
      <c r="BI190" s="62">
        <f ca="1">AVERAGE(OFFSET($BH$3,0,0,'Données projet'!$E$11+1,1))-AVERAGE(OFFSET($H$3,0,0,'Données projet'!$E$11+1,1))</f>
        <v>197.85998851681552</v>
      </c>
      <c r="BJ190" s="62">
        <f t="shared" si="146"/>
        <v>474.54844785896239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2.3799011702192594</v>
      </c>
      <c r="BQ190" s="23">
        <f>EXP(-LN(2)/25)*BQ189+(1-EXP(-LN(2)/25))/(LN(2)/25)*Calculateur!BL190*Calculateur!BN190*VLOOKUP('Données projet'!$B$11,Paramètres!$A$1:$I$89,3,0)*0.475*44/12</f>
        <v>0.56556014094671725</v>
      </c>
      <c r="BR190" s="23">
        <f>EXP(-LN(2)/2)*BR189+(1-EXP(-LN(2)/2))/(LN(2)/2)*BL190*BO190*VLOOKUP('Données projet'!$B$11,Paramètres!$A$1:$I$89,3,0)*0.475*44/12</f>
        <v>1.0193112837404086E-22</v>
      </c>
      <c r="BS190" s="24">
        <f t="shared" si="169"/>
        <v>2.9454613111659764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>
        <f>BY190*VLOOKUP('Données projet'!$B$12,Paramètres!$A$1:$I$89,3,0)*VLOOKUP('Données projet'!$B$12,Paramètres!$A$1:$I$89,5,0)</f>
        <v>0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72.97248599808384</v>
      </c>
      <c r="CE190" s="62">
        <f t="shared" si="148"/>
        <v>346.88163654003574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2.5940731745112378</v>
      </c>
      <c r="CL190" s="23">
        <f>EXP(-LN(2)/25)*CL189+(1-EXP(-LN(2)/25))/(LN(2)/25)*Calculateur!CG190*Calculateur!CI190*VLOOKUP('Données projet'!$B$12,Paramètres!$A$1:$I$89,3,0)*0.475*44/12</f>
        <v>0.16801598249470864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2.7620891570059465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>
        <f>CT190*VLOOKUP('Données projet'!$B$13,Paramètres!$A$1:$I$89,3,0)*VLOOKUP('Données projet'!$B$13,Paramètres!$A$1:$I$89,5,0)</f>
        <v>0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67.303283896086128</v>
      </c>
      <c r="CZ190" s="62">
        <f t="shared" si="150"/>
        <v>318.97925671653547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2.3556207657121577</v>
      </c>
      <c r="DG190" s="23">
        <f>EXP(-LN(2)/25)*DG189+(1-EXP(-LN(2)/25))/(LN(2)/25)*Calculateur!DB190*Calculateur!DD190*VLOOKUP('Données projet'!$B$13,Paramètres!$A$1:$I$89,3,0)*0.475*44/12</f>
        <v>0.15257161641580744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2.508192382127965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>
        <f>DO190*VLOOKUP('Données projet'!$B$14,Paramètres!$A$1:$I$89,3,0)*VLOOKUP('Données projet'!$B$14,Paramètres!$A$1:$I$89,5,0)</f>
        <v>0</v>
      </c>
      <c r="DQ190" s="14" t="e">
        <f t="shared" si="176"/>
        <v>#NUM!</v>
      </c>
      <c r="DR190" s="22" t="e">
        <f t="shared" si="177"/>
        <v>#NUM!</v>
      </c>
      <c r="DS190" s="62" t="e">
        <f t="shared" si="125"/>
        <v>#NUM!</v>
      </c>
      <c r="DT190" s="62">
        <f ca="1">AVERAGE(OFFSET($DS$3,0,0,'Données projet'!$E$14+1,1))-AVERAGE(OFFSET($H$3,0,0,'Données projet'!$E$14+1,1))</f>
        <v>75.244137291704476</v>
      </c>
      <c r="DU190" s="62">
        <f t="shared" si="152"/>
        <v>366.065475656937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2.7582965965491724</v>
      </c>
      <c r="EB190" s="23">
        <f>EXP(-LN(2)/25)*EB189+(1-EXP(-LN(2)/25))/(LN(2)/25)*Calculateur!DW190*Calculateur!DY190*VLOOKUP('Données projet'!$B$14,Paramètres!$A$1:$I$89,3,0)*0.475*44/12</f>
        <v>0.1786525982515271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2.9369491948006994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1.1368683772161603E-13</v>
      </c>
      <c r="EK190" s="18">
        <f>EJ190*VLOOKUP('Données projet'!$B$15,Paramètres!$A$1:$I$89,3,0)*VLOOKUP('Données projet'!$B$15,Paramètres!$A$1:$I$89,5,0)</f>
        <v>1.0995790944434703E-13</v>
      </c>
      <c r="EL190" s="14">
        <f t="shared" si="179"/>
        <v>1.6337280948049956E-12</v>
      </c>
      <c r="EM190" s="22">
        <f t="shared" si="180"/>
        <v>3.036919790734272E-12</v>
      </c>
      <c r="EN190" s="62">
        <f t="shared" si="128"/>
        <v>288.3582032936061</v>
      </c>
      <c r="EO190" s="62">
        <f ca="1">AVERAGE(OFFSET($EN$3,0,0,'Données projet'!$E$15+1,1))-AVERAGE(OFFSET($H$3,0,0,'Données projet'!$E$15+1,1))</f>
        <v>452.74627739105745</v>
      </c>
      <c r="EP190" s="62">
        <f t="shared" si="154"/>
        <v>281.80695725575106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1.1368683772161603E-13</v>
      </c>
      <c r="FF190" s="18">
        <f>FE190*VLOOKUP('Données projet'!$B$16,Paramètres!$A$1:$I$89,3,0)*VLOOKUP('Données projet'!$B$16,Paramètres!$A$1:$I$89,5,0)</f>
        <v>1.223725121235475E-13</v>
      </c>
      <c r="FG190" s="14">
        <f t="shared" si="182"/>
        <v>1.7956824466038182E-12</v>
      </c>
      <c r="FH190" s="22">
        <f t="shared" si="183"/>
        <v>3.3406123864501612E-12</v>
      </c>
      <c r="FI190" s="62">
        <f t="shared" si="131"/>
        <v>288.35820329360644</v>
      </c>
      <c r="FJ190" s="62">
        <f ca="1">AVERAGE(OFFSET($FI$3,0,0,'Données projet'!$E$16+1,1))-AVERAGE(OFFSET($H$3,0,0,'Données projet'!$E$16+1,1))</f>
        <v>492.72391755143508</v>
      </c>
      <c r="FK190" s="62">
        <f t="shared" si="156"/>
        <v>304.88554179994355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68.643146352800841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143.77000000000001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-5.6843418860808015E-14</v>
      </c>
      <c r="O191" s="14">
        <f>N191*VLOOKUP('Données projet'!$B$9,Paramètres!$A$1:$I$89,3,0)*VLOOKUP('Données projet'!$B$9,Paramètres!$A$1:$I$89,5,0)</f>
        <v>-5.1431925385259088E-14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388.8309693898596</v>
      </c>
      <c r="T191" s="62">
        <f t="shared" si="142"/>
        <v>549.06702041234382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0.46317929341065844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0.46317929341065844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6.7984728957526396E-14</v>
      </c>
      <c r="AK191" s="14">
        <f t="shared" si="164"/>
        <v>1.0682447123141398E-12</v>
      </c>
      <c r="AL191" s="22">
        <f t="shared" si="165"/>
        <v>1.978932943548152E-12</v>
      </c>
      <c r="AM191" s="62">
        <f t="shared" si="113"/>
        <v>288.44451067706996</v>
      </c>
      <c r="AN191" s="62">
        <f ca="1">AVERAGE(OFFSET($AM$3,0,0,'Données projet'!$E$10+1,1))-AVERAGE(OFFSET($H$3,0,0,'Données projet'!$E$10+1,1))</f>
        <v>197.85998851681552</v>
      </c>
      <c r="AO191" s="62">
        <f t="shared" si="144"/>
        <v>474.54844785896239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2.3332327598676401</v>
      </c>
      <c r="AV191" s="23">
        <f>EXP(-LN(2)/25)*AV190+(1-EXP(-LN(2)/25))/(LN(2)/25)*Calculateur!AQ191*Calculateur!AS191*VLOOKUP('Données projet'!$B$10,Paramètres!$A$1:$I$89,3,0)*0.475*44/12</f>
        <v>0.55009486915101402</v>
      </c>
      <c r="AW191" s="23">
        <f>EXP(-LN(2)/2)*AW190+(1-EXP(-LN(2)/2))/(LN(2)/2)*AQ191*AT191*VLOOKUP('Données projet'!$B$10,Paramètres!$A$1:$I$89,3,0)*0.475*44/12</f>
        <v>7.2076192087280792E-23</v>
      </c>
      <c r="AX191" s="23">
        <f t="shared" si="166"/>
        <v>2.883327629018654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1.1368683772161603E-13</v>
      </c>
      <c r="BE191" s="14">
        <f>BD191*VLOOKUP('Données projet'!$B$11,Paramètres!$A$1:$I$89,3,0)*VLOOKUP('Données projet'!$B$11,Paramètres!$A$1:$I$89,5,0)</f>
        <v>6.7984728957526396E-14</v>
      </c>
      <c r="BF191" s="14">
        <f t="shared" si="167"/>
        <v>1.0682447123141398E-12</v>
      </c>
      <c r="BG191" s="22">
        <f t="shared" si="168"/>
        <v>1.978932943548152E-12</v>
      </c>
      <c r="BH191" s="62">
        <f t="shared" si="116"/>
        <v>288.44451067706996</v>
      </c>
      <c r="BI191" s="62">
        <f ca="1">AVERAGE(OFFSET($BH$3,0,0,'Données projet'!$E$11+1,1))-AVERAGE(OFFSET($H$3,0,0,'Données projet'!$E$11+1,1))</f>
        <v>197.85998851681552</v>
      </c>
      <c r="BJ191" s="62">
        <f t="shared" si="146"/>
        <v>474.54844785896239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2.3332327598676401</v>
      </c>
      <c r="BQ191" s="23">
        <f>EXP(-LN(2)/25)*BQ190+(1-EXP(-LN(2)/25))/(LN(2)/25)*Calculateur!BL191*Calculateur!BN191*VLOOKUP('Données projet'!$B$11,Paramètres!$A$1:$I$89,3,0)*0.475*44/12</f>
        <v>0.55009486915101402</v>
      </c>
      <c r="BR191" s="23">
        <f>EXP(-LN(2)/2)*BR190+(1-EXP(-LN(2)/2))/(LN(2)/2)*BL191*BO191*VLOOKUP('Données projet'!$B$11,Paramètres!$A$1:$I$89,3,0)*0.475*44/12</f>
        <v>7.2076192087280792E-23</v>
      </c>
      <c r="BS191" s="24">
        <f t="shared" si="169"/>
        <v>2.883327629018654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>
        <f>BY191*VLOOKUP('Données projet'!$B$12,Paramètres!$A$1:$I$89,3,0)*VLOOKUP('Données projet'!$B$12,Paramètres!$A$1:$I$89,5,0)</f>
        <v>0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72.97248599808384</v>
      </c>
      <c r="CE191" s="62">
        <f t="shared" si="148"/>
        <v>346.88163654003574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2.5432049817874769</v>
      </c>
      <c r="CL191" s="23">
        <f>EXP(-LN(2)/25)*CL190+(1-EXP(-LN(2)/25))/(LN(2)/25)*Calculateur!CG191*Calculateur!CI191*VLOOKUP('Données projet'!$B$12,Paramètres!$A$1:$I$89,3,0)*0.475*44/12</f>
        <v>0.16342157661781431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2.7066265584052913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>
        <f>CT191*VLOOKUP('Données projet'!$B$13,Paramètres!$A$1:$I$89,3,0)*VLOOKUP('Données projet'!$B$13,Paramètres!$A$1:$I$89,5,0)</f>
        <v>0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67.303283896086128</v>
      </c>
      <c r="CZ191" s="62">
        <f t="shared" si="150"/>
        <v>318.97925671653547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2.3094284792833384</v>
      </c>
      <c r="DG191" s="23">
        <f>EXP(-LN(2)/25)*DG190+(1-EXP(-LN(2)/25))/(LN(2)/25)*Calculateur!DB191*Calculateur!DD191*VLOOKUP('Données projet'!$B$13,Paramètres!$A$1:$I$89,3,0)*0.475*44/12</f>
        <v>0.14839953754152457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2.457828016824863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>
        <f>DO191*VLOOKUP('Données projet'!$B$14,Paramètres!$A$1:$I$89,3,0)*VLOOKUP('Données projet'!$B$14,Paramètres!$A$1:$I$89,5,0)</f>
        <v>0</v>
      </c>
      <c r="DQ191" s="14" t="e">
        <f t="shared" si="176"/>
        <v>#NUM!</v>
      </c>
      <c r="DR191" s="22" t="e">
        <f t="shared" si="177"/>
        <v>#NUM!</v>
      </c>
      <c r="DS191" s="62" t="e">
        <f t="shared" si="125"/>
        <v>#NUM!</v>
      </c>
      <c r="DT191" s="62">
        <f ca="1">AVERAGE(OFFSET($DS$3,0,0,'Données projet'!$E$14+1,1))-AVERAGE(OFFSET($H$3,0,0,'Données projet'!$E$14+1,1))</f>
        <v>75.244137291704476</v>
      </c>
      <c r="DU191" s="62">
        <f t="shared" si="152"/>
        <v>366.065475656937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2.7042080826856445</v>
      </c>
      <c r="EB191" s="23">
        <f>EXP(-LN(2)/25)*EB190+(1-EXP(-LN(2)/25))/(LN(2)/25)*Calculateur!DW191*Calculateur!DY191*VLOOKUP('Données projet'!$B$14,Paramètres!$A$1:$I$89,3,0)*0.475*44/12</f>
        <v>0.17376733355740726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2.8779754162430518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1.1368683772161603E-13</v>
      </c>
      <c r="EK191" s="18">
        <f>EJ191*VLOOKUP('Données projet'!$B$15,Paramètres!$A$1:$I$89,3,0)*VLOOKUP('Données projet'!$B$15,Paramètres!$A$1:$I$89,5,0)</f>
        <v>1.0995790944434703E-13</v>
      </c>
      <c r="EL191" s="14">
        <f t="shared" si="179"/>
        <v>1.6337280948049956E-12</v>
      </c>
      <c r="EM191" s="22">
        <f t="shared" si="180"/>
        <v>3.036919790734272E-12</v>
      </c>
      <c r="EN191" s="62">
        <f t="shared" si="128"/>
        <v>288.44451067707098</v>
      </c>
      <c r="EO191" s="62">
        <f ca="1">AVERAGE(OFFSET($EN$3,0,0,'Données projet'!$E$15+1,1))-AVERAGE(OFFSET($H$3,0,0,'Données projet'!$E$15+1,1))</f>
        <v>452.74627739105745</v>
      </c>
      <c r="EP191" s="62">
        <f t="shared" si="154"/>
        <v>281.80695725575106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1.1368683772161603E-13</v>
      </c>
      <c r="FF191" s="18">
        <f>FE191*VLOOKUP('Données projet'!$B$16,Paramètres!$A$1:$I$89,3,0)*VLOOKUP('Données projet'!$B$16,Paramètres!$A$1:$I$89,5,0)</f>
        <v>1.223725121235475E-13</v>
      </c>
      <c r="FG191" s="14">
        <f t="shared" si="182"/>
        <v>1.7956824466038182E-12</v>
      </c>
      <c r="FH191" s="22">
        <f t="shared" si="183"/>
        <v>3.3406123864501612E-12</v>
      </c>
      <c r="FI191" s="62">
        <f t="shared" si="131"/>
        <v>288.44451067707132</v>
      </c>
      <c r="FJ191" s="62">
        <f ca="1">AVERAGE(OFFSET($FI$3,0,0,'Données projet'!$E$16+1,1))-AVERAGE(OFFSET($H$3,0,0,'Données projet'!$E$16+1,1))</f>
        <v>492.72391755143508</v>
      </c>
      <c r="FK191" s="62">
        <f t="shared" si="156"/>
        <v>304.88554179994355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68.666684730109438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143.77000000000001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-5.6843418860808015E-14</v>
      </c>
      <c r="O192" s="14">
        <f>N192*VLOOKUP('Données projet'!$B$9,Paramètres!$A$1:$I$89,3,0)*VLOOKUP('Données projet'!$B$9,Paramètres!$A$1:$I$89,5,0)</f>
        <v>-5.1431925385259088E-14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388.8309693898596</v>
      </c>
      <c r="T192" s="62">
        <f t="shared" si="142"/>
        <v>549.06702041234382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0.45409662997834871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0.45409662997834871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6.7984728957526396E-14</v>
      </c>
      <c r="AK192" s="14">
        <f t="shared" si="164"/>
        <v>1.0682447123141398E-12</v>
      </c>
      <c r="AL192" s="22">
        <f t="shared" si="165"/>
        <v>1.978932943548152E-12</v>
      </c>
      <c r="AM192" s="62">
        <f t="shared" si="113"/>
        <v>288.52932082038603</v>
      </c>
      <c r="AN192" s="62">
        <f ca="1">AVERAGE(OFFSET($AM$3,0,0,'Données projet'!$E$10+1,1))-AVERAGE(OFFSET($H$3,0,0,'Données projet'!$E$10+1,1))</f>
        <v>197.85998851681552</v>
      </c>
      <c r="AO192" s="62">
        <f t="shared" si="144"/>
        <v>474.54844785896239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2.2874794885780965</v>
      </c>
      <c r="AV192" s="23">
        <f>EXP(-LN(2)/25)*AV191+(1-EXP(-LN(2)/25))/(LN(2)/25)*Calculateur!AQ192*Calculateur!AS192*VLOOKUP('Données projet'!$B$10,Paramètres!$A$1:$I$89,3,0)*0.475*44/12</f>
        <v>0.53505249602584759</v>
      </c>
      <c r="AW192" s="23">
        <f>EXP(-LN(2)/2)*AW191+(1-EXP(-LN(2)/2))/(LN(2)/2)*AQ192*AT192*VLOOKUP('Données projet'!$B$10,Paramètres!$A$1:$I$89,3,0)*0.475*44/12</f>
        <v>5.0965564187020428E-23</v>
      </c>
      <c r="AX192" s="23">
        <f t="shared" si="166"/>
        <v>2.8225319846039438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1.1368683772161603E-13</v>
      </c>
      <c r="BE192" s="14">
        <f>BD192*VLOOKUP('Données projet'!$B$11,Paramètres!$A$1:$I$89,3,0)*VLOOKUP('Données projet'!$B$11,Paramètres!$A$1:$I$89,5,0)</f>
        <v>6.7984728957526396E-14</v>
      </c>
      <c r="BF192" s="14">
        <f t="shared" si="167"/>
        <v>1.0682447123141398E-12</v>
      </c>
      <c r="BG192" s="22">
        <f t="shared" si="168"/>
        <v>1.978932943548152E-12</v>
      </c>
      <c r="BH192" s="62">
        <f t="shared" si="116"/>
        <v>288.52932082038603</v>
      </c>
      <c r="BI192" s="62">
        <f ca="1">AVERAGE(OFFSET($BH$3,0,0,'Données projet'!$E$11+1,1))-AVERAGE(OFFSET($H$3,0,0,'Données projet'!$E$11+1,1))</f>
        <v>197.85998851681552</v>
      </c>
      <c r="BJ192" s="62">
        <f t="shared" si="146"/>
        <v>474.54844785896239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2.2874794885780965</v>
      </c>
      <c r="BQ192" s="23">
        <f>EXP(-LN(2)/25)*BQ191+(1-EXP(-LN(2)/25))/(LN(2)/25)*Calculateur!BL192*Calculateur!BN192*VLOOKUP('Données projet'!$B$11,Paramètres!$A$1:$I$89,3,0)*0.475*44/12</f>
        <v>0.53505249602584759</v>
      </c>
      <c r="BR192" s="23">
        <f>EXP(-LN(2)/2)*BR191+(1-EXP(-LN(2)/2))/(LN(2)/2)*BL192*BO192*VLOOKUP('Données projet'!$B$11,Paramètres!$A$1:$I$89,3,0)*0.475*44/12</f>
        <v>5.0965564187020428E-23</v>
      </c>
      <c r="BS192" s="24">
        <f t="shared" si="169"/>
        <v>2.8225319846039438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>
        <f>BY192*VLOOKUP('Données projet'!$B$12,Paramètres!$A$1:$I$89,3,0)*VLOOKUP('Données projet'!$B$12,Paramètres!$A$1:$I$89,5,0)</f>
        <v>0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72.97248599808384</v>
      </c>
      <c r="CE192" s="62">
        <f t="shared" si="148"/>
        <v>346.88163654003574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2.4933342832964951</v>
      </c>
      <c r="CL192" s="23">
        <f>EXP(-LN(2)/25)*CL191+(1-EXP(-LN(2)/25))/(LN(2)/25)*Calculateur!CG192*Calculateur!CI192*VLOOKUP('Données projet'!$B$12,Paramètres!$A$1:$I$89,3,0)*0.475*44/12</f>
        <v>0.15895280501123296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2.6522870883077281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>
        <f>CT192*VLOOKUP('Données projet'!$B$13,Paramètres!$A$1:$I$89,3,0)*VLOOKUP('Données projet'!$B$13,Paramètres!$A$1:$I$89,5,0)</f>
        <v>0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67.303283896086128</v>
      </c>
      <c r="CZ192" s="62">
        <f t="shared" si="150"/>
        <v>318.97925671653547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2.2641419954168756</v>
      </c>
      <c r="DG192" s="23">
        <f>EXP(-LN(2)/25)*DG191+(1-EXP(-LN(2)/25))/(LN(2)/25)*Calculateur!DB192*Calculateur!DD192*VLOOKUP('Données projet'!$B$13,Paramètres!$A$1:$I$89,3,0)*0.475*44/12</f>
        <v>0.14434154438345909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2.4084835398003346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>
        <f>DO192*VLOOKUP('Données projet'!$B$14,Paramètres!$A$1:$I$89,3,0)*VLOOKUP('Données projet'!$B$14,Paramètres!$A$1:$I$89,5,0)</f>
        <v>0</v>
      </c>
      <c r="DQ192" s="14" t="e">
        <f t="shared" si="176"/>
        <v>#NUM!</v>
      </c>
      <c r="DR192" s="22" t="e">
        <f t="shared" si="177"/>
        <v>#NUM!</v>
      </c>
      <c r="DS192" s="62" t="e">
        <f t="shared" si="125"/>
        <v>#NUM!</v>
      </c>
      <c r="DT192" s="62">
        <f ca="1">AVERAGE(OFFSET($DS$3,0,0,'Données projet'!$E$14+1,1))-AVERAGE(OFFSET($H$3,0,0,'Données projet'!$E$14+1,1))</f>
        <v>75.244137291704476</v>
      </c>
      <c r="DU192" s="62">
        <f t="shared" si="152"/>
        <v>366.065475656937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2.6511802115882444</v>
      </c>
      <c r="EB192" s="23">
        <f>EXP(-LN(2)/25)*EB191+(1-EXP(-LN(2)/25))/(LN(2)/25)*Calculateur!DW192*Calculateur!DY192*VLOOKUP('Données projet'!$B$14,Paramètres!$A$1:$I$89,3,0)*0.475*44/12</f>
        <v>0.16901565668325302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2.8201958682714974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1.1368683772161603E-13</v>
      </c>
      <c r="EK192" s="18">
        <f>EJ192*VLOOKUP('Données projet'!$B$15,Paramètres!$A$1:$I$89,3,0)*VLOOKUP('Données projet'!$B$15,Paramètres!$A$1:$I$89,5,0)</f>
        <v>1.0995790944434703E-13</v>
      </c>
      <c r="EL192" s="14">
        <f t="shared" si="179"/>
        <v>1.6337280948049956E-12</v>
      </c>
      <c r="EM192" s="22">
        <f t="shared" si="180"/>
        <v>3.036919790734272E-12</v>
      </c>
      <c r="EN192" s="62">
        <f t="shared" si="128"/>
        <v>288.52932082038706</v>
      </c>
      <c r="EO192" s="62">
        <f ca="1">AVERAGE(OFFSET($EN$3,0,0,'Données projet'!$E$15+1,1))-AVERAGE(OFFSET($H$3,0,0,'Données projet'!$E$15+1,1))</f>
        <v>452.74627739105745</v>
      </c>
      <c r="EP192" s="62">
        <f t="shared" si="154"/>
        <v>281.80695725575106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1.1368683772161603E-13</v>
      </c>
      <c r="FF192" s="18">
        <f>FE192*VLOOKUP('Données projet'!$B$16,Paramètres!$A$1:$I$89,3,0)*VLOOKUP('Données projet'!$B$16,Paramètres!$A$1:$I$89,5,0)</f>
        <v>1.223725121235475E-13</v>
      </c>
      <c r="FG192" s="14">
        <f t="shared" si="182"/>
        <v>1.7956824466038182E-12</v>
      </c>
      <c r="FH192" s="22">
        <f t="shared" si="183"/>
        <v>3.3406123864501612E-12</v>
      </c>
      <c r="FI192" s="62">
        <f t="shared" si="131"/>
        <v>288.5293208203874</v>
      </c>
      <c r="FJ192" s="62">
        <f ca="1">AVERAGE(OFFSET($FI$3,0,0,'Données projet'!$E$16+1,1))-AVERAGE(OFFSET($H$3,0,0,'Données projet'!$E$16+1,1))</f>
        <v>492.72391755143508</v>
      </c>
      <c r="FK192" s="62">
        <f t="shared" si="156"/>
        <v>304.88554179994355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68.68981476919565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143.77000000000001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-5.6843418860808015E-14</v>
      </c>
      <c r="O193" s="14">
        <f>N193*VLOOKUP('Données projet'!$B$9,Paramètres!$A$1:$I$89,3,0)*VLOOKUP('Données projet'!$B$9,Paramètres!$A$1:$I$89,5,0)</f>
        <v>-5.1431925385259088E-14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388.8309693898596</v>
      </c>
      <c r="T193" s="62">
        <f t="shared" si="142"/>
        <v>549.06702041234382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0.44519207203606892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0.44519207203606892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6.7984728957526396E-14</v>
      </c>
      <c r="AK193" s="14">
        <f t="shared" si="164"/>
        <v>1.0682447123141398E-12</v>
      </c>
      <c r="AL193" s="22">
        <f t="shared" si="165"/>
        <v>1.978932943548152E-12</v>
      </c>
      <c r="AM193" s="62">
        <f t="shared" si="113"/>
        <v>288.61265969732278</v>
      </c>
      <c r="AN193" s="62">
        <f ca="1">AVERAGE(OFFSET($AM$3,0,0,'Données projet'!$E$10+1,1))-AVERAGE(OFFSET($H$3,0,0,'Données projet'!$E$10+1,1))</f>
        <v>197.85998851681552</v>
      </c>
      <c r="AO193" s="62">
        <f t="shared" si="144"/>
        <v>474.54844785896239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2.2426234110318011</v>
      </c>
      <c r="AV193" s="23">
        <f>EXP(-LN(2)/25)*AV192+(1-EXP(-LN(2)/25))/(LN(2)/25)*Calculateur!AQ193*Calculateur!AS193*VLOOKUP('Données projet'!$B$10,Paramètres!$A$1:$I$89,3,0)*0.475*44/12</f>
        <v>0.52042145738483292</v>
      </c>
      <c r="AW193" s="23">
        <f>EXP(-LN(2)/2)*AW192+(1-EXP(-LN(2)/2))/(LN(2)/2)*AQ193*AT193*VLOOKUP('Données projet'!$B$10,Paramètres!$A$1:$I$89,3,0)*0.475*44/12</f>
        <v>3.6038096043640396E-23</v>
      </c>
      <c r="AX193" s="23">
        <f t="shared" si="166"/>
        <v>2.763044868416634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1.1368683772161603E-13</v>
      </c>
      <c r="BE193" s="14">
        <f>BD193*VLOOKUP('Données projet'!$B$11,Paramètres!$A$1:$I$89,3,0)*VLOOKUP('Données projet'!$B$11,Paramètres!$A$1:$I$89,5,0)</f>
        <v>6.7984728957526396E-14</v>
      </c>
      <c r="BF193" s="14">
        <f t="shared" si="167"/>
        <v>1.0682447123141398E-12</v>
      </c>
      <c r="BG193" s="22">
        <f t="shared" si="168"/>
        <v>1.978932943548152E-12</v>
      </c>
      <c r="BH193" s="62">
        <f t="shared" si="116"/>
        <v>288.61265969732278</v>
      </c>
      <c r="BI193" s="62">
        <f ca="1">AVERAGE(OFFSET($BH$3,0,0,'Données projet'!$E$11+1,1))-AVERAGE(OFFSET($H$3,0,0,'Données projet'!$E$11+1,1))</f>
        <v>197.85998851681552</v>
      </c>
      <c r="BJ193" s="62">
        <f t="shared" si="146"/>
        <v>474.54844785896239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2.2426234110318011</v>
      </c>
      <c r="BQ193" s="23">
        <f>EXP(-LN(2)/25)*BQ192+(1-EXP(-LN(2)/25))/(LN(2)/25)*Calculateur!BL193*Calculateur!BN193*VLOOKUP('Données projet'!$B$11,Paramètres!$A$1:$I$89,3,0)*0.475*44/12</f>
        <v>0.52042145738483292</v>
      </c>
      <c r="BR193" s="23">
        <f>EXP(-LN(2)/2)*BR192+(1-EXP(-LN(2)/2))/(LN(2)/2)*BL193*BO193*VLOOKUP('Données projet'!$B$11,Paramètres!$A$1:$I$89,3,0)*0.475*44/12</f>
        <v>3.6038096043640396E-23</v>
      </c>
      <c r="BS193" s="24">
        <f t="shared" si="169"/>
        <v>2.763044868416634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>
        <f>BY193*VLOOKUP('Données projet'!$B$12,Paramètres!$A$1:$I$89,3,0)*VLOOKUP('Données projet'!$B$12,Paramètres!$A$1:$I$89,5,0)</f>
        <v>0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72.97248599808384</v>
      </c>
      <c r="CE193" s="62">
        <f t="shared" si="148"/>
        <v>346.88163654003574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2.4444415187847985</v>
      </c>
      <c r="CL193" s="23">
        <f>EXP(-LN(2)/25)*CL192+(1-EXP(-LN(2)/25))/(LN(2)/25)*Calculateur!CG193*Calculateur!CI193*VLOOKUP('Données projet'!$B$12,Paramètres!$A$1:$I$89,3,0)*0.475*44/12</f>
        <v>0.15460623219923608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2.5990477509840346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>
        <f>CT193*VLOOKUP('Données projet'!$B$13,Paramètres!$A$1:$I$89,3,0)*VLOOKUP('Données projet'!$B$13,Paramètres!$A$1:$I$89,5,0)</f>
        <v>0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67.303283896086128</v>
      </c>
      <c r="CZ193" s="62">
        <f t="shared" si="150"/>
        <v>318.97925671653547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2.2197435518770066</v>
      </c>
      <c r="DG193" s="23">
        <f>EXP(-LN(2)/25)*DG192+(1-EXP(-LN(2)/25))/(LN(2)/25)*Calculateur!DB193*Calculateur!DD193*VLOOKUP('Données projet'!$B$13,Paramètres!$A$1:$I$89,3,0)*0.475*44/12</f>
        <v>0.14039451726170146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2.3601380691387082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>
        <f>DO193*VLOOKUP('Données projet'!$B$14,Paramètres!$A$1:$I$89,3,0)*VLOOKUP('Données projet'!$B$14,Paramètres!$A$1:$I$89,5,0)</f>
        <v>0</v>
      </c>
      <c r="DQ193" s="14" t="e">
        <f t="shared" si="176"/>
        <v>#NUM!</v>
      </c>
      <c r="DR193" s="22" t="e">
        <f t="shared" si="177"/>
        <v>#NUM!</v>
      </c>
      <c r="DS193" s="62" t="e">
        <f t="shared" si="125"/>
        <v>#NUM!</v>
      </c>
      <c r="DT193" s="62">
        <f ca="1">AVERAGE(OFFSET($DS$3,0,0,'Données projet'!$E$14+1,1))-AVERAGE(OFFSET($H$3,0,0,'Données projet'!$E$14+1,1))</f>
        <v>75.244137291704476</v>
      </c>
      <c r="DU193" s="62">
        <f t="shared" si="152"/>
        <v>366.065475656937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2.5991921846992567</v>
      </c>
      <c r="EB193" s="23">
        <f>EXP(-LN(2)/25)*EB192+(1-EXP(-LN(2)/25))/(LN(2)/25)*Calculateur!DW193*Calculateur!DY193*VLOOKUP('Données projet'!$B$14,Paramètres!$A$1:$I$89,3,0)*0.475*44/12</f>
        <v>0.16439391466310238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2.7635860993623593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1.1368683772161603E-13</v>
      </c>
      <c r="EK193" s="18">
        <f>EJ193*VLOOKUP('Données projet'!$B$15,Paramètres!$A$1:$I$89,3,0)*VLOOKUP('Données projet'!$B$15,Paramètres!$A$1:$I$89,5,0)</f>
        <v>1.0995790944434703E-13</v>
      </c>
      <c r="EL193" s="14">
        <f t="shared" si="179"/>
        <v>1.6337280948049956E-12</v>
      </c>
      <c r="EM193" s="22">
        <f t="shared" si="180"/>
        <v>3.036919790734272E-12</v>
      </c>
      <c r="EN193" s="62">
        <f t="shared" si="128"/>
        <v>288.61265969732381</v>
      </c>
      <c r="EO193" s="62">
        <f ca="1">AVERAGE(OFFSET($EN$3,0,0,'Données projet'!$E$15+1,1))-AVERAGE(OFFSET($H$3,0,0,'Données projet'!$E$15+1,1))</f>
        <v>452.74627739105745</v>
      </c>
      <c r="EP193" s="62">
        <f t="shared" si="154"/>
        <v>281.80695725575106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1.1368683772161603E-13</v>
      </c>
      <c r="FF193" s="18">
        <f>FE193*VLOOKUP('Données projet'!$B$16,Paramètres!$A$1:$I$89,3,0)*VLOOKUP('Données projet'!$B$16,Paramètres!$A$1:$I$89,5,0)</f>
        <v>1.223725121235475E-13</v>
      </c>
      <c r="FG193" s="14">
        <f t="shared" si="182"/>
        <v>1.7956824466038182E-12</v>
      </c>
      <c r="FH193" s="22">
        <f t="shared" si="183"/>
        <v>3.3406123864501612E-12</v>
      </c>
      <c r="FI193" s="62">
        <f t="shared" si="131"/>
        <v>288.61265969732415</v>
      </c>
      <c r="FJ193" s="62">
        <f ca="1">AVERAGE(OFFSET($FI$3,0,0,'Données projet'!$E$16+1,1))-AVERAGE(OFFSET($H$3,0,0,'Données projet'!$E$16+1,1))</f>
        <v>492.72391755143508</v>
      </c>
      <c r="FK193" s="62">
        <f t="shared" si="156"/>
        <v>304.88554179994355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68.712543553814754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143.77000000000001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-5.6843418860808015E-14</v>
      </c>
      <c r="O194" s="14">
        <f>N194*VLOOKUP('Données projet'!$B$9,Paramètres!$A$1:$I$89,3,0)*VLOOKUP('Données projet'!$B$9,Paramètres!$A$1:$I$89,5,0)</f>
        <v>-5.1431925385259088E-14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388.8309693898596</v>
      </c>
      <c r="T194" s="62">
        <f t="shared" si="142"/>
        <v>549.06702041234382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0.43646212704379317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0.43646212704379317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6.7984728957526396E-14</v>
      </c>
      <c r="AK194" s="14">
        <f t="shared" si="164"/>
        <v>1.0682447123141398E-12</v>
      </c>
      <c r="AL194" s="22">
        <f t="shared" si="165"/>
        <v>1.978932943548152E-12</v>
      </c>
      <c r="AM194" s="62">
        <f t="shared" si="113"/>
        <v>288.69455283106242</v>
      </c>
      <c r="AN194" s="62">
        <f ca="1">AVERAGE(OFFSET($AM$3,0,0,'Données projet'!$E$10+1,1))-AVERAGE(OFFSET($H$3,0,0,'Données projet'!$E$10+1,1))</f>
        <v>197.85998851681552</v>
      </c>
      <c r="AO194" s="62">
        <f t="shared" si="144"/>
        <v>474.54844785896239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2.1986469338066827</v>
      </c>
      <c r="AV194" s="23">
        <f>EXP(-LN(2)/25)*AV193+(1-EXP(-LN(2)/25))/(LN(2)/25)*Calculateur!AQ194*Calculateur!AS194*VLOOKUP('Données projet'!$B$10,Paramètres!$A$1:$I$89,3,0)*0.475*44/12</f>
        <v>0.50619050526486964</v>
      </c>
      <c r="AW194" s="23">
        <f>EXP(-LN(2)/2)*AW193+(1-EXP(-LN(2)/2))/(LN(2)/2)*AQ194*AT194*VLOOKUP('Données projet'!$B$10,Paramètres!$A$1:$I$89,3,0)*0.475*44/12</f>
        <v>2.5482782093510214E-23</v>
      </c>
      <c r="AX194" s="23">
        <f t="shared" si="166"/>
        <v>2.7048374390715524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1.1368683772161603E-13</v>
      </c>
      <c r="BE194" s="14">
        <f>BD194*VLOOKUP('Données projet'!$B$11,Paramètres!$A$1:$I$89,3,0)*VLOOKUP('Données projet'!$B$11,Paramètres!$A$1:$I$89,5,0)</f>
        <v>6.7984728957526396E-14</v>
      </c>
      <c r="BF194" s="14">
        <f t="shared" si="167"/>
        <v>1.0682447123141398E-12</v>
      </c>
      <c r="BG194" s="22">
        <f t="shared" si="168"/>
        <v>1.978932943548152E-12</v>
      </c>
      <c r="BH194" s="62">
        <f t="shared" si="116"/>
        <v>288.69455283106242</v>
      </c>
      <c r="BI194" s="62">
        <f ca="1">AVERAGE(OFFSET($BH$3,0,0,'Données projet'!$E$11+1,1))-AVERAGE(OFFSET($H$3,0,0,'Données projet'!$E$11+1,1))</f>
        <v>197.85998851681552</v>
      </c>
      <c r="BJ194" s="62">
        <f t="shared" si="146"/>
        <v>474.54844785896239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2.1986469338066827</v>
      </c>
      <c r="BQ194" s="23">
        <f>EXP(-LN(2)/25)*BQ193+(1-EXP(-LN(2)/25))/(LN(2)/25)*Calculateur!BL194*Calculateur!BN194*VLOOKUP('Données projet'!$B$11,Paramètres!$A$1:$I$89,3,0)*0.475*44/12</f>
        <v>0.50619050526486964</v>
      </c>
      <c r="BR194" s="23">
        <f>EXP(-LN(2)/2)*BR193+(1-EXP(-LN(2)/2))/(LN(2)/2)*BL194*BO194*VLOOKUP('Données projet'!$B$11,Paramètres!$A$1:$I$89,3,0)*0.475*44/12</f>
        <v>2.5482782093510214E-23</v>
      </c>
      <c r="BS194" s="24">
        <f t="shared" si="169"/>
        <v>2.7048374390715524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>
        <f>BY194*VLOOKUP('Données projet'!$B$12,Paramètres!$A$1:$I$89,3,0)*VLOOKUP('Données projet'!$B$12,Paramètres!$A$1:$I$89,5,0)</f>
        <v>0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72.97248599808384</v>
      </c>
      <c r="CE194" s="62">
        <f t="shared" si="148"/>
        <v>346.88163654003574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2.3965075115635348</v>
      </c>
      <c r="CL194" s="23">
        <f>EXP(-LN(2)/25)*CL193+(1-EXP(-LN(2)/25))/(LN(2)/25)*Calculateur!CG194*Calculateur!CI194*VLOOKUP('Données projet'!$B$12,Paramètres!$A$1:$I$89,3,0)*0.475*44/12</f>
        <v>0.15037851664935958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2.5468860282128944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>
        <f>CT194*VLOOKUP('Données projet'!$B$13,Paramètres!$A$1:$I$89,3,0)*VLOOKUP('Données projet'!$B$13,Paramètres!$A$1:$I$89,5,0)</f>
        <v>0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67.303283896086128</v>
      </c>
      <c r="CZ194" s="62">
        <f t="shared" si="150"/>
        <v>318.97925671653547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2.1762157347345776</v>
      </c>
      <c r="DG194" s="23">
        <f>EXP(-LN(2)/25)*DG193+(1-EXP(-LN(2)/25))/(LN(2)/25)*Calculateur!DB194*Calculateur!DD194*VLOOKUP('Données projet'!$B$13,Paramètres!$A$1:$I$89,3,0)*0.475*44/12</f>
        <v>0.13655542180415345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2.312771156538731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>
        <f>DO194*VLOOKUP('Données projet'!$B$14,Paramètres!$A$1:$I$89,3,0)*VLOOKUP('Données projet'!$B$14,Paramètres!$A$1:$I$89,5,0)</f>
        <v>0</v>
      </c>
      <c r="DQ194" s="14" t="e">
        <f t="shared" si="176"/>
        <v>#NUM!</v>
      </c>
      <c r="DR194" s="22" t="e">
        <f t="shared" si="177"/>
        <v>#NUM!</v>
      </c>
      <c r="DS194" s="62" t="e">
        <f t="shared" si="125"/>
        <v>#NUM!</v>
      </c>
      <c r="DT194" s="62">
        <f ca="1">AVERAGE(OFFSET($DS$3,0,0,'Données projet'!$E$14+1,1))-AVERAGE(OFFSET($H$3,0,0,'Données projet'!$E$14+1,1))</f>
        <v>75.244137291704476</v>
      </c>
      <c r="DU194" s="62">
        <f t="shared" si="152"/>
        <v>366.065475656937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2.5482236113079968</v>
      </c>
      <c r="EB194" s="23">
        <f>EXP(-LN(2)/25)*EB193+(1-EXP(-LN(2)/25))/(LN(2)/25)*Calculateur!DW194*Calculateur!DY194*VLOOKUP('Données projet'!$B$14,Paramètres!$A$1:$I$89,3,0)*0.475*44/12</f>
        <v>0.15989855442153961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2.7081221657295362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1.1368683772161603E-13</v>
      </c>
      <c r="EK194" s="18">
        <f>EJ194*VLOOKUP('Données projet'!$B$15,Paramètres!$A$1:$I$89,3,0)*VLOOKUP('Données projet'!$B$15,Paramètres!$A$1:$I$89,5,0)</f>
        <v>1.0995790944434703E-13</v>
      </c>
      <c r="EL194" s="14">
        <f t="shared" si="179"/>
        <v>1.6337280948049956E-12</v>
      </c>
      <c r="EM194" s="22">
        <f t="shared" si="180"/>
        <v>3.036919790734272E-12</v>
      </c>
      <c r="EN194" s="62">
        <f t="shared" si="128"/>
        <v>288.69455283106345</v>
      </c>
      <c r="EO194" s="62">
        <f ca="1">AVERAGE(OFFSET($EN$3,0,0,'Données projet'!$E$15+1,1))-AVERAGE(OFFSET($H$3,0,0,'Données projet'!$E$15+1,1))</f>
        <v>452.74627739105745</v>
      </c>
      <c r="EP194" s="62">
        <f t="shared" si="154"/>
        <v>281.80695725575106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1.1368683772161603E-13</v>
      </c>
      <c r="FF194" s="18">
        <f>FE194*VLOOKUP('Données projet'!$B$16,Paramètres!$A$1:$I$89,3,0)*VLOOKUP('Données projet'!$B$16,Paramètres!$A$1:$I$89,5,0)</f>
        <v>1.223725121235475E-13</v>
      </c>
      <c r="FG194" s="14">
        <f t="shared" si="182"/>
        <v>1.7956824466038182E-12</v>
      </c>
      <c r="FH194" s="22">
        <f t="shared" si="183"/>
        <v>3.3406123864501612E-12</v>
      </c>
      <c r="FI194" s="62">
        <f t="shared" si="131"/>
        <v>288.69455283106379</v>
      </c>
      <c r="FJ194" s="62">
        <f ca="1">AVERAGE(OFFSET($FI$3,0,0,'Données projet'!$E$16+1,1))-AVERAGE(OFFSET($H$3,0,0,'Données projet'!$E$16+1,1))</f>
        <v>492.72391755143508</v>
      </c>
      <c r="FK194" s="62">
        <f t="shared" si="156"/>
        <v>304.88554179994355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68.734878044834659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143.77000000000001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-5.6843418860808015E-14</v>
      </c>
      <c r="O195" s="14">
        <f>N195*VLOOKUP('Données projet'!$B$9,Paramètres!$A$1:$I$89,3,0)*VLOOKUP('Données projet'!$B$9,Paramètres!$A$1:$I$89,5,0)</f>
        <v>-5.1431925385259088E-14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388.8309693898596</v>
      </c>
      <c r="T195" s="62">
        <f t="shared" si="142"/>
        <v>549.06702041234382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0.42790337094807529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0.42790337094807529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6.7984728957526396E-14</v>
      </c>
      <c r="AK195" s="14">
        <f t="shared" si="164"/>
        <v>1.0682447123141398E-12</v>
      </c>
      <c r="AL195" s="22">
        <f t="shared" si="165"/>
        <v>1.978932943548152E-12</v>
      </c>
      <c r="AM195" s="62">
        <f t="shared" si="113"/>
        <v>288.7750253020173</v>
      </c>
      <c r="AN195" s="62">
        <f ca="1">AVERAGE(OFFSET($AM$3,0,0,'Données projet'!$E$10+1,1))-AVERAGE(OFFSET($H$3,0,0,'Données projet'!$E$10+1,1))</f>
        <v>197.85998851681552</v>
      </c>
      <c r="AO195" s="62">
        <f t="shared" si="144"/>
        <v>474.54844785896239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2.1555328084769463</v>
      </c>
      <c r="AV195" s="23">
        <f>EXP(-LN(2)/25)*AV194+(1-EXP(-LN(2)/25))/(LN(2)/25)*Calculateur!AQ195*Calculateur!AS195*VLOOKUP('Données projet'!$B$10,Paramètres!$A$1:$I$89,3,0)*0.475*44/12</f>
        <v>0.49234869927900005</v>
      </c>
      <c r="AW195" s="23">
        <f>EXP(-LN(2)/2)*AW194+(1-EXP(-LN(2)/2))/(LN(2)/2)*AQ195*AT195*VLOOKUP('Données projet'!$B$10,Paramètres!$A$1:$I$89,3,0)*0.475*44/12</f>
        <v>1.8019048021820198E-23</v>
      </c>
      <c r="AX195" s="23">
        <f t="shared" si="166"/>
        <v>2.6478815077559466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1.1368683772161603E-13</v>
      </c>
      <c r="BE195" s="14">
        <f>BD195*VLOOKUP('Données projet'!$B$11,Paramètres!$A$1:$I$89,3,0)*VLOOKUP('Données projet'!$B$11,Paramètres!$A$1:$I$89,5,0)</f>
        <v>6.7984728957526396E-14</v>
      </c>
      <c r="BF195" s="14">
        <f t="shared" si="167"/>
        <v>1.0682447123141398E-12</v>
      </c>
      <c r="BG195" s="22">
        <f t="shared" si="168"/>
        <v>1.978932943548152E-12</v>
      </c>
      <c r="BH195" s="62">
        <f t="shared" si="116"/>
        <v>288.7750253020173</v>
      </c>
      <c r="BI195" s="62">
        <f ca="1">AVERAGE(OFFSET($BH$3,0,0,'Données projet'!$E$11+1,1))-AVERAGE(OFFSET($H$3,0,0,'Données projet'!$E$11+1,1))</f>
        <v>197.85998851681552</v>
      </c>
      <c r="BJ195" s="62">
        <f t="shared" si="146"/>
        <v>474.54844785896239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2.1555328084769463</v>
      </c>
      <c r="BQ195" s="23">
        <f>EXP(-LN(2)/25)*BQ194+(1-EXP(-LN(2)/25))/(LN(2)/25)*Calculateur!BL195*Calculateur!BN195*VLOOKUP('Données projet'!$B$11,Paramètres!$A$1:$I$89,3,0)*0.475*44/12</f>
        <v>0.49234869927900005</v>
      </c>
      <c r="BR195" s="23">
        <f>EXP(-LN(2)/2)*BR194+(1-EXP(-LN(2)/2))/(LN(2)/2)*BL195*BO195*VLOOKUP('Données projet'!$B$11,Paramètres!$A$1:$I$89,3,0)*0.475*44/12</f>
        <v>1.8019048021820198E-23</v>
      </c>
      <c r="BS195" s="24">
        <f t="shared" si="169"/>
        <v>2.6478815077559466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>
        <f>BY195*VLOOKUP('Données projet'!$B$12,Paramètres!$A$1:$I$89,3,0)*VLOOKUP('Données projet'!$B$12,Paramètres!$A$1:$I$89,5,0)</f>
        <v>0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72.97248599808384</v>
      </c>
      <c r="CE195" s="62">
        <f t="shared" si="148"/>
        <v>346.88163654003574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2.3495134609870227</v>
      </c>
      <c r="CL195" s="23">
        <f>EXP(-LN(2)/25)*CL194+(1-EXP(-LN(2)/25))/(LN(2)/25)*Calculateur!CG195*Calculateur!CI195*VLOOKUP('Données projet'!$B$12,Paramètres!$A$1:$I$89,3,0)*0.475*44/12</f>
        <v>0.14626640820352035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2.4957798691905433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>
        <f>CT195*VLOOKUP('Données projet'!$B$13,Paramètres!$A$1:$I$89,3,0)*VLOOKUP('Données projet'!$B$13,Paramètres!$A$1:$I$89,5,0)</f>
        <v>0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67.303283896086128</v>
      </c>
      <c r="CZ195" s="62">
        <f t="shared" si="150"/>
        <v>318.97925671653547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2.1335414715369647</v>
      </c>
      <c r="DG195" s="23">
        <f>EXP(-LN(2)/25)*DG194+(1-EXP(-LN(2)/25))/(LN(2)/25)*Calculateur!DB195*Calculateur!DD195*VLOOKUP('Données projet'!$B$13,Paramètres!$A$1:$I$89,3,0)*0.475*44/12</f>
        <v>0.13282130661378133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2.266362778150746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>
        <f>DO195*VLOOKUP('Données projet'!$B$14,Paramètres!$A$1:$I$89,3,0)*VLOOKUP('Données projet'!$B$14,Paramètres!$A$1:$I$89,5,0)</f>
        <v>0</v>
      </c>
      <c r="DQ195" s="14" t="e">
        <f t="shared" si="176"/>
        <v>#NUM!</v>
      </c>
      <c r="DR195" s="22" t="e">
        <f t="shared" si="177"/>
        <v>#NUM!</v>
      </c>
      <c r="DS195" s="62" t="e">
        <f t="shared" si="125"/>
        <v>#NUM!</v>
      </c>
      <c r="DT195" s="62">
        <f ca="1">AVERAGE(OFFSET($DS$3,0,0,'Données projet'!$E$14+1,1))-AVERAGE(OFFSET($H$3,0,0,'Données projet'!$E$14+1,1))</f>
        <v>75.244137291704476</v>
      </c>
      <c r="DU195" s="62">
        <f t="shared" si="152"/>
        <v>366.065475656937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2.4982545005531791</v>
      </c>
      <c r="EB195" s="23">
        <f>EXP(-LN(2)/25)*EB194+(1-EXP(-LN(2)/25))/(LN(2)/25)*Calculateur!DW195*Calculateur!DY195*VLOOKUP('Données projet'!$B$14,Paramètres!$A$1:$I$89,3,0)*0.475*44/12</f>
        <v>0.15552612004218308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2.653780620595362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1.1368683772161603E-13</v>
      </c>
      <c r="EK195" s="18">
        <f>EJ195*VLOOKUP('Données projet'!$B$15,Paramètres!$A$1:$I$89,3,0)*VLOOKUP('Données projet'!$B$15,Paramètres!$A$1:$I$89,5,0)</f>
        <v>1.0995790944434703E-13</v>
      </c>
      <c r="EL195" s="14">
        <f t="shared" si="179"/>
        <v>1.6337280948049956E-12</v>
      </c>
      <c r="EM195" s="22">
        <f t="shared" si="180"/>
        <v>3.036919790734272E-12</v>
      </c>
      <c r="EN195" s="62">
        <f t="shared" si="128"/>
        <v>288.77502530201832</v>
      </c>
      <c r="EO195" s="62">
        <f ca="1">AVERAGE(OFFSET($EN$3,0,0,'Données projet'!$E$15+1,1))-AVERAGE(OFFSET($H$3,0,0,'Données projet'!$E$15+1,1))</f>
        <v>452.74627739105745</v>
      </c>
      <c r="EP195" s="62">
        <f t="shared" si="154"/>
        <v>281.80695725575106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1.1368683772161603E-13</v>
      </c>
      <c r="FF195" s="18">
        <f>FE195*VLOOKUP('Données projet'!$B$16,Paramètres!$A$1:$I$89,3,0)*VLOOKUP('Données projet'!$B$16,Paramètres!$A$1:$I$89,5,0)</f>
        <v>1.223725121235475E-13</v>
      </c>
      <c r="FG195" s="14">
        <f t="shared" si="182"/>
        <v>1.7956824466038182E-12</v>
      </c>
      <c r="FH195" s="22">
        <f t="shared" si="183"/>
        <v>3.3406123864501612E-12</v>
      </c>
      <c r="FI195" s="62">
        <f t="shared" si="131"/>
        <v>288.77502530201866</v>
      </c>
      <c r="FJ195" s="62">
        <f ca="1">AVERAGE(OFFSET($FI$3,0,0,'Données projet'!$E$16+1,1))-AVERAGE(OFFSET($H$3,0,0,'Données projet'!$E$16+1,1))</f>
        <v>492.72391755143508</v>
      </c>
      <c r="FK195" s="62">
        <f t="shared" si="156"/>
        <v>304.88554179994355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68.756825082367811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143.77000000000001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-5.6843418860808015E-14</v>
      </c>
      <c r="O196" s="14">
        <f>N196*VLOOKUP('Données projet'!$B$9,Paramètres!$A$1:$I$89,3,0)*VLOOKUP('Données projet'!$B$9,Paramètres!$A$1:$I$89,5,0)</f>
        <v>-5.1431925385259088E-14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388.8309693898596</v>
      </c>
      <c r="T196" s="62">
        <f t="shared" si="142"/>
        <v>549.06702041234382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0.41951244683906869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0.41951244683906869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6.7984728957526396E-14</v>
      </c>
      <c r="AK196" s="14">
        <f t="shared" si="164"/>
        <v>1.0682447123141398E-12</v>
      </c>
      <c r="AL196" s="22">
        <f t="shared" si="165"/>
        <v>1.978932943548152E-12</v>
      </c>
      <c r="AM196" s="62">
        <f t="shared" ref="AM196:AM203" si="193">AL196+(AD196+AE196)*44/12</f>
        <v>288.85410175551056</v>
      </c>
      <c r="AN196" s="62">
        <f ca="1">AVERAGE(OFFSET($AM$3,0,0,'Données projet'!$E$10+1,1))-AVERAGE(OFFSET($H$3,0,0,'Données projet'!$E$10+1,1))</f>
        <v>197.85998851681552</v>
      </c>
      <c r="AO196" s="62">
        <f t="shared" si="144"/>
        <v>474.54844785896239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2.1132641248479063</v>
      </c>
      <c r="AV196" s="23">
        <f>EXP(-LN(2)/25)*AV195+(1-EXP(-LN(2)/25))/(LN(2)/25)*Calculateur!AQ196*Calculateur!AS196*VLOOKUP('Données projet'!$B$10,Paramètres!$A$1:$I$89,3,0)*0.475*44/12</f>
        <v>0.47888539820572296</v>
      </c>
      <c r="AW196" s="23">
        <f>EXP(-LN(2)/2)*AW195+(1-EXP(-LN(2)/2))/(LN(2)/2)*AQ196*AT196*VLOOKUP('Données projet'!$B$10,Paramètres!$A$1:$I$89,3,0)*0.475*44/12</f>
        <v>1.2741391046755107E-23</v>
      </c>
      <c r="AX196" s="23">
        <f t="shared" si="166"/>
        <v>2.5921495230536293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1.1368683772161603E-13</v>
      </c>
      <c r="BE196" s="14">
        <f>BD196*VLOOKUP('Données projet'!$B$11,Paramètres!$A$1:$I$89,3,0)*VLOOKUP('Données projet'!$B$11,Paramètres!$A$1:$I$89,5,0)</f>
        <v>6.7984728957526396E-14</v>
      </c>
      <c r="BF196" s="14">
        <f t="shared" si="167"/>
        <v>1.0682447123141398E-12</v>
      </c>
      <c r="BG196" s="22">
        <f t="shared" si="168"/>
        <v>1.978932943548152E-12</v>
      </c>
      <c r="BH196" s="62">
        <f t="shared" ref="BH196:BH203" si="194">BG196+(AY196+AZ196)*44/12</f>
        <v>288.85410175551056</v>
      </c>
      <c r="BI196" s="62">
        <f ca="1">AVERAGE(OFFSET($BH$3,0,0,'Données projet'!$E$11+1,1))-AVERAGE(OFFSET($H$3,0,0,'Données projet'!$E$11+1,1))</f>
        <v>197.85998851681552</v>
      </c>
      <c r="BJ196" s="62">
        <f t="shared" si="146"/>
        <v>474.54844785896239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2.1132641248479063</v>
      </c>
      <c r="BQ196" s="23">
        <f>EXP(-LN(2)/25)*BQ195+(1-EXP(-LN(2)/25))/(LN(2)/25)*Calculateur!BL196*Calculateur!BN196*VLOOKUP('Données projet'!$B$11,Paramètres!$A$1:$I$89,3,0)*0.475*44/12</f>
        <v>0.47888539820572296</v>
      </c>
      <c r="BR196" s="23">
        <f>EXP(-LN(2)/2)*BR195+(1-EXP(-LN(2)/2))/(LN(2)/2)*BL196*BO196*VLOOKUP('Données projet'!$B$11,Paramètres!$A$1:$I$89,3,0)*0.475*44/12</f>
        <v>1.2741391046755107E-23</v>
      </c>
      <c r="BS196" s="24">
        <f t="shared" si="169"/>
        <v>2.5921495230536293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>
        <f>BY196*VLOOKUP('Données projet'!$B$12,Paramètres!$A$1:$I$89,3,0)*VLOOKUP('Données projet'!$B$12,Paramètres!$A$1:$I$89,5,0)</f>
        <v>0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72.97248599808384</v>
      </c>
      <c r="CE196" s="62">
        <f t="shared" si="148"/>
        <v>346.88163654003574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2.3034409350787755</v>
      </c>
      <c r="CL196" s="23">
        <f>EXP(-LN(2)/25)*CL195+(1-EXP(-LN(2)/25))/(LN(2)/25)*Calculateur!CG196*Calculateur!CI196*VLOOKUP('Données projet'!$B$12,Paramètres!$A$1:$I$89,3,0)*0.475*44/12</f>
        <v>0.14226674557937899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2.4457076806581544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>
        <f>CT196*VLOOKUP('Données projet'!$B$13,Paramètres!$A$1:$I$89,3,0)*VLOOKUP('Données projet'!$B$13,Paramètres!$A$1:$I$89,5,0)</f>
        <v>0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67.303283896086128</v>
      </c>
      <c r="CZ196" s="62">
        <f t="shared" si="150"/>
        <v>318.97925671653547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2.0917040246119267</v>
      </c>
      <c r="DG196" s="23">
        <f>EXP(-LN(2)/25)*DG195+(1-EXP(-LN(2)/25))/(LN(2)/25)*Calculateur!DB196*Calculateur!DD196*VLOOKUP('Données projet'!$B$13,Paramètres!$A$1:$I$89,3,0)*0.475*44/12</f>
        <v>0.12918930099965853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2.220893325611585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>
        <f>DO196*VLOOKUP('Données projet'!$B$14,Paramètres!$A$1:$I$89,3,0)*VLOOKUP('Données projet'!$B$14,Paramètres!$A$1:$I$89,5,0)</f>
        <v>0</v>
      </c>
      <c r="DQ196" s="14" t="e">
        <f t="shared" si="176"/>
        <v>#NUM!</v>
      </c>
      <c r="DR196" s="22" t="e">
        <f t="shared" si="177"/>
        <v>#NUM!</v>
      </c>
      <c r="DS196" s="62" t="e">
        <f t="shared" ref="DS196:DS203" si="197">DR196+(DJ196+DK196)*44/12</f>
        <v>#NUM!</v>
      </c>
      <c r="DT196" s="62">
        <f ca="1">AVERAGE(OFFSET($DS$3,0,0,'Données projet'!$E$14+1,1))-AVERAGE(OFFSET($H$3,0,0,'Données projet'!$E$14+1,1))</f>
        <v>75.244137291704476</v>
      </c>
      <c r="DU196" s="62">
        <f t="shared" si="152"/>
        <v>366.065475656937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2.4492652535821153</v>
      </c>
      <c r="EB196" s="23">
        <f>EXP(-LN(2)/25)*EB195+(1-EXP(-LN(2)/25))/(LN(2)/25)*Calculateur!DW196*Calculateur!DY196*VLOOKUP('Données projet'!$B$14,Paramètres!$A$1:$I$89,3,0)*0.475*44/12</f>
        <v>0.1512732501108664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2.6005385036929818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1.1368683772161603E-13</v>
      </c>
      <c r="EK196" s="18">
        <f>EJ196*VLOOKUP('Données projet'!$B$15,Paramètres!$A$1:$I$89,3,0)*VLOOKUP('Données projet'!$B$15,Paramètres!$A$1:$I$89,5,0)</f>
        <v>1.0995790944434703E-13</v>
      </c>
      <c r="EL196" s="14">
        <f t="shared" si="179"/>
        <v>1.6337280948049956E-12</v>
      </c>
      <c r="EM196" s="22">
        <f t="shared" si="180"/>
        <v>3.036919790734272E-12</v>
      </c>
      <c r="EN196" s="62">
        <f t="shared" ref="EN196:EN203" si="198">EM196+(EE196+EF196)*44/12</f>
        <v>288.85410175551158</v>
      </c>
      <c r="EO196" s="62">
        <f ca="1">AVERAGE(OFFSET($EN$3,0,0,'Données projet'!$E$15+1,1))-AVERAGE(OFFSET($H$3,0,0,'Données projet'!$E$15+1,1))</f>
        <v>452.74627739105745</v>
      </c>
      <c r="EP196" s="62">
        <f t="shared" si="154"/>
        <v>281.80695725575106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1.1368683772161603E-13</v>
      </c>
      <c r="FF196" s="18">
        <f>FE196*VLOOKUP('Données projet'!$B$16,Paramètres!$A$1:$I$89,3,0)*VLOOKUP('Données projet'!$B$16,Paramètres!$A$1:$I$89,5,0)</f>
        <v>1.223725121235475E-13</v>
      </c>
      <c r="FG196" s="14">
        <f t="shared" si="182"/>
        <v>1.7956824466038182E-12</v>
      </c>
      <c r="FH196" s="22">
        <f t="shared" si="183"/>
        <v>3.3406123864501612E-12</v>
      </c>
      <c r="FI196" s="62">
        <f t="shared" ref="FI196:FI203" si="199">FH196+(EZ196+FA196)*44/12</f>
        <v>288.85410175551192</v>
      </c>
      <c r="FJ196" s="62">
        <f ca="1">AVERAGE(OFFSET($FI$3,0,0,'Données projet'!$E$16+1,1))-AVERAGE(OFFSET($H$3,0,0,'Données projet'!$E$16+1,1))</f>
        <v>492.72391755143508</v>
      </c>
      <c r="FK196" s="62">
        <f t="shared" si="156"/>
        <v>304.88554179994355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68.77839138786598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143.77000000000001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-5.6843418860808015E-14</v>
      </c>
      <c r="O197" s="14">
        <f>N197*VLOOKUP('Données projet'!$B$9,Paramètres!$A$1:$I$89,3,0)*VLOOKUP('Données projet'!$B$9,Paramètres!$A$1:$I$89,5,0)</f>
        <v>-5.1431925385259088E-14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388.8309693898596</v>
      </c>
      <c r="T197" s="62">
        <f t="shared" ref="T197:T203" si="204">$T$3</f>
        <v>549.06702041234382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0.41128606363388132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0.41128606363388132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6.7984728957526396E-14</v>
      </c>
      <c r="AK197" s="14">
        <f t="shared" si="164"/>
        <v>1.0682447123141398E-12</v>
      </c>
      <c r="AL197" s="22">
        <f t="shared" si="165"/>
        <v>1.978932943548152E-12</v>
      </c>
      <c r="AM197" s="62">
        <f t="shared" si="193"/>
        <v>288.93180640932422</v>
      </c>
      <c r="AN197" s="62">
        <f ca="1">AVERAGE(OFFSET($AM$3,0,0,'Données projet'!$E$10+1,1))-AVERAGE(OFFSET($H$3,0,0,'Données projet'!$E$10+1,1))</f>
        <v>197.85998851681552</v>
      </c>
      <c r="AO197" s="62">
        <f t="shared" ref="AO197:AO203" si="205">$AO$3</f>
        <v>474.54844785896239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2.0718243043234805</v>
      </c>
      <c r="AV197" s="23">
        <f>EXP(-LN(2)/25)*AV196+(1-EXP(-LN(2)/25))/(LN(2)/25)*Calculateur!AQ197*Calculateur!AS197*VLOOKUP('Données projet'!$B$10,Paramètres!$A$1:$I$89,3,0)*0.475*44/12</f>
        <v>0.46579025180829886</v>
      </c>
      <c r="AW197" s="23">
        <f>EXP(-LN(2)/2)*AW196+(1-EXP(-LN(2)/2))/(LN(2)/2)*AQ197*AT197*VLOOKUP('Données projet'!$B$10,Paramètres!$A$1:$I$89,3,0)*0.475*44/12</f>
        <v>9.009524010910099E-24</v>
      </c>
      <c r="AX197" s="23">
        <f t="shared" si="166"/>
        <v>2.5376145561317793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1.1368683772161603E-13</v>
      </c>
      <c r="BE197" s="14">
        <f>BD197*VLOOKUP('Données projet'!$B$11,Paramètres!$A$1:$I$89,3,0)*VLOOKUP('Données projet'!$B$11,Paramètres!$A$1:$I$89,5,0)</f>
        <v>6.7984728957526396E-14</v>
      </c>
      <c r="BF197" s="14">
        <f t="shared" si="167"/>
        <v>1.0682447123141398E-12</v>
      </c>
      <c r="BG197" s="22">
        <f t="shared" si="168"/>
        <v>1.978932943548152E-12</v>
      </c>
      <c r="BH197" s="62">
        <f t="shared" si="194"/>
        <v>288.93180640932422</v>
      </c>
      <c r="BI197" s="62">
        <f ca="1">AVERAGE(OFFSET($BH$3,0,0,'Données projet'!$E$11+1,1))-AVERAGE(OFFSET($H$3,0,0,'Données projet'!$E$11+1,1))</f>
        <v>197.85998851681552</v>
      </c>
      <c r="BJ197" s="62">
        <f t="shared" ref="BJ197:BJ203" si="206">$BJ$3</f>
        <v>474.54844785896239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2.0718243043234805</v>
      </c>
      <c r="BQ197" s="23">
        <f>EXP(-LN(2)/25)*BQ196+(1-EXP(-LN(2)/25))/(LN(2)/25)*Calculateur!BL197*Calculateur!BN197*VLOOKUP('Données projet'!$B$11,Paramètres!$A$1:$I$89,3,0)*0.475*44/12</f>
        <v>0.46579025180829886</v>
      </c>
      <c r="BR197" s="23">
        <f>EXP(-LN(2)/2)*BR196+(1-EXP(-LN(2)/2))/(LN(2)/2)*BL197*BO197*VLOOKUP('Données projet'!$B$11,Paramètres!$A$1:$I$89,3,0)*0.475*44/12</f>
        <v>9.009524010910099E-24</v>
      </c>
      <c r="BS197" s="24">
        <f t="shared" si="169"/>
        <v>2.5376145561317793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>
        <f>BY197*VLOOKUP('Données projet'!$B$12,Paramètres!$A$1:$I$89,3,0)*VLOOKUP('Données projet'!$B$12,Paramètres!$A$1:$I$89,5,0)</f>
        <v>0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72.97248599808384</v>
      </c>
      <c r="CE197" s="62">
        <f t="shared" ref="CE197:CE203" si="207">$CE$3</f>
        <v>346.88163654003574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2.2582718633021228</v>
      </c>
      <c r="CL197" s="23">
        <f>EXP(-LN(2)/25)*CL196+(1-EXP(-LN(2)/25))/(LN(2)/25)*Calculateur!CG197*Calculateur!CI197*VLOOKUP('Données projet'!$B$12,Paramètres!$A$1:$I$89,3,0)*0.475*44/12</f>
        <v>0.13837645394002787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2.3966483172421507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>
        <f>CT197*VLOOKUP('Données projet'!$B$13,Paramètres!$A$1:$I$89,3,0)*VLOOKUP('Données projet'!$B$13,Paramètres!$A$1:$I$89,5,0)</f>
        <v>0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67.303283896086128</v>
      </c>
      <c r="CZ197" s="62">
        <f t="shared" ref="CZ197:CZ203" si="208">$CZ$3</f>
        <v>318.97925671653547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2.0506869845027658</v>
      </c>
      <c r="DG197" s="23">
        <f>EXP(-LN(2)/25)*DG196+(1-EXP(-LN(2)/25))/(LN(2)/25)*Calculateur!DB197*Calculateur!DD197*VLOOKUP('Données projet'!$B$13,Paramètres!$A$1:$I$89,3,0)*0.475*44/12</f>
        <v>0.1256566127700528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2.1763435972728185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>
        <f>DO197*VLOOKUP('Données projet'!$B$14,Paramètres!$A$1:$I$89,3,0)*VLOOKUP('Données projet'!$B$14,Paramètres!$A$1:$I$89,5,0)</f>
        <v>0</v>
      </c>
      <c r="DQ197" s="14" t="e">
        <f t="shared" si="176"/>
        <v>#NUM!</v>
      </c>
      <c r="DR197" s="22" t="e">
        <f t="shared" si="177"/>
        <v>#NUM!</v>
      </c>
      <c r="DS197" s="62" t="e">
        <f t="shared" si="197"/>
        <v>#NUM!</v>
      </c>
      <c r="DT197" s="62">
        <f ca="1">AVERAGE(OFFSET($DS$3,0,0,'Données projet'!$E$14+1,1))-AVERAGE(OFFSET($H$3,0,0,'Données projet'!$E$14+1,1))</f>
        <v>75.244137291704476</v>
      </c>
      <c r="DU197" s="62">
        <f t="shared" ref="DU197:DU203" si="209">$DU$3</f>
        <v>366.065475656937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2.4012366558636637</v>
      </c>
      <c r="EB197" s="23">
        <f>EXP(-LN(2)/25)*EB196+(1-EXP(-LN(2)/25))/(LN(2)/25)*Calculateur!DW197*Calculateur!DY197*VLOOKUP('Données projet'!$B$14,Paramètres!$A$1:$I$89,3,0)*0.475*44/12</f>
        <v>0.14713667513147027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2.5483733309951342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1.1368683772161603E-13</v>
      </c>
      <c r="EK197" s="18">
        <f>EJ197*VLOOKUP('Données projet'!$B$15,Paramètres!$A$1:$I$89,3,0)*VLOOKUP('Données projet'!$B$15,Paramètres!$A$1:$I$89,5,0)</f>
        <v>1.0995790944434703E-13</v>
      </c>
      <c r="EL197" s="14">
        <f t="shared" si="179"/>
        <v>1.6337280948049956E-12</v>
      </c>
      <c r="EM197" s="22">
        <f t="shared" si="180"/>
        <v>3.036919790734272E-12</v>
      </c>
      <c r="EN197" s="62">
        <f t="shared" si="198"/>
        <v>288.93180640932525</v>
      </c>
      <c r="EO197" s="62">
        <f ca="1">AVERAGE(OFFSET($EN$3,0,0,'Données projet'!$E$15+1,1))-AVERAGE(OFFSET($H$3,0,0,'Données projet'!$E$15+1,1))</f>
        <v>452.74627739105745</v>
      </c>
      <c r="EP197" s="62">
        <f t="shared" ref="EP197:EP203" si="210">$EP$3</f>
        <v>281.80695725575106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1.1368683772161603E-13</v>
      </c>
      <c r="FF197" s="18">
        <f>FE197*VLOOKUP('Données projet'!$B$16,Paramètres!$A$1:$I$89,3,0)*VLOOKUP('Données projet'!$B$16,Paramètres!$A$1:$I$89,5,0)</f>
        <v>1.223725121235475E-13</v>
      </c>
      <c r="FG197" s="14">
        <f t="shared" si="182"/>
        <v>1.7956824466038182E-12</v>
      </c>
      <c r="FH197" s="22">
        <f t="shared" si="183"/>
        <v>3.3406123864501612E-12</v>
      </c>
      <c r="FI197" s="62">
        <f t="shared" si="199"/>
        <v>288.93180640932559</v>
      </c>
      <c r="FJ197" s="62">
        <f ca="1">AVERAGE(OFFSET($FI$3,0,0,'Données projet'!$E$16+1,1))-AVERAGE(OFFSET($H$3,0,0,'Données projet'!$E$16+1,1))</f>
        <v>492.72391755143508</v>
      </c>
      <c r="FK197" s="62">
        <f t="shared" ref="FK197:FK203" si="211">$FK$3</f>
        <v>304.88554179994355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68.799583566178796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143.77000000000001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-5.6843418860808015E-14</v>
      </c>
      <c r="O198" s="14">
        <f>N198*VLOOKUP('Données projet'!$B$9,Paramètres!$A$1:$I$89,3,0)*VLOOKUP('Données projet'!$B$9,Paramètres!$A$1:$I$89,5,0)</f>
        <v>-5.1431925385259088E-14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388.8309693898596</v>
      </c>
      <c r="T198" s="62">
        <f t="shared" si="204"/>
        <v>549.06702041234382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0.40322099478574935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0.40322099478574935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6.7984728957526396E-14</v>
      </c>
      <c r="AK198" s="14">
        <f t="shared" si="164"/>
        <v>1.0682447123141398E-12</v>
      </c>
      <c r="AL198" s="22">
        <f t="shared" si="165"/>
        <v>1.978932943548152E-12</v>
      </c>
      <c r="AM198" s="62">
        <f t="shared" si="193"/>
        <v>289.00816306111585</v>
      </c>
      <c r="AN198" s="62">
        <f ca="1">AVERAGE(OFFSET($AM$3,0,0,'Données projet'!$E$10+1,1))-AVERAGE(OFFSET($H$3,0,0,'Données projet'!$E$10+1,1))</f>
        <v>197.85998851681552</v>
      </c>
      <c r="AO198" s="62">
        <f t="shared" si="205"/>
        <v>474.54844785896239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2.031197093403744</v>
      </c>
      <c r="AV198" s="23">
        <f>EXP(-LN(2)/25)*AV197+(1-EXP(-LN(2)/25))/(LN(2)/25)*Calculateur!AQ198*Calculateur!AS198*VLOOKUP('Données projet'!$B$10,Paramètres!$A$1:$I$89,3,0)*0.475*44/12</f>
        <v>0.45305319287775614</v>
      </c>
      <c r="AW198" s="23">
        <f>EXP(-LN(2)/2)*AW197+(1-EXP(-LN(2)/2))/(LN(2)/2)*AQ198*AT198*VLOOKUP('Données projet'!$B$10,Paramètres!$A$1:$I$89,3,0)*0.475*44/12</f>
        <v>6.3706955233775535E-24</v>
      </c>
      <c r="AX198" s="23">
        <f t="shared" si="166"/>
        <v>2.4842502862815001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1.1368683772161603E-13</v>
      </c>
      <c r="BE198" s="14">
        <f>BD198*VLOOKUP('Données projet'!$B$11,Paramètres!$A$1:$I$89,3,0)*VLOOKUP('Données projet'!$B$11,Paramètres!$A$1:$I$89,5,0)</f>
        <v>6.7984728957526396E-14</v>
      </c>
      <c r="BF198" s="14">
        <f t="shared" si="167"/>
        <v>1.0682447123141398E-12</v>
      </c>
      <c r="BG198" s="22">
        <f t="shared" si="168"/>
        <v>1.978932943548152E-12</v>
      </c>
      <c r="BH198" s="62">
        <f t="shared" si="194"/>
        <v>289.00816306111585</v>
      </c>
      <c r="BI198" s="62">
        <f ca="1">AVERAGE(OFFSET($BH$3,0,0,'Données projet'!$E$11+1,1))-AVERAGE(OFFSET($H$3,0,0,'Données projet'!$E$11+1,1))</f>
        <v>197.85998851681552</v>
      </c>
      <c r="BJ198" s="62">
        <f t="shared" si="206"/>
        <v>474.54844785896239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2.031197093403744</v>
      </c>
      <c r="BQ198" s="23">
        <f>EXP(-LN(2)/25)*BQ197+(1-EXP(-LN(2)/25))/(LN(2)/25)*Calculateur!BL198*Calculateur!BN198*VLOOKUP('Données projet'!$B$11,Paramètres!$A$1:$I$89,3,0)*0.475*44/12</f>
        <v>0.45305319287775614</v>
      </c>
      <c r="BR198" s="23">
        <f>EXP(-LN(2)/2)*BR197+(1-EXP(-LN(2)/2))/(LN(2)/2)*BL198*BO198*VLOOKUP('Données projet'!$B$11,Paramètres!$A$1:$I$89,3,0)*0.475*44/12</f>
        <v>6.3706955233775535E-24</v>
      </c>
      <c r="BS198" s="24">
        <f t="shared" si="169"/>
        <v>2.4842502862815001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>
        <f>BY198*VLOOKUP('Données projet'!$B$12,Paramètres!$A$1:$I$89,3,0)*VLOOKUP('Données projet'!$B$12,Paramètres!$A$1:$I$89,5,0)</f>
        <v>0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72.97248599808384</v>
      </c>
      <c r="CE198" s="62">
        <f t="shared" si="207"/>
        <v>346.88163654003574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2.2139885294725969</v>
      </c>
      <c r="CL198" s="23">
        <f>EXP(-LN(2)/25)*CL197+(1-EXP(-LN(2)/25))/(LN(2)/25)*Calculateur!CG198*Calculateur!CI198*VLOOKUP('Données projet'!$B$12,Paramètres!$A$1:$I$89,3,0)*0.475*44/12</f>
        <v>0.13459254253013636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2.3485810720027334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>
        <f>CT198*VLOOKUP('Données projet'!$B$13,Paramètres!$A$1:$I$89,3,0)*VLOOKUP('Données projet'!$B$13,Paramètres!$A$1:$I$89,5,0)</f>
        <v>0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67.303283896086128</v>
      </c>
      <c r="CZ198" s="62">
        <f t="shared" si="208"/>
        <v>318.97925671653547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2.0104742635322213</v>
      </c>
      <c r="DG198" s="23">
        <f>EXP(-LN(2)/25)*DG197+(1-EXP(-LN(2)/25))/(LN(2)/25)*Calculateur!DB198*Calculateur!DD198*VLOOKUP('Données projet'!$B$13,Paramètres!$A$1:$I$89,3,0)*0.475*44/12</f>
        <v>0.12222052608586163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2.1326947896180828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>
        <f>DO198*VLOOKUP('Données projet'!$B$14,Paramètres!$A$1:$I$89,3,0)*VLOOKUP('Données projet'!$B$14,Paramètres!$A$1:$I$89,5,0)</f>
        <v>0</v>
      </c>
      <c r="DQ198" s="14" t="e">
        <f t="shared" si="176"/>
        <v>#NUM!</v>
      </c>
      <c r="DR198" s="22" t="e">
        <f t="shared" si="177"/>
        <v>#NUM!</v>
      </c>
      <c r="DS198" s="62" t="e">
        <f t="shared" si="197"/>
        <v>#NUM!</v>
      </c>
      <c r="DT198" s="62">
        <f ca="1">AVERAGE(OFFSET($DS$3,0,0,'Données projet'!$E$14+1,1))-AVERAGE(OFFSET($H$3,0,0,'Données projet'!$E$14+1,1))</f>
        <v>75.244137291704476</v>
      </c>
      <c r="DU198" s="62">
        <f t="shared" si="209"/>
        <v>366.065475656937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2.354149869651919</v>
      </c>
      <c r="EB198" s="23">
        <f>EXP(-LN(2)/25)*EB197+(1-EXP(-LN(2)/25))/(LN(2)/25)*Calculateur!DW198*Calculateur!DY198*VLOOKUP('Données projet'!$B$14,Paramètres!$A$1:$I$89,3,0)*0.475*44/12</f>
        <v>0.14311321501241875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2.4972630846643376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1.1368683772161603E-13</v>
      </c>
      <c r="EK198" s="18">
        <f>EJ198*VLOOKUP('Données projet'!$B$15,Paramètres!$A$1:$I$89,3,0)*VLOOKUP('Données projet'!$B$15,Paramètres!$A$1:$I$89,5,0)</f>
        <v>1.0995790944434703E-13</v>
      </c>
      <c r="EL198" s="14">
        <f t="shared" si="179"/>
        <v>1.6337280948049956E-12</v>
      </c>
      <c r="EM198" s="22">
        <f t="shared" si="180"/>
        <v>3.036919790734272E-12</v>
      </c>
      <c r="EN198" s="62">
        <f t="shared" si="198"/>
        <v>289.00816306111687</v>
      </c>
      <c r="EO198" s="62">
        <f ca="1">AVERAGE(OFFSET($EN$3,0,0,'Données projet'!$E$15+1,1))-AVERAGE(OFFSET($H$3,0,0,'Données projet'!$E$15+1,1))</f>
        <v>452.74627739105745</v>
      </c>
      <c r="EP198" s="62">
        <f t="shared" si="210"/>
        <v>281.80695725575106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1.1368683772161603E-13</v>
      </c>
      <c r="FF198" s="18">
        <f>FE198*VLOOKUP('Données projet'!$B$16,Paramètres!$A$1:$I$89,3,0)*VLOOKUP('Données projet'!$B$16,Paramètres!$A$1:$I$89,5,0)</f>
        <v>1.223725121235475E-13</v>
      </c>
      <c r="FG198" s="14">
        <f t="shared" si="182"/>
        <v>1.7956824466038182E-12</v>
      </c>
      <c r="FH198" s="22">
        <f t="shared" si="183"/>
        <v>3.3406123864501612E-12</v>
      </c>
      <c r="FI198" s="62">
        <f t="shared" si="199"/>
        <v>289.00816306111722</v>
      </c>
      <c r="FJ198" s="62">
        <f ca="1">AVERAGE(OFFSET($FI$3,0,0,'Données projet'!$E$16+1,1))-AVERAGE(OFFSET($H$3,0,0,'Données projet'!$E$16+1,1))</f>
        <v>492.72391755143508</v>
      </c>
      <c r="FK198" s="62">
        <f t="shared" si="211"/>
        <v>304.88554179994355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68.820408107576512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143.77000000000001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-5.6843418860808015E-14</v>
      </c>
      <c r="O199" s="14">
        <f>N199*VLOOKUP('Données projet'!$B$9,Paramètres!$A$1:$I$89,3,0)*VLOOKUP('Données projet'!$B$9,Paramètres!$A$1:$I$89,5,0)</f>
        <v>-5.1431925385259088E-14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388.8309693898596</v>
      </c>
      <c r="T199" s="62">
        <f t="shared" si="204"/>
        <v>549.06702041234382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0.395314077018523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0.395314077018523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6.7984728957526396E-14</v>
      </c>
      <c r="AK199" s="14">
        <f t="shared" si="164"/>
        <v>1.0682447123141398E-12</v>
      </c>
      <c r="AL199" s="22">
        <f t="shared" si="165"/>
        <v>1.978932943548152E-12</v>
      </c>
      <c r="AM199" s="62">
        <f t="shared" si="193"/>
        <v>289.08319509570674</v>
      </c>
      <c r="AN199" s="62">
        <f ca="1">AVERAGE(OFFSET($AM$3,0,0,'Données projet'!$E$10+1,1))-AVERAGE(OFFSET($H$3,0,0,'Données projet'!$E$10+1,1))</f>
        <v>197.85998851681552</v>
      </c>
      <c r="AO199" s="62">
        <f t="shared" si="205"/>
        <v>474.54844785896239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1.9913665573099915</v>
      </c>
      <c r="AV199" s="23">
        <f>EXP(-LN(2)/25)*AV198+(1-EXP(-LN(2)/25))/(LN(2)/25)*Calculateur!AQ199*Calculateur!AS199*VLOOKUP('Données projet'!$B$10,Paramètres!$A$1:$I$89,3,0)*0.475*44/12</f>
        <v>0.44066442949348195</v>
      </c>
      <c r="AW199" s="23">
        <f>EXP(-LN(2)/2)*AW198+(1-EXP(-LN(2)/2))/(LN(2)/2)*AQ199*AT199*VLOOKUP('Données projet'!$B$10,Paramètres!$A$1:$I$89,3,0)*0.475*44/12</f>
        <v>4.5047620054550495E-24</v>
      </c>
      <c r="AX199" s="23">
        <f t="shared" si="166"/>
        <v>2.4320309868034733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1.1368683772161603E-13</v>
      </c>
      <c r="BE199" s="14">
        <f>BD199*VLOOKUP('Données projet'!$B$11,Paramètres!$A$1:$I$89,3,0)*VLOOKUP('Données projet'!$B$11,Paramètres!$A$1:$I$89,5,0)</f>
        <v>6.7984728957526396E-14</v>
      </c>
      <c r="BF199" s="14">
        <f t="shared" si="167"/>
        <v>1.0682447123141398E-12</v>
      </c>
      <c r="BG199" s="22">
        <f t="shared" si="168"/>
        <v>1.978932943548152E-12</v>
      </c>
      <c r="BH199" s="62">
        <f t="shared" si="194"/>
        <v>289.08319509570674</v>
      </c>
      <c r="BI199" s="62">
        <f ca="1">AVERAGE(OFFSET($BH$3,0,0,'Données projet'!$E$11+1,1))-AVERAGE(OFFSET($H$3,0,0,'Données projet'!$E$11+1,1))</f>
        <v>197.85998851681552</v>
      </c>
      <c r="BJ199" s="62">
        <f t="shared" si="206"/>
        <v>474.54844785896239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1.9913665573099915</v>
      </c>
      <c r="BQ199" s="23">
        <f>EXP(-LN(2)/25)*BQ198+(1-EXP(-LN(2)/25))/(LN(2)/25)*Calculateur!BL199*Calculateur!BN199*VLOOKUP('Données projet'!$B$11,Paramètres!$A$1:$I$89,3,0)*0.475*44/12</f>
        <v>0.44066442949348195</v>
      </c>
      <c r="BR199" s="23">
        <f>EXP(-LN(2)/2)*BR198+(1-EXP(-LN(2)/2))/(LN(2)/2)*BL199*BO199*VLOOKUP('Données projet'!$B$11,Paramètres!$A$1:$I$89,3,0)*0.475*44/12</f>
        <v>4.5047620054550495E-24</v>
      </c>
      <c r="BS199" s="24">
        <f t="shared" si="169"/>
        <v>2.4320309868034733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>
        <f>BY199*VLOOKUP('Données projet'!$B$12,Paramètres!$A$1:$I$89,3,0)*VLOOKUP('Données projet'!$B$12,Paramètres!$A$1:$I$89,5,0)</f>
        <v>0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72.97248599808384</v>
      </c>
      <c r="CE199" s="62">
        <f t="shared" si="207"/>
        <v>346.88163654003574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2.1705735648093012</v>
      </c>
      <c r="CL199" s="23">
        <f>EXP(-LN(2)/25)*CL198+(1-EXP(-LN(2)/25))/(LN(2)/25)*Calculateur!CG199*Calculateur!CI199*VLOOKUP('Données projet'!$B$12,Paramètres!$A$1:$I$89,3,0)*0.475*44/12</f>
        <v>0.13091210237673559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2.3014856671860366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>
        <f>CT199*VLOOKUP('Données projet'!$B$13,Paramètres!$A$1:$I$89,3,0)*VLOOKUP('Données projet'!$B$13,Paramètres!$A$1:$I$89,5,0)</f>
        <v>0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67.303283896086128</v>
      </c>
      <c r="CZ199" s="62">
        <f t="shared" si="208"/>
        <v>318.97925671653547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1.9710500894925713</v>
      </c>
      <c r="DG199" s="23">
        <f>EXP(-LN(2)/25)*DG198+(1-EXP(-LN(2)/25))/(LN(2)/25)*Calculateur!DB199*Calculateur!DD199*VLOOKUP('Données projet'!$B$13,Paramètres!$A$1:$I$89,3,0)*0.475*44/12</f>
        <v>0.11887839937274562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2.0899284888653171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>
        <f>DO199*VLOOKUP('Données projet'!$B$14,Paramètres!$A$1:$I$89,3,0)*VLOOKUP('Données projet'!$B$14,Paramètres!$A$1:$I$89,5,0)</f>
        <v>0</v>
      </c>
      <c r="DQ199" s="14" t="e">
        <f t="shared" si="176"/>
        <v>#NUM!</v>
      </c>
      <c r="DR199" s="22" t="e">
        <f t="shared" si="177"/>
        <v>#NUM!</v>
      </c>
      <c r="DS199" s="62" t="e">
        <f t="shared" si="197"/>
        <v>#NUM!</v>
      </c>
      <c r="DT199" s="62">
        <f ca="1">AVERAGE(OFFSET($DS$3,0,0,'Données projet'!$E$14+1,1))-AVERAGE(OFFSET($H$3,0,0,'Données projet'!$E$14+1,1))</f>
        <v>75.244137291704476</v>
      </c>
      <c r="DU199" s="62">
        <f t="shared" si="209"/>
        <v>366.065475656937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2.307986426597683</v>
      </c>
      <c r="EB199" s="23">
        <f>EXP(-LN(2)/25)*EB198+(1-EXP(-LN(2)/25))/(LN(2)/25)*Calculateur!DW199*Calculateur!DY199*VLOOKUP('Données projet'!$B$14,Paramètres!$A$1:$I$89,3,0)*0.475*44/12</f>
        <v>0.13919977662190727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2.4471862032195904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1.1368683772161603E-13</v>
      </c>
      <c r="EK199" s="18">
        <f>EJ199*VLOOKUP('Données projet'!$B$15,Paramètres!$A$1:$I$89,3,0)*VLOOKUP('Données projet'!$B$15,Paramètres!$A$1:$I$89,5,0)</f>
        <v>1.0995790944434703E-13</v>
      </c>
      <c r="EL199" s="14">
        <f t="shared" si="179"/>
        <v>1.6337280948049956E-12</v>
      </c>
      <c r="EM199" s="22">
        <f t="shared" si="180"/>
        <v>3.036919790734272E-12</v>
      </c>
      <c r="EN199" s="62">
        <f t="shared" si="198"/>
        <v>289.08319509570777</v>
      </c>
      <c r="EO199" s="62">
        <f ca="1">AVERAGE(OFFSET($EN$3,0,0,'Données projet'!$E$15+1,1))-AVERAGE(OFFSET($H$3,0,0,'Données projet'!$E$15+1,1))</f>
        <v>452.74627739105745</v>
      </c>
      <c r="EP199" s="62">
        <f t="shared" si="210"/>
        <v>281.80695725575106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1.1368683772161603E-13</v>
      </c>
      <c r="FF199" s="18">
        <f>FE199*VLOOKUP('Données projet'!$B$16,Paramètres!$A$1:$I$89,3,0)*VLOOKUP('Données projet'!$B$16,Paramètres!$A$1:$I$89,5,0)</f>
        <v>1.223725121235475E-13</v>
      </c>
      <c r="FG199" s="14">
        <f t="shared" si="182"/>
        <v>1.7956824466038182E-12</v>
      </c>
      <c r="FH199" s="22">
        <f t="shared" si="183"/>
        <v>3.3406123864501612E-12</v>
      </c>
      <c r="FI199" s="62">
        <f t="shared" si="199"/>
        <v>289.08319509570811</v>
      </c>
      <c r="FJ199" s="62">
        <f ca="1">AVERAGE(OFFSET($FI$3,0,0,'Données projet'!$E$16+1,1))-AVERAGE(OFFSET($H$3,0,0,'Données projet'!$E$16+1,1))</f>
        <v>492.72391755143508</v>
      </c>
      <c r="FK199" s="62">
        <f t="shared" si="211"/>
        <v>304.88554179994355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68.840871389737657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143.77000000000001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-5.6843418860808015E-14</v>
      </c>
      <c r="O200" s="14">
        <f>N200*VLOOKUP('Données projet'!$B$9,Paramètres!$A$1:$I$89,3,0)*VLOOKUP('Données projet'!$B$9,Paramètres!$A$1:$I$89,5,0)</f>
        <v>-5.1431925385259088E-14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388.8309693898596</v>
      </c>
      <c r="T200" s="62">
        <f t="shared" si="204"/>
        <v>549.06702041234382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0.38756220908596833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0.38756220908596833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6.7984728957526396E-14</v>
      </c>
      <c r="AK200" s="14">
        <f t="shared" si="164"/>
        <v>1.0682447123141398E-12</v>
      </c>
      <c r="AL200" s="22">
        <f t="shared" si="165"/>
        <v>1.978932943548152E-12</v>
      </c>
      <c r="AM200" s="62">
        <f t="shared" si="193"/>
        <v>289.15692549224394</v>
      </c>
      <c r="AN200" s="62">
        <f ca="1">AVERAGE(OFFSET($AM$3,0,0,'Données projet'!$E$10+1,1))-AVERAGE(OFFSET($H$3,0,0,'Données projet'!$E$10+1,1))</f>
        <v>197.85998851681552</v>
      </c>
      <c r="AO200" s="62">
        <f t="shared" si="205"/>
        <v>474.54844785896239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1.9523170737348094</v>
      </c>
      <c r="AV200" s="23">
        <f>EXP(-LN(2)/25)*AV199+(1-EXP(-LN(2)/25))/(LN(2)/25)*Calculateur!AQ200*Calculateur!AS200*VLOOKUP('Données projet'!$B$10,Paramètres!$A$1:$I$89,3,0)*0.475*44/12</f>
        <v>0.42861443749544748</v>
      </c>
      <c r="AW200" s="23">
        <f>EXP(-LN(2)/2)*AW199+(1-EXP(-LN(2)/2))/(LN(2)/2)*AQ200*AT200*VLOOKUP('Données projet'!$B$10,Paramètres!$A$1:$I$89,3,0)*0.475*44/12</f>
        <v>3.1853477616887767E-24</v>
      </c>
      <c r="AX200" s="23">
        <f t="shared" si="166"/>
        <v>2.3809315112302567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1.1368683772161603E-13</v>
      </c>
      <c r="BE200" s="14">
        <f>BD200*VLOOKUP('Données projet'!$B$11,Paramètres!$A$1:$I$89,3,0)*VLOOKUP('Données projet'!$B$11,Paramètres!$A$1:$I$89,5,0)</f>
        <v>6.7984728957526396E-14</v>
      </c>
      <c r="BF200" s="14">
        <f t="shared" si="167"/>
        <v>1.0682447123141398E-12</v>
      </c>
      <c r="BG200" s="22">
        <f t="shared" si="168"/>
        <v>1.978932943548152E-12</v>
      </c>
      <c r="BH200" s="62">
        <f t="shared" si="194"/>
        <v>289.15692549224394</v>
      </c>
      <c r="BI200" s="62">
        <f ca="1">AVERAGE(OFFSET($BH$3,0,0,'Données projet'!$E$11+1,1))-AVERAGE(OFFSET($H$3,0,0,'Données projet'!$E$11+1,1))</f>
        <v>197.85998851681552</v>
      </c>
      <c r="BJ200" s="62">
        <f t="shared" si="206"/>
        <v>474.54844785896239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1.9523170737348094</v>
      </c>
      <c r="BQ200" s="23">
        <f>EXP(-LN(2)/25)*BQ199+(1-EXP(-LN(2)/25))/(LN(2)/25)*Calculateur!BL200*Calculateur!BN200*VLOOKUP('Données projet'!$B$11,Paramètres!$A$1:$I$89,3,0)*0.475*44/12</f>
        <v>0.42861443749544748</v>
      </c>
      <c r="BR200" s="23">
        <f>EXP(-LN(2)/2)*BR199+(1-EXP(-LN(2)/2))/(LN(2)/2)*BL200*BO200*VLOOKUP('Données projet'!$B$11,Paramètres!$A$1:$I$89,3,0)*0.475*44/12</f>
        <v>3.1853477616887767E-24</v>
      </c>
      <c r="BS200" s="24">
        <f t="shared" si="169"/>
        <v>2.3809315112302567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>
        <f>BY200*VLOOKUP('Données projet'!$B$12,Paramètres!$A$1:$I$89,3,0)*VLOOKUP('Données projet'!$B$12,Paramètres!$A$1:$I$89,5,0)</f>
        <v>0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72.97248599808384</v>
      </c>
      <c r="CE200" s="62">
        <f t="shared" si="207"/>
        <v>346.88163654003574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2.1280099411225391</v>
      </c>
      <c r="CL200" s="23">
        <f>EXP(-LN(2)/25)*CL199+(1-EXP(-LN(2)/25))/(LN(2)/25)*Calculateur!CG200*Calculateur!CI200*VLOOKUP('Données projet'!$B$12,Paramètres!$A$1:$I$89,3,0)*0.475*44/12</f>
        <v>0.12733230405287549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2.2553422451754144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>
        <f>CT200*VLOOKUP('Données projet'!$B$13,Paramètres!$A$1:$I$89,3,0)*VLOOKUP('Données projet'!$B$13,Paramètres!$A$1:$I$89,5,0)</f>
        <v>0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67.303283896086128</v>
      </c>
      <c r="CZ200" s="62">
        <f t="shared" si="208"/>
        <v>318.97925671653547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1.932398999459467</v>
      </c>
      <c r="DG200" s="23">
        <f>EXP(-LN(2)/25)*DG199+(1-EXP(-LN(2)/25))/(LN(2)/25)*Calculateur!DB200*Calculateur!DD200*VLOOKUP('Données projet'!$B$13,Paramètres!$A$1:$I$89,3,0)*0.475*44/12</f>
        <v>0.11562766329035457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2.0480266627498214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>
        <f>DO200*VLOOKUP('Données projet'!$B$14,Paramètres!$A$1:$I$89,3,0)*VLOOKUP('Données projet'!$B$14,Paramètres!$A$1:$I$89,5,0)</f>
        <v>0</v>
      </c>
      <c r="DQ200" s="14" t="e">
        <f t="shared" si="176"/>
        <v>#NUM!</v>
      </c>
      <c r="DR200" s="22" t="e">
        <f t="shared" si="177"/>
        <v>#NUM!</v>
      </c>
      <c r="DS200" s="62" t="e">
        <f t="shared" si="197"/>
        <v>#NUM!</v>
      </c>
      <c r="DT200" s="62">
        <f ca="1">AVERAGE(OFFSET($DS$3,0,0,'Données projet'!$E$14+1,1))-AVERAGE(OFFSET($H$3,0,0,'Données projet'!$E$14+1,1))</f>
        <v>75.244137291704476</v>
      </c>
      <c r="DU200" s="62">
        <f t="shared" si="209"/>
        <v>366.065475656937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2.2627282205048207</v>
      </c>
      <c r="EB200" s="23">
        <f>EXP(-LN(2)/25)*EB199+(1-EXP(-LN(2)/25))/(LN(2)/25)*Calculateur!DW200*Calculateur!DY200*VLOOKUP('Données projet'!$B$14,Paramètres!$A$1:$I$89,3,0)*0.475*44/12</f>
        <v>0.1353933514099831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2.3981215719148037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1.1368683772161603E-13</v>
      </c>
      <c r="EK200" s="18">
        <f>EJ200*VLOOKUP('Données projet'!$B$15,Paramètres!$A$1:$I$89,3,0)*VLOOKUP('Données projet'!$B$15,Paramètres!$A$1:$I$89,5,0)</f>
        <v>1.0995790944434703E-13</v>
      </c>
      <c r="EL200" s="14">
        <f t="shared" si="179"/>
        <v>1.6337280948049956E-12</v>
      </c>
      <c r="EM200" s="22">
        <f t="shared" si="180"/>
        <v>3.036919790734272E-12</v>
      </c>
      <c r="EN200" s="62">
        <f t="shared" si="198"/>
        <v>289.15692549224497</v>
      </c>
      <c r="EO200" s="62">
        <f ca="1">AVERAGE(OFFSET($EN$3,0,0,'Données projet'!$E$15+1,1))-AVERAGE(OFFSET($H$3,0,0,'Données projet'!$E$15+1,1))</f>
        <v>452.74627739105745</v>
      </c>
      <c r="EP200" s="62">
        <f t="shared" si="210"/>
        <v>281.80695725575106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1.1368683772161603E-13</v>
      </c>
      <c r="FF200" s="18">
        <f>FE200*VLOOKUP('Données projet'!$B$16,Paramètres!$A$1:$I$89,3,0)*VLOOKUP('Données projet'!$B$16,Paramètres!$A$1:$I$89,5,0)</f>
        <v>1.223725121235475E-13</v>
      </c>
      <c r="FG200" s="14">
        <f t="shared" si="182"/>
        <v>1.7956824466038182E-12</v>
      </c>
      <c r="FH200" s="22">
        <f t="shared" si="183"/>
        <v>3.3406123864501612E-12</v>
      </c>
      <c r="FI200" s="62">
        <f t="shared" si="199"/>
        <v>289.15692549224531</v>
      </c>
      <c r="FJ200" s="62">
        <f ca="1">AVERAGE(OFFSET($FI$3,0,0,'Données projet'!$E$16+1,1))-AVERAGE(OFFSET($H$3,0,0,'Données projet'!$E$16+1,1))</f>
        <v>492.72391755143508</v>
      </c>
      <c r="FK200" s="62">
        <f t="shared" si="211"/>
        <v>304.88554179994355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68.860979679702353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143.77000000000001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-5.6843418860808015E-14</v>
      </c>
      <c r="O201" s="14">
        <f>N201*VLOOKUP('Données projet'!$B$9,Paramètres!$A$1:$I$89,3,0)*VLOOKUP('Données projet'!$B$9,Paramètres!$A$1:$I$89,5,0)</f>
        <v>-5.1431925385259088E-14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388.8309693898596</v>
      </c>
      <c r="T201" s="62">
        <f t="shared" si="204"/>
        <v>549.06702041234382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0.37996235055539851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0.37996235055539851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6.7984728957526396E-14</v>
      </c>
      <c r="AK201" s="14">
        <f t="shared" si="164"/>
        <v>1.0682447123141398E-12</v>
      </c>
      <c r="AL201" s="22">
        <f t="shared" si="165"/>
        <v>1.978932943548152E-12</v>
      </c>
      <c r="AM201" s="62">
        <f t="shared" si="193"/>
        <v>289.22937683123774</v>
      </c>
      <c r="AN201" s="62">
        <f ca="1">AVERAGE(OFFSET($AM$3,0,0,'Données projet'!$E$10+1,1))-AVERAGE(OFFSET($H$3,0,0,'Données projet'!$E$10+1,1))</f>
        <v>197.85998851681552</v>
      </c>
      <c r="AO201" s="62">
        <f t="shared" si="205"/>
        <v>474.54844785896239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1.9140333267147034</v>
      </c>
      <c r="AV201" s="23">
        <f>EXP(-LN(2)/25)*AV200+(1-EXP(-LN(2)/25))/(LN(2)/25)*Calculateur!AQ201*Calculateur!AS201*VLOOKUP('Données projet'!$B$10,Paramètres!$A$1:$I$89,3,0)*0.475*44/12</f>
        <v>0.41689395316228078</v>
      </c>
      <c r="AW201" s="23">
        <f>EXP(-LN(2)/2)*AW200+(1-EXP(-LN(2)/2))/(LN(2)/2)*AQ201*AT201*VLOOKUP('Données projet'!$B$10,Paramètres!$A$1:$I$89,3,0)*0.475*44/12</f>
        <v>2.2523810027275247E-24</v>
      </c>
      <c r="AX201" s="23">
        <f t="shared" si="166"/>
        <v>2.3309272798769842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1.1368683772161603E-13</v>
      </c>
      <c r="BE201" s="14">
        <f>BD201*VLOOKUP('Données projet'!$B$11,Paramètres!$A$1:$I$89,3,0)*VLOOKUP('Données projet'!$B$11,Paramètres!$A$1:$I$89,5,0)</f>
        <v>6.7984728957526396E-14</v>
      </c>
      <c r="BF201" s="14">
        <f t="shared" si="167"/>
        <v>1.0682447123141398E-12</v>
      </c>
      <c r="BG201" s="22">
        <f t="shared" si="168"/>
        <v>1.978932943548152E-12</v>
      </c>
      <c r="BH201" s="62">
        <f t="shared" si="194"/>
        <v>289.22937683123774</v>
      </c>
      <c r="BI201" s="62">
        <f ca="1">AVERAGE(OFFSET($BH$3,0,0,'Données projet'!$E$11+1,1))-AVERAGE(OFFSET($H$3,0,0,'Données projet'!$E$11+1,1))</f>
        <v>197.85998851681552</v>
      </c>
      <c r="BJ201" s="62">
        <f t="shared" si="206"/>
        <v>474.54844785896239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1.9140333267147034</v>
      </c>
      <c r="BQ201" s="23">
        <f>EXP(-LN(2)/25)*BQ200+(1-EXP(-LN(2)/25))/(LN(2)/25)*Calculateur!BL201*Calculateur!BN201*VLOOKUP('Données projet'!$B$11,Paramètres!$A$1:$I$89,3,0)*0.475*44/12</f>
        <v>0.41689395316228078</v>
      </c>
      <c r="BR201" s="23">
        <f>EXP(-LN(2)/2)*BR200+(1-EXP(-LN(2)/2))/(LN(2)/2)*BL201*BO201*VLOOKUP('Données projet'!$B$11,Paramètres!$A$1:$I$89,3,0)*0.475*44/12</f>
        <v>2.2523810027275247E-24</v>
      </c>
      <c r="BS201" s="24">
        <f t="shared" si="169"/>
        <v>2.3309272798769842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>
        <f>BY201*VLOOKUP('Données projet'!$B$12,Paramètres!$A$1:$I$89,3,0)*VLOOKUP('Données projet'!$B$12,Paramètres!$A$1:$I$89,5,0)</f>
        <v>0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72.97248599808384</v>
      </c>
      <c r="CE201" s="62">
        <f t="shared" si="207"/>
        <v>346.88163654003574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2.0862809641350273</v>
      </c>
      <c r="CL201" s="23">
        <f>EXP(-LN(2)/25)*CL200+(1-EXP(-LN(2)/25))/(LN(2)/25)*Calculateur!CG201*Calculateur!CI201*VLOOKUP('Données projet'!$B$12,Paramètres!$A$1:$I$89,3,0)*0.475*44/12</f>
        <v>0.12385039550243476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2.2101313596374621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>
        <f>CT201*VLOOKUP('Données projet'!$B$13,Paramètres!$A$1:$I$89,3,0)*VLOOKUP('Données projet'!$B$13,Paramètres!$A$1:$I$89,5,0)</f>
        <v>0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67.303283896086128</v>
      </c>
      <c r="CZ201" s="62">
        <f t="shared" si="208"/>
        <v>318.97925671653547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1.8945058337270748</v>
      </c>
      <c r="DG201" s="23">
        <f>EXP(-LN(2)/25)*DG200+(1-EXP(-LN(2)/25))/(LN(2)/25)*Calculateur!DB201*Calculateur!DD201*VLOOKUP('Données projet'!$B$13,Paramètres!$A$1:$I$89,3,0)*0.475*44/12</f>
        <v>0.11246581875708528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2.0069716524841601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>
        <f>DO201*VLOOKUP('Données projet'!$B$14,Paramètres!$A$1:$I$89,3,0)*VLOOKUP('Données projet'!$B$14,Paramètres!$A$1:$I$89,5,0)</f>
        <v>0</v>
      </c>
      <c r="DQ201" s="14" t="e">
        <f t="shared" si="176"/>
        <v>#NUM!</v>
      </c>
      <c r="DR201" s="22" t="e">
        <f t="shared" si="177"/>
        <v>#NUM!</v>
      </c>
      <c r="DS201" s="62" t="e">
        <f t="shared" si="197"/>
        <v>#NUM!</v>
      </c>
      <c r="DT201" s="62">
        <f ca="1">AVERAGE(OFFSET($DS$3,0,0,'Données projet'!$E$14+1,1))-AVERAGE(OFFSET($H$3,0,0,'Données projet'!$E$14+1,1))</f>
        <v>75.244137291704476</v>
      </c>
      <c r="DU201" s="62">
        <f t="shared" si="209"/>
        <v>366.065475656937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2.2183575002286595</v>
      </c>
      <c r="EB201" s="23">
        <f>EXP(-LN(2)/25)*EB200+(1-EXP(-LN(2)/25))/(LN(2)/25)*Calculateur!DW201*Calculateur!DY201*VLOOKUP('Données projet'!$B$14,Paramètres!$A$1:$I$89,3,0)*0.475*44/12</f>
        <v>0.13169101309565021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2.3500485133243099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1.1368683772161603E-13</v>
      </c>
      <c r="EK201" s="18">
        <f>EJ201*VLOOKUP('Données projet'!$B$15,Paramètres!$A$1:$I$89,3,0)*VLOOKUP('Données projet'!$B$15,Paramètres!$A$1:$I$89,5,0)</f>
        <v>1.0995790944434703E-13</v>
      </c>
      <c r="EL201" s="14">
        <f t="shared" si="179"/>
        <v>1.6337280948049956E-12</v>
      </c>
      <c r="EM201" s="22">
        <f t="shared" si="180"/>
        <v>3.036919790734272E-12</v>
      </c>
      <c r="EN201" s="62">
        <f t="shared" si="198"/>
        <v>289.22937683123877</v>
      </c>
      <c r="EO201" s="62">
        <f ca="1">AVERAGE(OFFSET($EN$3,0,0,'Données projet'!$E$15+1,1))-AVERAGE(OFFSET($H$3,0,0,'Données projet'!$E$15+1,1))</f>
        <v>452.74627739105745</v>
      </c>
      <c r="EP201" s="62">
        <f t="shared" si="210"/>
        <v>281.80695725575106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1.1368683772161603E-13</v>
      </c>
      <c r="FF201" s="18">
        <f>FE201*VLOOKUP('Données projet'!$B$16,Paramètres!$A$1:$I$89,3,0)*VLOOKUP('Données projet'!$B$16,Paramètres!$A$1:$I$89,5,0)</f>
        <v>1.223725121235475E-13</v>
      </c>
      <c r="FG201" s="14">
        <f t="shared" si="182"/>
        <v>1.7956824466038182E-12</v>
      </c>
      <c r="FH201" s="22">
        <f t="shared" si="183"/>
        <v>3.3406123864501612E-12</v>
      </c>
      <c r="FI201" s="62">
        <f t="shared" si="199"/>
        <v>289.22937683123911</v>
      </c>
      <c r="FJ201" s="62">
        <f ca="1">AVERAGE(OFFSET($FI$3,0,0,'Données projet'!$E$16+1,1))-AVERAGE(OFFSET($H$3,0,0,'Données projet'!$E$16+1,1))</f>
        <v>492.72391755143508</v>
      </c>
      <c r="FK201" s="62">
        <f t="shared" si="211"/>
        <v>304.88554179994355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68.880739135791572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143.77000000000001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-5.6843418860808015E-14</v>
      </c>
      <c r="O202" s="14">
        <f>N202*VLOOKUP('Données projet'!$B$9,Paramètres!$A$1:$I$89,3,0)*VLOOKUP('Données projet'!$B$9,Paramètres!$A$1:$I$89,5,0)</f>
        <v>-5.1431925385259088E-14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388.8309693898596</v>
      </c>
      <c r="T202" s="62">
        <f t="shared" si="204"/>
        <v>549.06702041234382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0.37251152061515719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0.37251152061515719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6.7984728957526396E-14</v>
      </c>
      <c r="AK202" s="14">
        <f t="shared" si="164"/>
        <v>1.0682447123141398E-12</v>
      </c>
      <c r="AL202" s="22">
        <f t="shared" si="165"/>
        <v>1.978932943548152E-12</v>
      </c>
      <c r="AM202" s="62">
        <f t="shared" si="193"/>
        <v>289.30057130147696</v>
      </c>
      <c r="AN202" s="62">
        <f ca="1">AVERAGE(OFFSET($AM$3,0,0,'Données projet'!$E$10+1,1))-AVERAGE(OFFSET($H$3,0,0,'Données projet'!$E$10+1,1))</f>
        <v>197.85998851681552</v>
      </c>
      <c r="AO202" s="62">
        <f t="shared" si="205"/>
        <v>474.54844785896239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1.8765003006228818</v>
      </c>
      <c r="AV202" s="23">
        <f>EXP(-LN(2)/25)*AV201+(1-EXP(-LN(2)/25))/(LN(2)/25)*Calculateur!AQ202*Calculateur!AS202*VLOOKUP('Données projet'!$B$10,Paramètres!$A$1:$I$89,3,0)*0.475*44/12</f>
        <v>0.40549396608955807</v>
      </c>
      <c r="AW202" s="23">
        <f>EXP(-LN(2)/2)*AW201+(1-EXP(-LN(2)/2))/(LN(2)/2)*AQ202*AT202*VLOOKUP('Données projet'!$B$10,Paramètres!$A$1:$I$89,3,0)*0.475*44/12</f>
        <v>1.5926738808443884E-24</v>
      </c>
      <c r="AX202" s="23">
        <f t="shared" si="166"/>
        <v>2.2819942667124398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1.1368683772161603E-13</v>
      </c>
      <c r="BE202" s="14">
        <f>BD202*VLOOKUP('Données projet'!$B$11,Paramètres!$A$1:$I$89,3,0)*VLOOKUP('Données projet'!$B$11,Paramètres!$A$1:$I$89,5,0)</f>
        <v>6.7984728957526396E-14</v>
      </c>
      <c r="BF202" s="14">
        <f t="shared" si="167"/>
        <v>1.0682447123141398E-12</v>
      </c>
      <c r="BG202" s="22">
        <f t="shared" si="168"/>
        <v>1.978932943548152E-12</v>
      </c>
      <c r="BH202" s="62">
        <f t="shared" si="194"/>
        <v>289.30057130147696</v>
      </c>
      <c r="BI202" s="62">
        <f ca="1">AVERAGE(OFFSET($BH$3,0,0,'Données projet'!$E$11+1,1))-AVERAGE(OFFSET($H$3,0,0,'Données projet'!$E$11+1,1))</f>
        <v>197.85998851681552</v>
      </c>
      <c r="BJ202" s="62">
        <f t="shared" si="206"/>
        <v>474.54844785896239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1.8765003006228818</v>
      </c>
      <c r="BQ202" s="23">
        <f>EXP(-LN(2)/25)*BQ201+(1-EXP(-LN(2)/25))/(LN(2)/25)*Calculateur!BL202*Calculateur!BN202*VLOOKUP('Données projet'!$B$11,Paramètres!$A$1:$I$89,3,0)*0.475*44/12</f>
        <v>0.40549396608955807</v>
      </c>
      <c r="BR202" s="23">
        <f>EXP(-LN(2)/2)*BR201+(1-EXP(-LN(2)/2))/(LN(2)/2)*BL202*BO202*VLOOKUP('Données projet'!$B$11,Paramètres!$A$1:$I$89,3,0)*0.475*44/12</f>
        <v>1.5926738808443884E-24</v>
      </c>
      <c r="BS202" s="24">
        <f t="shared" si="169"/>
        <v>2.2819942667124398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>
        <f>BY202*VLOOKUP('Données projet'!$B$12,Paramètres!$A$1:$I$89,3,0)*VLOOKUP('Données projet'!$B$12,Paramètres!$A$1:$I$89,5,0)</f>
        <v>0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72.97248599808384</v>
      </c>
      <c r="CE202" s="62">
        <f t="shared" si="207"/>
        <v>346.88163654003574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2.0453702669340781</v>
      </c>
      <c r="CL202" s="23">
        <f>EXP(-LN(2)/25)*CL201+(1-EXP(-LN(2)/25))/(LN(2)/25)*Calculateur!CG202*Calculateur!CI202*VLOOKUP('Données projet'!$B$12,Paramètres!$A$1:$I$89,3,0)*0.475*44/12</f>
        <v>0.12046369992441144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2.1658339668584894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>
        <f>CT202*VLOOKUP('Données projet'!$B$13,Paramètres!$A$1:$I$89,3,0)*VLOOKUP('Données projet'!$B$13,Paramètres!$A$1:$I$89,5,0)</f>
        <v>0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67.303283896086128</v>
      </c>
      <c r="CZ202" s="62">
        <f t="shared" si="208"/>
        <v>318.97925671653547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1.8573557298621459</v>
      </c>
      <c r="DG202" s="23">
        <f>EXP(-LN(2)/25)*DG201+(1-EXP(-LN(2)/25))/(LN(2)/25)*Calculateur!DB202*Calculateur!DD202*VLOOKUP('Données projet'!$B$13,Paramètres!$A$1:$I$89,3,0)*0.475*44/12</f>
        <v>0.10939043502885241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1.9667461648909983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>
        <f>DO202*VLOOKUP('Données projet'!$B$14,Paramètres!$A$1:$I$89,3,0)*VLOOKUP('Données projet'!$B$14,Paramètres!$A$1:$I$89,5,0)</f>
        <v>0</v>
      </c>
      <c r="DQ202" s="14" t="e">
        <f t="shared" si="176"/>
        <v>#NUM!</v>
      </c>
      <c r="DR202" s="22" t="e">
        <f t="shared" si="177"/>
        <v>#NUM!</v>
      </c>
      <c r="DS202" s="62" t="e">
        <f t="shared" si="197"/>
        <v>#NUM!</v>
      </c>
      <c r="DT202" s="62">
        <f ca="1">AVERAGE(OFFSET($DS$3,0,0,'Données projet'!$E$14+1,1))-AVERAGE(OFFSET($H$3,0,0,'Données projet'!$E$14+1,1))</f>
        <v>75.244137291704476</v>
      </c>
      <c r="DU202" s="62">
        <f t="shared" si="209"/>
        <v>366.065475656937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2.1748568627136464</v>
      </c>
      <c r="EB202" s="23">
        <f>EXP(-LN(2)/25)*EB201+(1-EXP(-LN(2)/25))/(LN(2)/25)*Calculateur!DW202*Calculateur!DY202*VLOOKUP('Données projet'!$B$14,Paramètres!$A$1:$I$89,3,0)*0.475*44/12</f>
        <v>0.12808991541722026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2.3029467781308668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1.1368683772161603E-13</v>
      </c>
      <c r="EK202" s="18">
        <f>EJ202*VLOOKUP('Données projet'!$B$15,Paramètres!$A$1:$I$89,3,0)*VLOOKUP('Données projet'!$B$15,Paramètres!$A$1:$I$89,5,0)</f>
        <v>1.0995790944434703E-13</v>
      </c>
      <c r="EL202" s="14">
        <f t="shared" si="179"/>
        <v>1.6337280948049956E-12</v>
      </c>
      <c r="EM202" s="22">
        <f t="shared" si="180"/>
        <v>3.036919790734272E-12</v>
      </c>
      <c r="EN202" s="62">
        <f t="shared" si="198"/>
        <v>289.30057130147799</v>
      </c>
      <c r="EO202" s="62">
        <f ca="1">AVERAGE(OFFSET($EN$3,0,0,'Données projet'!$E$15+1,1))-AVERAGE(OFFSET($H$3,0,0,'Données projet'!$E$15+1,1))</f>
        <v>452.74627739105745</v>
      </c>
      <c r="EP202" s="62">
        <f t="shared" si="210"/>
        <v>281.80695725575106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1.1368683772161603E-13</v>
      </c>
      <c r="FF202" s="18">
        <f>FE202*VLOOKUP('Données projet'!$B$16,Paramètres!$A$1:$I$89,3,0)*VLOOKUP('Données projet'!$B$16,Paramètres!$A$1:$I$89,5,0)</f>
        <v>1.223725121235475E-13</v>
      </c>
      <c r="FG202" s="14">
        <f t="shared" si="182"/>
        <v>1.7956824466038182E-12</v>
      </c>
      <c r="FH202" s="22">
        <f t="shared" si="183"/>
        <v>3.3406123864501612E-12</v>
      </c>
      <c r="FI202" s="62">
        <f t="shared" si="199"/>
        <v>289.30057130147833</v>
      </c>
      <c r="FJ202" s="62">
        <f ca="1">AVERAGE(OFFSET($FI$3,0,0,'Données projet'!$E$16+1,1))-AVERAGE(OFFSET($H$3,0,0,'Données projet'!$E$16+1,1))</f>
        <v>492.72391755143508</v>
      </c>
      <c r="FK202" s="62">
        <f t="shared" si="211"/>
        <v>304.88554179994355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68.900155809493171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34.21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143.77000000000001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-5.6843418860808015E-14</v>
      </c>
      <c r="O203" s="14">
        <f>N203*VLOOKUP('Données projet'!$B$9,Paramètres!$A$1:$I$89,3,0)*VLOOKUP('Données projet'!$B$9,Paramètres!$A$1:$I$89,5,0)</f>
        <v>-5.1431925385259088E-14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388.8309693898596</v>
      </c>
      <c r="T203" s="62">
        <f t="shared" si="204"/>
        <v>549.06702041234382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0.36520679690548646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0.36520679690548646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6.7984728957526396E-14</v>
      </c>
      <c r="AK203" s="14">
        <f t="shared" si="164"/>
        <v>1.0682447123141398E-12</v>
      </c>
      <c r="AL203" s="22">
        <f t="shared" si="165"/>
        <v>1.978932943548152E-12</v>
      </c>
      <c r="AM203" s="62">
        <f t="shared" si="193"/>
        <v>289.37053070682447</v>
      </c>
      <c r="AN203" s="62">
        <f ca="1">AVERAGE(OFFSET($AM$3,0,0,'Données projet'!$E$10+1,1))-AVERAGE(OFFSET($H$3,0,0,'Données projet'!$E$10+1,1))</f>
        <v>197.85998851681552</v>
      </c>
      <c r="AO203" s="62">
        <f t="shared" si="205"/>
        <v>474.54844785896239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1.8397032742798354</v>
      </c>
      <c r="AV203" s="23">
        <f>EXP(-LN(2)/25)*AV202+(1-EXP(-LN(2)/25))/(LN(2)/25)*Calculateur!AQ203*Calculateur!AS203*VLOOKUP('Données projet'!$B$10,Paramètres!$A$1:$I$89,3,0)*0.475*44/12</f>
        <v>0.39440571226283822</v>
      </c>
      <c r="AW203" s="23">
        <f>EXP(-LN(2)/2)*AW202+(1-EXP(-LN(2)/2))/(LN(2)/2)*AQ203*AT203*VLOOKUP('Données projet'!$B$10,Paramètres!$A$1:$I$89,3,0)*0.475*44/12</f>
        <v>1.1261905013637624E-24</v>
      </c>
      <c r="AX203" s="23">
        <f t="shared" si="166"/>
        <v>2.2341089865426738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1.1368683772161603E-13</v>
      </c>
      <c r="BE203" s="14">
        <f>BD203*VLOOKUP('Données projet'!$B$11,Paramètres!$A$1:$I$89,3,0)*VLOOKUP('Données projet'!$B$11,Paramètres!$A$1:$I$89,5,0)</f>
        <v>6.7984728957526396E-14</v>
      </c>
      <c r="BF203" s="14">
        <f t="shared" si="167"/>
        <v>1.0682447123141398E-12</v>
      </c>
      <c r="BG203" s="22">
        <f t="shared" si="168"/>
        <v>1.978932943548152E-12</v>
      </c>
      <c r="BH203" s="62">
        <f t="shared" si="194"/>
        <v>289.37053070682447</v>
      </c>
      <c r="BI203" s="62">
        <f ca="1">AVERAGE(OFFSET($BH$3,0,0,'Données projet'!$E$11+1,1))-AVERAGE(OFFSET($H$3,0,0,'Données projet'!$E$11+1,1))</f>
        <v>197.85998851681552</v>
      </c>
      <c r="BJ203" s="62">
        <f t="shared" si="206"/>
        <v>474.54844785896239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1.8397032742798354</v>
      </c>
      <c r="BQ203" s="23">
        <f>EXP(-LN(2)/25)*BQ202+(1-EXP(-LN(2)/25))/(LN(2)/25)*Calculateur!BL203*Calculateur!BN203*VLOOKUP('Données projet'!$B$11,Paramètres!$A$1:$I$89,3,0)*0.475*44/12</f>
        <v>0.39440571226283822</v>
      </c>
      <c r="BR203" s="23">
        <f>EXP(-LN(2)/2)*BR202+(1-EXP(-LN(2)/2))/(LN(2)/2)*BL203*BO203*VLOOKUP('Données projet'!$B$11,Paramètres!$A$1:$I$89,3,0)*0.475*44/12</f>
        <v>1.1261905013637624E-24</v>
      </c>
      <c r="BS203" s="24">
        <f t="shared" si="169"/>
        <v>2.2341089865426738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>
        <f>BY203*VLOOKUP('Données projet'!$B$12,Paramètres!$A$1:$I$89,3,0)*VLOOKUP('Données projet'!$B$12,Paramètres!$A$1:$I$89,5,0)</f>
        <v>0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72.97248599808384</v>
      </c>
      <c r="CE203" s="62">
        <f t="shared" si="207"/>
        <v>346.88163654003574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2.0052618035521781</v>
      </c>
      <c r="CL203" s="23">
        <f>EXP(-LN(2)/25)*CL202+(1-EXP(-LN(2)/25))/(LN(2)/25)*Calculateur!CG203*Calculateur!CI203*VLOOKUP('Données projet'!$B$12,Paramètres!$A$1:$I$89,3,0)*0.475*44/12</f>
        <v>0.11716961371506776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2.1224314172672458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>
        <f>CT203*VLOOKUP('Données projet'!$B$13,Paramètres!$A$1:$I$89,3,0)*VLOOKUP('Données projet'!$B$13,Paramètres!$A$1:$I$89,5,0)</f>
        <v>0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67.303283896086128</v>
      </c>
      <c r="CZ203" s="62">
        <f t="shared" si="208"/>
        <v>318.97925671653547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1.8209341168746824</v>
      </c>
      <c r="DG203" s="23">
        <f>EXP(-LN(2)/25)*DG202+(1-EXP(-LN(2)/25))/(LN(2)/25)*Calculateur!DB203*Calculateur!DD203*VLOOKUP('Données projet'!$B$13,Paramètres!$A$1:$I$89,3,0)*0.475*44/12</f>
        <v>0.10639914783039549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1.9273332647050778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>
        <f>DO203*VLOOKUP('Données projet'!$B$14,Paramètres!$A$1:$I$89,3,0)*VLOOKUP('Données projet'!$B$14,Paramètres!$A$1:$I$89,5,0)</f>
        <v>0</v>
      </c>
      <c r="DQ203" s="14" t="e">
        <f t="shared" si="176"/>
        <v>#NUM!</v>
      </c>
      <c r="DR203" s="22" t="e">
        <f t="shared" si="177"/>
        <v>#NUM!</v>
      </c>
      <c r="DS203" s="62" t="e">
        <f t="shared" si="197"/>
        <v>#NUM!</v>
      </c>
      <c r="DT203" s="62">
        <f ca="1">AVERAGE(OFFSET($DS$3,0,0,'Données projet'!$E$14+1,1))-AVERAGE(OFFSET($H$3,0,0,'Données projet'!$E$14+1,1))</f>
        <v>75.244137291704476</v>
      </c>
      <c r="DU203" s="62">
        <f t="shared" si="209"/>
        <v>366.065475656937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2.1322092461675339</v>
      </c>
      <c r="EB203" s="23">
        <f>EXP(-LN(2)/25)*EB202+(1-EXP(-LN(2)/25))/(LN(2)/25)*Calculateur!DW203*Calculateur!DY203*VLOOKUP('Données projet'!$B$14,Paramètres!$A$1:$I$89,3,0)*0.475*44/12</f>
        <v>0.12458728994418047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2.2567965361117146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1.1368683772161603E-13</v>
      </c>
      <c r="EK203" s="18">
        <f>EJ203*VLOOKUP('Données projet'!$B$15,Paramètres!$A$1:$I$89,3,0)*VLOOKUP('Données projet'!$B$15,Paramètres!$A$1:$I$89,5,0)</f>
        <v>1.0995790944434703E-13</v>
      </c>
      <c r="EL203" s="14">
        <f t="shared" si="179"/>
        <v>1.6337280948049956E-12</v>
      </c>
      <c r="EM203" s="22">
        <f t="shared" si="180"/>
        <v>3.036919790734272E-12</v>
      </c>
      <c r="EN203" s="62">
        <f t="shared" si="198"/>
        <v>289.37053070682549</v>
      </c>
      <c r="EO203" s="62">
        <f ca="1">AVERAGE(OFFSET($EN$3,0,0,'Données projet'!$E$15+1,1))-AVERAGE(OFFSET($H$3,0,0,'Données projet'!$E$15+1,1))</f>
        <v>452.74627739105745</v>
      </c>
      <c r="EP203" s="62">
        <f t="shared" si="210"/>
        <v>281.80695725575106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1.1368683772161603E-13</v>
      </c>
      <c r="FF203" s="18">
        <f>FE203*VLOOKUP('Données projet'!$B$16,Paramètres!$A$1:$I$89,3,0)*VLOOKUP('Données projet'!$B$16,Paramètres!$A$1:$I$89,5,0)</f>
        <v>1.223725121235475E-13</v>
      </c>
      <c r="FG203" s="14">
        <f t="shared" si="182"/>
        <v>1.7956824466038182E-12</v>
      </c>
      <c r="FH203" s="22">
        <f t="shared" si="183"/>
        <v>3.3406123864501612E-12</v>
      </c>
      <c r="FI203" s="62">
        <f t="shared" si="199"/>
        <v>289.37053070682583</v>
      </c>
      <c r="FJ203" s="62">
        <f ca="1">AVERAGE(OFFSET($FI$3,0,0,'Données projet'!$E$16+1,1))-AVERAGE(OFFSET($H$3,0,0,'Données projet'!$E$16+1,1))</f>
        <v>492.72391755143508</v>
      </c>
      <c r="FK203" s="62">
        <f t="shared" si="211"/>
        <v>304.88554179994355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68.919235647315219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2.0243974584998852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>
        <f>EXP(LN('Données projet'!B88)/'Données projet'!A88)</f>
        <v>1.4749438547769935</v>
      </c>
      <c r="BV205" s="88">
        <f>EXP(LN('Données projet'!B114)/'Données projet'!A114)</f>
        <v>1.3847138327490534</v>
      </c>
      <c r="CQ205" s="88">
        <f>EXP(LN('Données projet'!B140)/'Données projet'!A140)</f>
        <v>1.3847138327490534</v>
      </c>
      <c r="DL205" s="88">
        <f>EXP(LN('Données projet'!B166)/'Données projet'!A166)</f>
        <v>1.3983880916683011</v>
      </c>
      <c r="EG205" s="88">
        <f>EXP(LN('Données projet'!B192)/'Données projet'!A192)</f>
        <v>1.185906184594963</v>
      </c>
      <c r="FB205" s="88">
        <f>EXP(LN('Données projet'!B218)/'Données projet'!A218)</f>
        <v>1.185906184594963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43" workbookViewId="0">
      <selection activeCell="C51" sqref="C51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R17" sqref="R17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Robinier faux-acacia</v>
      </c>
      <c r="B6" s="155">
        <f>'Données projet'!D9</f>
        <v>1.54</v>
      </c>
      <c r="C6" s="156">
        <f ca="1">IF(OR('Données projet'!B9="",'Données projet'!C9="",'Données projet'!C9=0%),0,Calculateur!S3)</f>
        <v>388.8309693898596</v>
      </c>
      <c r="D6" s="156">
        <f>IF(OR('Données projet'!B9="",'Données projet'!C9="",'Données projet'!C9=0%),0,Calculateur!T3)</f>
        <v>549.06702041234382</v>
      </c>
      <c r="E6" s="156">
        <f ca="1">MIN(C6,D6)</f>
        <v>388.8309693898596</v>
      </c>
      <c r="F6" s="156">
        <f ca="1">E6*B6</f>
        <v>598.79969286038386</v>
      </c>
      <c r="G6" s="156">
        <f ca="1">F6*(100%-'Données projet'!$C$24)*(100%-'Données projet'!$C$25)*(100%-'Données projet'!$C$26)*(100%-'Données projet'!$C$27)</f>
        <v>538.91972357434554</v>
      </c>
      <c r="H6" s="157">
        <f>IF(OR('Données projet'!B9="",'Données projet'!C9="",'Données projet'!C9=0%),0,AVERAGE(Calculateur!$AC$3:$AC$33)*B6)</f>
        <v>4.1939038347566484</v>
      </c>
      <c r="I6" s="158">
        <f>H6*(100%-'Données projet'!$C$24)*(100%-'Données projet'!$C$25)*(100%-'Données projet'!$C$26)*(100%-'Données projet'!$C$27)</f>
        <v>3.7745134512809835</v>
      </c>
      <c r="J6" s="159">
        <f>IF(OR('Données projet'!B9="",'Données projet'!C9="",'Données projet'!C9=0%),0,SUM(Calculateur!$V$3:$V$33)*VLOOKUP('Données projet'!$B$9,Paramètres!$A$1:$I$89,9,0)*B6)</f>
        <v>38.5</v>
      </c>
      <c r="K6" s="160">
        <f>J6*(100%-'Données projet'!$C$24)*(100%-'Données projet'!$C$25)*(100%-'Données projet'!$C$26)*(100%-'Données projet'!$C$27)</f>
        <v>34.65</v>
      </c>
      <c r="L6" s="161">
        <f ca="1">G6+I6+K6</f>
        <v>577.34423702562651</v>
      </c>
      <c r="M6" s="25">
        <f ca="1">L6/B6</f>
        <v>374.89885521144578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1.5</v>
      </c>
      <c r="C7" s="156">
        <f ca="1">IF(OR('Données projet'!B10="",'Données projet'!C10="",'Données projet'!C10=0%),0,Calculateur!AN3)</f>
        <v>197.85998851681552</v>
      </c>
      <c r="D7" s="156">
        <f>IF(OR('Données projet'!B10="",'Données projet'!C10="",'Données projet'!C10=0%),0,Calculateur!AO3)</f>
        <v>474.54844785896239</v>
      </c>
      <c r="E7" s="156">
        <f t="shared" ref="E7:E15" ca="1" si="0">MIN(C7,D7)</f>
        <v>197.85998851681552</v>
      </c>
      <c r="F7" s="156">
        <f t="shared" ref="F7:F15" ca="1" si="1">E7*B7</f>
        <v>296.78998277522328</v>
      </c>
      <c r="G7" s="156">
        <f ca="1">F7*(100%-'Données projet'!$C$24)*(100%-'Données projet'!$C$25)*(100%-'Données projet'!$C$26)*(100%-'Données projet'!$C$27)</f>
        <v>267.11098449770094</v>
      </c>
      <c r="H7" s="164">
        <f>IF(OR('Données projet'!B10="",'Données projet'!C10="",'Données projet'!C10=0%),0,AVERAGE(Calculateur!$AX$3:$AX$33)*B7)</f>
        <v>22.549616938379732</v>
      </c>
      <c r="I7" s="158">
        <f>H7*(100%-'Données projet'!$C$24)*(100%-'Données projet'!$C$25)*(100%-'Données projet'!$C$26)*(100%-'Données projet'!$C$27)</f>
        <v>20.294655244541758</v>
      </c>
      <c r="J7" s="159">
        <f>IF(OR('Données projet'!B10="",'Données projet'!C10="",'Données projet'!C10=0%),0,SUM(Calculateur!$AQ$3:$AQ$33)*VLOOKUP('Données projet'!$B$10,Paramètres!$A$1:$I$89,9,0)*B7)</f>
        <v>391.16999999999996</v>
      </c>
      <c r="K7" s="160">
        <f>J7*(100%-'Données projet'!$C$24)*(100%-'Données projet'!$C$25)*(100%-'Données projet'!$C$26)*(100%-'Données projet'!$C$27)</f>
        <v>352.053</v>
      </c>
      <c r="L7" s="161">
        <f t="shared" ref="L7:L15" ca="1" si="2">G7+I7+K7</f>
        <v>639.45863974224267</v>
      </c>
      <c r="M7" s="25">
        <f ca="1">L7/B7</f>
        <v>426.3057598281618</v>
      </c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Pin taeda</v>
      </c>
      <c r="B8" s="163">
        <f>'Données projet'!D11</f>
        <v>1.7000000000000002</v>
      </c>
      <c r="C8" s="156">
        <f ca="1">IF(OR('Données projet'!B11="",'Données projet'!C11="",'Données projet'!C11=0%),0,Calculateur!BI3)</f>
        <v>197.85998851681552</v>
      </c>
      <c r="D8" s="156">
        <f>IF(OR('Données projet'!B11="",'Données projet'!C11="",'Données projet'!C11=0%),0,Calculateur!BJ3)</f>
        <v>474.54844785896239</v>
      </c>
      <c r="E8" s="156">
        <f t="shared" ca="1" si="0"/>
        <v>197.85998851681552</v>
      </c>
      <c r="F8" s="156">
        <f t="shared" ca="1" si="1"/>
        <v>336.36198047858642</v>
      </c>
      <c r="G8" s="156">
        <f ca="1">F8*(100%-'Données projet'!$C$24)*(100%-'Données projet'!$C$25)*(100%-'Données projet'!$C$26)*(100%-'Données projet'!$C$27)</f>
        <v>302.7257824307278</v>
      </c>
      <c r="H8" s="164">
        <f>IF(OR('Données projet'!B11="",'Données projet'!C11="",'Données projet'!C11=0%),0,AVERAGE(Calculateur!$BS$3:$BS$33)*B8)</f>
        <v>25.556232530163697</v>
      </c>
      <c r="I8" s="158">
        <f>H8*(100%-'Données projet'!$C$24)*(100%-'Données projet'!$C$25)*(100%-'Données projet'!$C$26)*(100%-'Données projet'!$C$27)</f>
        <v>23.00060927714733</v>
      </c>
      <c r="J8" s="159">
        <f>IF(OR('Données projet'!B11="",'Données projet'!C11="",'Données projet'!C11=0%),0,SUM(Calculateur!$BL$3:$BL$33)*VLOOKUP('Données projet'!$B$11,Paramètres!$A$1:$I$89,9,0)*B8)</f>
        <v>323.10200000000003</v>
      </c>
      <c r="K8" s="160">
        <f>J8*(100%-'Données projet'!$C$24)*(100%-'Données projet'!$C$25)*(100%-'Données projet'!$C$26)*(100%-'Données projet'!$C$27)</f>
        <v>290.79180000000002</v>
      </c>
      <c r="L8" s="161">
        <f t="shared" ca="1" si="2"/>
        <v>616.51819170787508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Peuplier Lambro</v>
      </c>
      <c r="B9" s="163">
        <f>'Données projet'!D12</f>
        <v>1.59</v>
      </c>
      <c r="C9" s="156">
        <f ca="1">IF(OR('Données projet'!B12="",'Données projet'!C12="",'Données projet'!C12=0%),0,Calculateur!CD3)</f>
        <v>72.97248599808384</v>
      </c>
      <c r="D9" s="156">
        <f>IF(OR('Données projet'!B12="",'Données projet'!C12="",'Données projet'!C12=0%),0,Calculateur!CE3)</f>
        <v>346.88163654003574</v>
      </c>
      <c r="E9" s="156">
        <f t="shared" ca="1" si="0"/>
        <v>72.97248599808384</v>
      </c>
      <c r="F9" s="156">
        <f t="shared" ca="1" si="1"/>
        <v>116.02625273695331</v>
      </c>
      <c r="G9" s="156">
        <f ca="1">F9*(100%-'Données projet'!$C$24)*(100%-'Données projet'!$C$25)*(100%-'Données projet'!$C$26)*(100%-'Données projet'!$C$27)</f>
        <v>104.42362746325799</v>
      </c>
      <c r="H9" s="164">
        <f>IF(OR('Données projet'!B12="",'Données projet'!C12="",'Données projet'!C12=0%),0,AVERAGE(Calculateur!$CN$3:$CN$33)*B9)</f>
        <v>58.914653156304674</v>
      </c>
      <c r="I9" s="158">
        <f>H9*(100%-'Données projet'!$C$24)*(100%-'Données projet'!$C$25)*(100%-'Données projet'!$C$26)*(100%-'Données projet'!$C$27)</f>
        <v>53.023187840674204</v>
      </c>
      <c r="J9" s="159">
        <f>IF(OR('Données projet'!B12="",'Données projet'!C12="",'Données projet'!C12=0%),0,SUM(Calculateur!$CG$3:$CG$33)*VLOOKUP('Données projet'!$B$12,Paramètres!$A$1:$I$89,9,0)*B9)</f>
        <v>414.33810000000005</v>
      </c>
      <c r="K9" s="160">
        <f>J9*(100%-'Données projet'!$C$24)*(100%-'Données projet'!$C$25)*(100%-'Données projet'!$C$26)*(100%-'Données projet'!$C$27)</f>
        <v>372.90429000000006</v>
      </c>
      <c r="L9" s="161">
        <f t="shared" ca="1" si="2"/>
        <v>530.35110530393229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Peuplier Koster</v>
      </c>
      <c r="B10" s="163">
        <f>'Données projet'!D13</f>
        <v>1.57</v>
      </c>
      <c r="C10" s="156">
        <f ca="1">IF(OR('Données projet'!B13="",'Données projet'!C13="",'Données projet'!C13=0%),0,Calculateur!CY3)</f>
        <v>67.303283896086128</v>
      </c>
      <c r="D10" s="156">
        <f>IF(OR('Données projet'!B13="",'Données projet'!C13="",'Données projet'!C13=0%),0,Calculateur!CZ3)</f>
        <v>318.97925671653547</v>
      </c>
      <c r="E10" s="156">
        <f t="shared" ca="1" si="0"/>
        <v>67.303283896086128</v>
      </c>
      <c r="F10" s="156">
        <f t="shared" ca="1" si="1"/>
        <v>105.66615571685523</v>
      </c>
      <c r="G10" s="156">
        <f ca="1">F10*(100%-'Données projet'!$C$24)*(100%-'Données projet'!$C$25)*(100%-'Données projet'!$C$26)*(100%-'Données projet'!$C$27)</f>
        <v>95.099540145169712</v>
      </c>
      <c r="H10" s="164">
        <f>IF(OR('Données projet'!B13="",'Données projet'!C13="",'Données projet'!C13=0%),0,AVERAGE(Calculateur!$DI$3:$DI$33)*B10)</f>
        <v>52.826155425552905</v>
      </c>
      <c r="I10" s="158">
        <f>H10*(100%-'Données projet'!$C$24)*(100%-'Données projet'!$C$25)*(100%-'Données projet'!$C$26)*(100%-'Données projet'!$C$27)</f>
        <v>47.543539882997614</v>
      </c>
      <c r="J10" s="159">
        <f>IF(OR('Données projet'!B13="",'Données projet'!C13="",'Données projet'!C13=0%),0,SUM(Calculateur!$DB$3:$DB$33)*VLOOKUP('Données projet'!$B$13,Paramètres!$A$1:$I$89,9,0)*B10)</f>
        <v>409.12630000000007</v>
      </c>
      <c r="K10" s="160">
        <f>J10*(100%-'Données projet'!$C$24)*(100%-'Données projet'!$C$25)*(100%-'Données projet'!$C$26)*(100%-'Données projet'!$C$27)</f>
        <v>368.21367000000009</v>
      </c>
      <c r="L10" s="161">
        <f t="shared" ca="1" si="2"/>
        <v>510.85675002816743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>Peuplier Raspalje</v>
      </c>
      <c r="B11" s="163">
        <f>'Données projet'!D14</f>
        <v>1.6800000000000002</v>
      </c>
      <c r="C11" s="156">
        <f ca="1">IF(OR('Données projet'!B14="",'Données projet'!C14="",'Données projet'!C14=0%),0,Calculateur!DT3)</f>
        <v>75.244137291704476</v>
      </c>
      <c r="D11" s="156">
        <f>IF(OR('Données projet'!B14="",'Données projet'!C14="",'Données projet'!C14=0%),0,Calculateur!DU3)</f>
        <v>366.065475656937</v>
      </c>
      <c r="E11" s="156">
        <f t="shared" ca="1" si="0"/>
        <v>75.244137291704476</v>
      </c>
      <c r="F11" s="156">
        <f t="shared" ca="1" si="1"/>
        <v>126.41015065006353</v>
      </c>
      <c r="G11" s="156">
        <f ca="1">F11*(100%-'Données projet'!$C$24)*(100%-'Données projet'!$C$25)*(100%-'Données projet'!$C$26)*(100%-'Données projet'!$C$27)</f>
        <v>113.76913558505717</v>
      </c>
      <c r="H11" s="164">
        <f>IF(OR('Données projet'!B14="",'Données projet'!C14="",'Données projet'!C14=0%),0,AVERAGE(Calculateur!$ED$3:$ED$33)*B11)</f>
        <v>66.19028080567854</v>
      </c>
      <c r="I11" s="158">
        <f>H11*(100%-'Données projet'!$C$24)*(100%-'Données projet'!$C$25)*(100%-'Données projet'!$C$26)*(100%-'Données projet'!$C$27)</f>
        <v>59.571252725110689</v>
      </c>
      <c r="J11" s="159">
        <f>IF(OR('Données projet'!B14="",'Données projet'!C14="",'Données projet'!C14=0%),0,SUM(Calculateur!$DW$3:$DW$33)*VLOOKUP('Données projet'!$B$14,Paramètres!$A$1:$I$89,9,0)*B11)</f>
        <v>517.38960000000009</v>
      </c>
      <c r="K11" s="160">
        <f>J11*(100%-'Données projet'!$C$24)*(100%-'Données projet'!$C$25)*(100%-'Données projet'!$C$26)*(100%-'Données projet'!$C$27)</f>
        <v>465.65064000000007</v>
      </c>
      <c r="L11" s="161">
        <f t="shared" ca="1" si="2"/>
        <v>638.99102831016796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>alisier torminal</v>
      </c>
      <c r="B12" s="163">
        <f>'Données projet'!D15</f>
        <v>0.14000000000000001</v>
      </c>
      <c r="C12" s="156">
        <f ca="1">IF(OR('Données projet'!B15="",'Données projet'!C15="",'Données projet'!C15=0%),0,Calculateur!EO3)</f>
        <v>452.74627739105745</v>
      </c>
      <c r="D12" s="156">
        <f>IF(OR('Données projet'!B15="",'Données projet'!C15="",'Données projet'!C15=0%),0,Calculateur!EP3)</f>
        <v>281.80695725575106</v>
      </c>
      <c r="E12" s="156">
        <f t="shared" ca="1" si="0"/>
        <v>281.80695725575106</v>
      </c>
      <c r="F12" s="156">
        <f t="shared" ca="1" si="1"/>
        <v>39.452974015805154</v>
      </c>
      <c r="G12" s="156">
        <f ca="1">F12*(100%-'Données projet'!$C$24)*(100%-'Données projet'!$C$25)*(100%-'Données projet'!$C$26)*(100%-'Données projet'!$C$27)</f>
        <v>35.507676614224643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1.0150000000000001</v>
      </c>
      <c r="K12" s="160">
        <f>J12*(100%-'Données projet'!$C$24)*(100%-'Données projet'!$C$25)*(100%-'Données projet'!$C$26)*(100%-'Données projet'!$C$27)</f>
        <v>0.91350000000000009</v>
      </c>
      <c r="L12" s="161">
        <f t="shared" ca="1" si="2"/>
        <v>36.421176614224642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>cormier</v>
      </c>
      <c r="B13" s="163">
        <f>'Données projet'!D16</f>
        <v>0.1</v>
      </c>
      <c r="C13" s="156">
        <f ca="1">IF(OR('Données projet'!B16="",'Données projet'!C16="",'Données projet'!C16=0%),0,Calculateur!FJ3)</f>
        <v>492.72391755143508</v>
      </c>
      <c r="D13" s="156">
        <f>IF(OR('Données projet'!B16="",'Données projet'!C16="",'Données projet'!C16=0%),0,Calculateur!FK3)</f>
        <v>304.88554179994355</v>
      </c>
      <c r="E13" s="156">
        <f t="shared" ca="1" si="0"/>
        <v>304.88554179994355</v>
      </c>
      <c r="F13" s="156">
        <f t="shared" ca="1" si="1"/>
        <v>30.488554179994356</v>
      </c>
      <c r="G13" s="156">
        <f ca="1">F13*(100%-'Données projet'!$C$24)*(100%-'Données projet'!$C$25)*(100%-'Données projet'!$C$26)*(100%-'Données projet'!$C$27)</f>
        <v>27.439698761994922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0.72500000000000009</v>
      </c>
      <c r="K13" s="160">
        <f>J13*(100%-'Données projet'!$C$24)*(100%-'Données projet'!$C$25)*(100%-'Données projet'!$C$26)*(100%-'Données projet'!$C$27)</f>
        <v>0.65250000000000008</v>
      </c>
      <c r="L13" s="161">
        <f t="shared" ca="1" si="2"/>
        <v>28.092198761994922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1649.9957434138651</v>
      </c>
      <c r="G16" s="175">
        <f t="shared" ca="1" si="3"/>
        <v>1484.996169072479</v>
      </c>
      <c r="H16" s="176">
        <f t="shared" si="3"/>
        <v>230.2308426908362</v>
      </c>
      <c r="I16" s="176">
        <f t="shared" si="3"/>
        <v>207.20775842175257</v>
      </c>
      <c r="J16" s="177">
        <f t="shared" si="3"/>
        <v>2095.366</v>
      </c>
      <c r="K16" s="177">
        <f t="shared" si="3"/>
        <v>1885.8294000000001</v>
      </c>
      <c r="L16" s="178">
        <f t="shared" ca="1" si="3"/>
        <v>3578.0333274942318</v>
      </c>
      <c r="M16" s="25">
        <f ca="1">L16/6.42</f>
        <v>557.32606347262174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Robinier faux-acacia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Pin taeda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Peuplier Lambro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Peuplier Koster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>Peuplier Raspalje</v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>alisier torminal</v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>cormier</v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K7" zoomScale="90" zoomScaleNormal="90" workbookViewId="0">
      <selection activeCell="G224" sqref="G224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Robinier faux-acacia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1117.9063162947593</v>
      </c>
      <c r="U10" s="190">
        <f>'Données projet'!D9</f>
        <v>1.54</v>
      </c>
      <c r="V10" s="189">
        <f>U10*T10</f>
        <v>1721.5757270939293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4651.2612746486393</v>
      </c>
      <c r="U11" s="190">
        <f>'Données projet'!D10</f>
        <v>1.5</v>
      </c>
      <c r="V11" s="189">
        <f t="shared" ref="V11" si="0">U11*T11</f>
        <v>6976.891911972959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Pin taeda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5058.1929661314907</v>
      </c>
      <c r="U12" s="190">
        <f>'Données projet'!D11</f>
        <v>1.7000000000000002</v>
      </c>
      <c r="V12" s="189">
        <f t="shared" ref="V12:V19" si="1">U12*T12</f>
        <v>8598.9280424235349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Peuplier Lambro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5985.681275881474</v>
      </c>
      <c r="U13" s="190">
        <f>'Données projet'!D12</f>
        <v>1.59</v>
      </c>
      <c r="V13" s="189">
        <f t="shared" si="1"/>
        <v>9517.2332286515448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Robinier faux-acacia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Peuplier Koster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5985.681275881474</v>
      </c>
      <c r="U14" s="190">
        <f>'Données projet'!D13</f>
        <v>1.57</v>
      </c>
      <c r="V14" s="189">
        <f t="shared" si="1"/>
        <v>9397.5196031339146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>Peuplier Raspalje</v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7073.986962405379</v>
      </c>
      <c r="U15" s="190">
        <f>'Données projet'!D14</f>
        <v>1.6800000000000002</v>
      </c>
      <c r="V15" s="189">
        <f t="shared" si="1"/>
        <v>11884.298096841037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>alisier torminal</v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0.14000000000000001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>cormier</v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0.1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f>(1600+23824)/9.58</f>
        <v>2653.8622129436326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6904/9.58</f>
        <v>720.66805845511476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f>5001/9.58</f>
        <v>522.02505219206682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5</v>
      </c>
      <c r="B23" s="193">
        <f>'Données projet'!D36</f>
        <v>6</v>
      </c>
      <c r="C23" s="292">
        <v>8</v>
      </c>
      <c r="D23" s="194">
        <f>B23*C23</f>
        <v>48</v>
      </c>
      <c r="E23" s="206"/>
      <c r="F23" s="261"/>
      <c r="H23" s="203">
        <v>3</v>
      </c>
      <c r="I23" s="204">
        <f>3965/9.58</f>
        <v>413.8830897703549</v>
      </c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6254.2962073933741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10</v>
      </c>
      <c r="B24" s="193">
        <f>'Données projet'!D37</f>
        <v>28</v>
      </c>
      <c r="C24" s="292">
        <v>8</v>
      </c>
      <c r="D24" s="194">
        <f t="shared" ref="D24:D42" si="2">B24*C24</f>
        <v>224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76878.508179037657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15</v>
      </c>
      <c r="B25" s="193">
        <f>'Données projet'!D38</f>
        <v>23</v>
      </c>
      <c r="C25" s="292">
        <v>9</v>
      </c>
      <c r="D25" s="194">
        <f t="shared" si="2"/>
        <v>207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605</v>
      </c>
      <c r="Q25" s="265"/>
      <c r="R25" s="25"/>
      <c r="S25" s="198" t="s">
        <v>266</v>
      </c>
      <c r="T25" s="342">
        <f ca="1">T23-T24</f>
        <v>-70624.211971644283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20</v>
      </c>
      <c r="B26" s="193">
        <f>'Données projet'!D39</f>
        <v>18</v>
      </c>
      <c r="C26" s="292">
        <v>12</v>
      </c>
      <c r="D26" s="194">
        <f t="shared" si="2"/>
        <v>216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25</v>
      </c>
      <c r="B27" s="193">
        <f>'Données projet'!D40</f>
        <v>14</v>
      </c>
      <c r="C27" s="292">
        <v>12</v>
      </c>
      <c r="D27" s="194">
        <f t="shared" si="2"/>
        <v>168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30</v>
      </c>
      <c r="B28" s="193">
        <f>'Données projet'!D41</f>
        <v>11</v>
      </c>
      <c r="C28" s="292">
        <v>13</v>
      </c>
      <c r="D28" s="194">
        <f t="shared" si="2"/>
        <v>143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35</v>
      </c>
      <c r="B29" s="193">
        <f>'Données projet'!D42</f>
        <v>9</v>
      </c>
      <c r="C29" s="292">
        <v>13</v>
      </c>
      <c r="D29" s="194">
        <f t="shared" si="2"/>
        <v>117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40</v>
      </c>
      <c r="B30" s="193">
        <f>'Données projet'!D43</f>
        <v>7</v>
      </c>
      <c r="C30" s="292">
        <v>14</v>
      </c>
      <c r="D30" s="194">
        <f t="shared" si="2"/>
        <v>98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7687.8508179037653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45</v>
      </c>
      <c r="B31" s="193">
        <f>'Données projet'!D44</f>
        <v>312</v>
      </c>
      <c r="C31" s="292">
        <v>14</v>
      </c>
      <c r="D31" s="194">
        <f t="shared" si="2"/>
        <v>4368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605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578.94736842105272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554.01662049861511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530.1594454532202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507.32961287389503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485.48288313291391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464.57692165829093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444.57121689788602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425.42700181615902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407.10717877144401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389.57624762817619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372.80023696476189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356.74663824379138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341.38434281702519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326.68358164308643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312.61586760103961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299.15394028807629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286.27171319433137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 t="str">
        <f>IF(O50+1&lt;=MIN('Données projet'!$E$9:$E$18),O50+1,"STOP")</f>
        <v>STOP</v>
      </c>
      <c r="P51" s="197" t="e">
        <f t="shared" si="3"/>
        <v>#VALUE!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 t="e">
        <f>IF(O51+1&lt;=MIN('Données projet'!$E$9:$E$18),O51+1,"STOP")</f>
        <v>#VALUE!</v>
      </c>
      <c r="P52" s="197" t="e">
        <f t="shared" si="3"/>
        <v>#VALUE!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 t="e">
        <f>IF(O52+1&lt;=MIN('Données projet'!$E$9:$E$18),O52+1,"STOP")</f>
        <v>#VALUE!</v>
      </c>
      <c r="P53" s="197" t="e">
        <f t="shared" si="3"/>
        <v>#VALUE!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92">
        <v>15</v>
      </c>
      <c r="D54" s="191">
        <f>B54*C54</f>
        <v>510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 t="e">
        <f>IF(O53+1&lt;=MIN('Données projet'!$E$9:$E$18),O53+1,"STOP")</f>
        <v>#VALUE!</v>
      </c>
      <c r="P54" s="197" t="e">
        <f t="shared" si="3"/>
        <v>#VALUE!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92">
        <v>20</v>
      </c>
      <c r="D55" s="191">
        <f t="shared" ref="D55:D73" si="4">B55*C55</f>
        <v>860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 t="e">
        <f>IF(O54+1&lt;=MIN('Données projet'!$E$9:$E$18),O54+1,"STOP")</f>
        <v>#VALUE!</v>
      </c>
      <c r="P55" s="197" t="e">
        <f t="shared" si="3"/>
        <v>#VALUE!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92">
        <v>30</v>
      </c>
      <c r="D56" s="191">
        <f t="shared" si="4"/>
        <v>1680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 t="e">
        <f>IF(O55+1&lt;=MIN('Données projet'!$E$9:$E$18),O55+1,"STOP")</f>
        <v>#VALUE!</v>
      </c>
      <c r="P56" s="197" t="e">
        <f t="shared" si="3"/>
        <v>#VALUE!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92">
        <v>45</v>
      </c>
      <c r="D57" s="191">
        <f t="shared" si="4"/>
        <v>13905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 t="e">
        <f>IF(O56+1&lt;=MIN('Données projet'!$E$9:$E$18),O56+1,"STOP")</f>
        <v>#VALUE!</v>
      </c>
      <c r="P57" s="197" t="e">
        <f t="shared" si="3"/>
        <v>#VALUE!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 t="e">
        <f>IF(O57+1&lt;=MIN('Données projet'!$E$9:$E$18),O57+1,"STOP")</f>
        <v>#VALUE!</v>
      </c>
      <c r="P58" s="197" t="e">
        <f t="shared" si="3"/>
        <v>#VALUE!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e">
        <f>IF(O58+1&lt;=MIN('Données projet'!$E$9:$E$18),O58+1,"STOP")</f>
        <v>#VALUE!</v>
      </c>
      <c r="P59" s="197" t="e">
        <f t="shared" si="3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3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3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3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3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Pin taeda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12</v>
      </c>
      <c r="B85" s="193">
        <f>'Données projet'!D88</f>
        <v>34</v>
      </c>
      <c r="C85" s="292">
        <v>15</v>
      </c>
      <c r="D85" s="191">
        <f>B85*C85</f>
        <v>510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17</v>
      </c>
      <c r="B86" s="193">
        <f>'Données projet'!D89</f>
        <v>43</v>
      </c>
      <c r="C86" s="292">
        <v>20</v>
      </c>
      <c r="D86" s="191">
        <f t="shared" ref="D86:D104" si="6">B86*C86</f>
        <v>860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22</v>
      </c>
      <c r="B87" s="193">
        <f>'Données projet'!D90</f>
        <v>56</v>
      </c>
      <c r="C87" s="292">
        <v>30</v>
      </c>
      <c r="D87" s="191">
        <f t="shared" si="6"/>
        <v>1680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30</v>
      </c>
      <c r="B88" s="193">
        <f>'Données projet'!D91</f>
        <v>309</v>
      </c>
      <c r="C88" s="292">
        <v>45</v>
      </c>
      <c r="D88" s="191">
        <f t="shared" si="6"/>
        <v>13905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Peuplier Lambro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17</v>
      </c>
      <c r="B116" s="193">
        <f>'Données projet'!D114</f>
        <v>253</v>
      </c>
      <c r="C116" s="204">
        <v>50</v>
      </c>
      <c r="D116" s="191">
        <f>B116*C116</f>
        <v>12650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Peuplier Koster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17</v>
      </c>
      <c r="B147" s="187">
        <f>'Données projet'!D140</f>
        <v>253</v>
      </c>
      <c r="C147" s="204">
        <v>50</v>
      </c>
      <c r="D147" s="194">
        <f>B147*C147</f>
        <v>12650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>Peuplier Raspalje</v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17</v>
      </c>
      <c r="B178" s="193">
        <f>'Données projet'!D166</f>
        <v>299</v>
      </c>
      <c r="C178" s="206">
        <v>50</v>
      </c>
      <c r="D178" s="191">
        <f>B178*C178</f>
        <v>14950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>alisier torminal</v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25</v>
      </c>
      <c r="B209" s="193">
        <f>'Données projet'!D192</f>
        <v>8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30</v>
      </c>
      <c r="B210" s="193">
        <f>'Données projet'!D193</f>
        <v>21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35</v>
      </c>
      <c r="B211" s="193">
        <f>'Données projet'!D194</f>
        <v>21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40</v>
      </c>
      <c r="B212" s="193">
        <f>'Données projet'!D195</f>
        <v>21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45</v>
      </c>
      <c r="B213" s="193">
        <f>'Données projet'!D196</f>
        <v>21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50</v>
      </c>
      <c r="B214" s="193">
        <f>'Données projet'!D197</f>
        <v>21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55</v>
      </c>
      <c r="B215" s="193">
        <f>'Données projet'!D198</f>
        <v>21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60</v>
      </c>
      <c r="B216" s="193">
        <f>'Données projet'!D199</f>
        <v>21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65</v>
      </c>
      <c r="B217" s="193">
        <f>'Données projet'!D200</f>
        <v>21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70</v>
      </c>
      <c r="B218" s="193">
        <f>'Données projet'!D201</f>
        <v>21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75</v>
      </c>
      <c r="B219" s="193">
        <f>'Données projet'!D202</f>
        <v>21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80</v>
      </c>
      <c r="B220" s="193">
        <f>'Données projet'!D203</f>
        <v>21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85</v>
      </c>
      <c r="B221" s="193">
        <f>'Données projet'!D204</f>
        <v>21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90</v>
      </c>
      <c r="B222" s="193">
        <f>'Données projet'!D205</f>
        <v>21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95</v>
      </c>
      <c r="B223" s="193">
        <f>'Données projet'!D206</f>
        <v>21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100</v>
      </c>
      <c r="B224" s="193">
        <f>'Données projet'!D207</f>
        <v>21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105</v>
      </c>
      <c r="B225" s="193">
        <f>'Données projet'!D208</f>
        <v>20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110</v>
      </c>
      <c r="B226" s="193">
        <f>'Données projet'!D209</f>
        <v>19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115</v>
      </c>
      <c r="B227" s="193">
        <f>'Données projet'!D210</f>
        <v>18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120</v>
      </c>
      <c r="B228" s="193">
        <f>'Données projet'!D211</f>
        <v>284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>cormier</v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25</v>
      </c>
      <c r="B240" s="193">
        <f>'Données projet'!D218</f>
        <v>8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30</v>
      </c>
      <c r="B241" s="193">
        <f>'Données projet'!D219</f>
        <v>21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35</v>
      </c>
      <c r="B242" s="193">
        <f>'Données projet'!D220</f>
        <v>21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40</v>
      </c>
      <c r="B243" s="193">
        <f>'Données projet'!D221</f>
        <v>21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45</v>
      </c>
      <c r="B244" s="193">
        <f>'Données projet'!D222</f>
        <v>21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50</v>
      </c>
      <c r="B245" s="193">
        <f>'Données projet'!D223</f>
        <v>21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55</v>
      </c>
      <c r="B246" s="193">
        <f>'Données projet'!D224</f>
        <v>21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60</v>
      </c>
      <c r="B247" s="193">
        <f>'Données projet'!D225</f>
        <v>21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65</v>
      </c>
      <c r="B248" s="193">
        <f>'Données projet'!D226</f>
        <v>21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70</v>
      </c>
      <c r="B249" s="193">
        <f>'Données projet'!D227</f>
        <v>21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75</v>
      </c>
      <c r="B250" s="193">
        <f>'Données projet'!D228</f>
        <v>21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80</v>
      </c>
      <c r="B251" s="193">
        <f>'Données projet'!D229</f>
        <v>21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85</v>
      </c>
      <c r="B252" s="193">
        <f>'Données projet'!D230</f>
        <v>21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90</v>
      </c>
      <c r="B253" s="193">
        <f>'Données projet'!D231</f>
        <v>21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95</v>
      </c>
      <c r="B254" s="193">
        <f>'Données projet'!D232</f>
        <v>21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100</v>
      </c>
      <c r="B255" s="193">
        <f>'Données projet'!D233</f>
        <v>21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105</v>
      </c>
      <c r="B256" s="193">
        <f>'Données projet'!D234</f>
        <v>20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110</v>
      </c>
      <c r="B257" s="193">
        <f>'Données projet'!D235</f>
        <v>19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115</v>
      </c>
      <c r="B258" s="193">
        <f>'Données projet'!D236</f>
        <v>18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120</v>
      </c>
      <c r="B259" s="193">
        <f>'Données projet'!D237</f>
        <v>284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2025-06-02T12:35:22Z</dcterms:modified>
</cp:coreProperties>
</file>