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OUEST MASSIF CENTRAL (RDR)/2LEPI-123/Dossier octobre 2024/"/>
    </mc:Choice>
  </mc:AlternateContent>
  <xr:revisionPtr revIDLastSave="95" documentId="8_{E2C91358-49AC-49A5-A8AB-EA4A8CC09FA0}" xr6:coauthVersionLast="47" xr6:coauthVersionMax="47" xr10:uidLastSave="{28D9376E-040F-4A49-B474-A97A96B81AFE}"/>
  <bookViews>
    <workbookView xWindow="-108" yWindow="-108" windowWidth="23256" windowHeight="1245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6" l="1"/>
  <c r="U30" i="6"/>
  <c r="U33" i="6" s="1"/>
  <c r="E17" i="6"/>
  <c r="E172" i="6"/>
  <c r="E174" i="6" s="1"/>
  <c r="E175" i="6"/>
  <c r="E173" i="6"/>
  <c r="E141" i="6"/>
  <c r="E143" i="6" s="1"/>
  <c r="E144" i="6"/>
  <c r="E142" i="6"/>
  <c r="E110" i="6"/>
  <c r="E112" i="6" s="1"/>
  <c r="E79" i="6"/>
  <c r="E81" i="6"/>
  <c r="E113" i="6"/>
  <c r="E111" i="6"/>
  <c r="E82" i="6"/>
  <c r="E80" i="6"/>
  <c r="E48" i="6"/>
  <c r="E51" i="6"/>
  <c r="E49" i="6"/>
  <c r="E50" i="6"/>
  <c r="E20" i="6"/>
  <c r="E19" i="6"/>
  <c r="E18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ED158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B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DI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B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ED178" i="2" s="1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V179" i="2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DN137" i="2" a="1"/>
  <c r="DN137" i="2" s="1"/>
  <c r="DN115" i="2" a="1"/>
  <c r="DN115" i="2" s="1"/>
  <c r="CS116" i="2" a="1"/>
  <c r="CS116" i="2" s="1"/>
  <c r="EI195" i="2" a="1"/>
  <c r="EI195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56" i="2" a="1"/>
  <c r="CS56" i="2" s="1"/>
  <c r="DN70" i="2" a="1"/>
  <c r="DN70" i="2" s="1"/>
  <c r="DN65" i="2" a="1"/>
  <c r="DN65" i="2" s="1"/>
  <c r="DN6" i="2" a="1"/>
  <c r="DN6" i="2" s="1"/>
  <c r="DO6" i="2" s="1"/>
  <c r="CS24" i="2" a="1"/>
  <c r="CS24" i="2" s="1"/>
  <c r="CS72" i="2" a="1"/>
  <c r="CS72" i="2" s="1"/>
  <c r="HJ202" i="2"/>
  <c r="EY202" i="2"/>
  <c r="AX200" i="2"/>
  <c r="DN63" i="2" l="1" a="1"/>
  <c r="DN63" i="2" s="1"/>
  <c r="DN168" i="2" a="1"/>
  <c r="DN168" i="2" s="1"/>
  <c r="DN155" i="2" a="1"/>
  <c r="DN155" i="2" s="1"/>
  <c r="DN188" i="2" a="1"/>
  <c r="DN188" i="2" s="1"/>
  <c r="DN190" i="2" a="1"/>
  <c r="DN190" i="2" s="1"/>
  <c r="DN86" i="2" a="1"/>
  <c r="DN86" i="2" s="1"/>
  <c r="DN133" i="2" a="1"/>
  <c r="DN133" i="2" s="1"/>
  <c r="DN177" i="2" a="1"/>
  <c r="DN177" i="2" s="1"/>
  <c r="DN153" i="2" a="1"/>
  <c r="DN153" i="2" s="1"/>
  <c r="DN31" i="2" a="1"/>
  <c r="DN31" i="2" s="1"/>
  <c r="DN129" i="2" a="1"/>
  <c r="DN129" i="2" s="1"/>
  <c r="DN187" i="2" a="1"/>
  <c r="DN187" i="2" s="1"/>
  <c r="DN167" i="2" a="1"/>
  <c r="DN167" i="2" s="1"/>
  <c r="DN50" i="2" a="1"/>
  <c r="DN50" i="2" s="1"/>
  <c r="DN16" i="2" a="1"/>
  <c r="DN16" i="2" s="1"/>
  <c r="DN114" i="2" a="1"/>
  <c r="DN114" i="2" s="1"/>
  <c r="DN113" i="2" a="1"/>
  <c r="DN113" i="2" s="1"/>
  <c r="DN45" i="2" a="1"/>
  <c r="DN45" i="2" s="1"/>
  <c r="DN162" i="2" a="1"/>
  <c r="DN162" i="2" s="1"/>
  <c r="DN103" i="2" a="1"/>
  <c r="DN103" i="2" s="1"/>
  <c r="DN25" i="2" a="1"/>
  <c r="DN25" i="2" s="1"/>
  <c r="DN55" i="2" a="1"/>
  <c r="DN55" i="2" s="1"/>
  <c r="DN170" i="2" a="1"/>
  <c r="DN170" i="2" s="1"/>
  <c r="DN123" i="2" a="1"/>
  <c r="DN123" i="2" s="1"/>
  <c r="DN132" i="2" a="1"/>
  <c r="DN132" i="2" s="1"/>
  <c r="DN152" i="2" a="1"/>
  <c r="DN152" i="2" s="1"/>
  <c r="DN30" i="2" a="1"/>
  <c r="DN30" i="2" s="1"/>
  <c r="DN29" i="2" a="1"/>
  <c r="DN29" i="2" s="1"/>
  <c r="DN46" i="2" a="1"/>
  <c r="DN46" i="2" s="1"/>
  <c r="DN150" i="2" a="1"/>
  <c r="DN150" i="2" s="1"/>
  <c r="DN192" i="2" a="1"/>
  <c r="DN192" i="2" s="1"/>
  <c r="DN43" i="2" a="1"/>
  <c r="DN43" i="2" s="1"/>
  <c r="DN110" i="2" a="1"/>
  <c r="DN110" i="2" s="1"/>
  <c r="DN49" i="2" a="1"/>
  <c r="DN49" i="2" s="1"/>
  <c r="DN184" i="2" a="1"/>
  <c r="DN184" i="2" s="1"/>
  <c r="DN164" i="2" a="1"/>
  <c r="DN164" i="2" s="1"/>
  <c r="DN56" i="2" a="1"/>
  <c r="DN56" i="2" s="1"/>
  <c r="DN135" i="2" a="1"/>
  <c r="DN135" i="2" s="1"/>
  <c r="DN38" i="2" a="1"/>
  <c r="DN38" i="2" s="1"/>
  <c r="DN41" i="2" a="1"/>
  <c r="DN41" i="2" s="1"/>
  <c r="DN176" i="2" a="1"/>
  <c r="DN176" i="2" s="1"/>
  <c r="DN80" i="2" a="1"/>
  <c r="DN80" i="2" s="1"/>
  <c r="DN66" i="2" a="1"/>
  <c r="DN66" i="2" s="1"/>
  <c r="DN186" i="2" a="1"/>
  <c r="DN186" i="2" s="1"/>
  <c r="BX107" i="2" a="1"/>
  <c r="BX107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22" i="2" l="1"/>
  <c r="CY75" i="2"/>
  <c r="CY118" i="2"/>
  <c r="CY25" i="2"/>
  <c r="CY56" i="2"/>
  <c r="CY96" i="2"/>
  <c r="CY158" i="2"/>
  <c r="CY24" i="2"/>
  <c r="CY144" i="2"/>
  <c r="CY41" i="2"/>
  <c r="CY155" i="2"/>
  <c r="CY52" i="2"/>
  <c r="CY73" i="2"/>
  <c r="CY173" i="2"/>
  <c r="CY136" i="2"/>
  <c r="CY62" i="2"/>
  <c r="CY161" i="2"/>
  <c r="CY30" i="2"/>
  <c r="CY182" i="2"/>
  <c r="CY119" i="2"/>
  <c r="CY31" i="2"/>
  <c r="CY163" i="2"/>
  <c r="CY33" i="2"/>
  <c r="CY143" i="2"/>
  <c r="CY154" i="2"/>
  <c r="CY20" i="2"/>
  <c r="CY135" i="2"/>
  <c r="CY197" i="2"/>
  <c r="CY166" i="2"/>
  <c r="CY29" i="2"/>
  <c r="CY67" i="2"/>
  <c r="CY69" i="2"/>
  <c r="CY58" i="2"/>
  <c r="CY110" i="2"/>
  <c r="CY95" i="2"/>
  <c r="CY148" i="2"/>
  <c r="CY51" i="2"/>
  <c r="CY196" i="2"/>
  <c r="CY8" i="2"/>
  <c r="CY171" i="2"/>
  <c r="CY132" i="2"/>
  <c r="CY23" i="2"/>
  <c r="CY174" i="2"/>
  <c r="CY147" i="2"/>
  <c r="CY13" i="2"/>
  <c r="CY112" i="2"/>
  <c r="CY131" i="2"/>
  <c r="CY127" i="2"/>
  <c r="CY46" i="2"/>
  <c r="CY90" i="2"/>
  <c r="CY177" i="2"/>
  <c r="CY179" i="2"/>
  <c r="CY105" i="2"/>
  <c r="CY34" i="2"/>
  <c r="CY114" i="2"/>
  <c r="CY6" i="2"/>
  <c r="CY55" i="2"/>
  <c r="CY134" i="2"/>
  <c r="CY16" i="2"/>
  <c r="CY141" i="2"/>
  <c r="CY68" i="2"/>
  <c r="CY50" i="2"/>
  <c r="CY66" i="2"/>
  <c r="CY133" i="2"/>
  <c r="CY116" i="2"/>
  <c r="CY107" i="2"/>
  <c r="CY123" i="2"/>
  <c r="CY189" i="2"/>
  <c r="CY186" i="2"/>
  <c r="CY89" i="2"/>
  <c r="CY191" i="2"/>
  <c r="CY153" i="2"/>
  <c r="CY86" i="2"/>
  <c r="CY12" i="2"/>
  <c r="CY70" i="2"/>
  <c r="CY183" i="2"/>
  <c r="CY91" i="2"/>
  <c r="CY201" i="2"/>
  <c r="CY83" i="2"/>
  <c r="CY54" i="2"/>
  <c r="CY126" i="2"/>
  <c r="CY65" i="2"/>
  <c r="CY167" i="2"/>
  <c r="CY104" i="2"/>
  <c r="CY47" i="2"/>
  <c r="CY113" i="2"/>
  <c r="CY19" i="2"/>
  <c r="CY168" i="2"/>
  <c r="CY97" i="2"/>
  <c r="CY164" i="2"/>
  <c r="CY202" i="2"/>
  <c r="CY156" i="2"/>
  <c r="CY192" i="2"/>
  <c r="CY85" i="2"/>
  <c r="CY64" i="2"/>
  <c r="CY93" i="2"/>
  <c r="CY152" i="2"/>
  <c r="CY103" i="2"/>
  <c r="CY39" i="2"/>
  <c r="CY151" i="2"/>
  <c r="CY10" i="2"/>
  <c r="CY194" i="2"/>
  <c r="CY121" i="2"/>
  <c r="CY44" i="2"/>
  <c r="CY98" i="2"/>
  <c r="CY187" i="2"/>
  <c r="CY3" i="2"/>
  <c r="C10" i="4" s="1"/>
  <c r="E10" i="4" s="1"/>
  <c r="F10" i="4" s="1"/>
  <c r="G10" i="4" s="1"/>
  <c r="L10" i="4" s="1"/>
  <c r="CY72" i="2"/>
  <c r="CY169" i="2"/>
  <c r="CY102" i="2"/>
  <c r="CY32" i="2"/>
  <c r="CY57" i="2"/>
  <c r="CY128" i="2"/>
  <c r="CY142" i="2"/>
  <c r="CY145" i="2"/>
  <c r="CY17" i="2"/>
  <c r="CY149" i="2"/>
  <c r="CY37" i="2"/>
  <c r="CY122" i="2"/>
  <c r="CY130" i="2"/>
  <c r="CY59" i="2"/>
  <c r="CY138" i="2"/>
  <c r="CY49" i="2"/>
  <c r="CY63" i="2"/>
  <c r="CY60" i="2"/>
  <c r="CY21" i="2"/>
  <c r="CY78" i="2"/>
  <c r="CY79" i="2"/>
  <c r="CY193" i="2"/>
  <c r="CY9" i="2"/>
  <c r="CY175" i="2"/>
  <c r="CY61" i="2"/>
  <c r="CY170" i="2"/>
  <c r="CY198" i="2"/>
  <c r="CY124" i="2"/>
  <c r="CY137" i="2"/>
  <c r="CY115" i="2"/>
  <c r="CY106" i="2"/>
  <c r="CY43" i="2"/>
  <c r="CY7" i="2"/>
  <c r="CY101" i="2"/>
  <c r="CY74" i="2"/>
  <c r="CY111" i="2"/>
  <c r="CY88" i="2"/>
  <c r="CY108" i="2"/>
  <c r="CY40" i="2"/>
  <c r="CY76" i="2"/>
  <c r="CY84" i="2"/>
  <c r="CY172" i="2"/>
  <c r="CY15" i="2"/>
  <c r="CY109" i="2"/>
  <c r="CY100" i="2"/>
  <c r="CY14" i="2"/>
  <c r="CY82" i="2"/>
  <c r="CY42" i="2"/>
  <c r="CY99" i="2"/>
  <c r="CY38" i="2"/>
  <c r="CY188" i="2"/>
  <c r="CY178" i="2"/>
  <c r="CY181" i="2"/>
  <c r="CY165" i="2"/>
  <c r="CY35" i="2"/>
  <c r="CY140" i="2"/>
  <c r="CY48" i="2"/>
  <c r="CY185" i="2"/>
  <c r="CY94" i="2"/>
  <c r="CY200" i="2"/>
  <c r="CY4" i="2"/>
  <c r="CY199" i="2"/>
  <c r="CY162" i="2"/>
  <c r="CY120" i="2"/>
  <c r="CY28" i="2"/>
  <c r="CY117" i="2"/>
  <c r="CY5" i="2"/>
  <c r="CY190" i="2"/>
  <c r="CY26" i="2"/>
  <c r="CY71" i="2"/>
  <c r="CY45" i="2"/>
  <c r="CY36" i="2"/>
  <c r="CY81" i="2"/>
  <c r="CY18" i="2"/>
  <c r="CY80" i="2"/>
  <c r="CY11" i="2"/>
  <c r="CY150" i="2"/>
  <c r="CY27" i="2"/>
  <c r="CY159" i="2"/>
  <c r="CY129" i="2"/>
  <c r="CY87" i="2"/>
  <c r="CY180" i="2"/>
  <c r="CY125" i="2"/>
  <c r="CY157" i="2"/>
  <c r="CY77" i="2"/>
  <c r="CY160" i="2"/>
  <c r="CY184" i="2"/>
  <c r="CY92" i="2"/>
  <c r="CY195" i="2"/>
  <c r="CY53" i="2"/>
  <c r="CY176" i="2"/>
  <c r="CY139" i="2"/>
  <c r="CY146" i="2"/>
  <c r="CY203" i="2"/>
  <c r="DT67" i="2"/>
  <c r="DT21" i="2"/>
  <c r="DT186" i="2"/>
  <c r="DT70" i="2"/>
  <c r="DT69" i="2"/>
  <c r="DT33" i="2"/>
  <c r="DT35" i="2"/>
  <c r="DT133" i="2"/>
  <c r="DT54" i="2"/>
  <c r="DT48" i="2"/>
  <c r="DT96" i="2"/>
  <c r="DT107" i="2"/>
  <c r="DT191" i="2"/>
  <c r="DT88" i="2"/>
  <c r="DT31" i="2"/>
  <c r="DT156" i="2"/>
  <c r="DT10" i="2"/>
  <c r="DT6" i="2"/>
  <c r="DT100" i="2"/>
  <c r="DT108" i="2"/>
  <c r="DT74" i="2"/>
  <c r="DT39" i="2"/>
  <c r="DT59" i="2"/>
  <c r="DT89" i="2"/>
  <c r="DT195" i="2"/>
  <c r="DT71" i="2"/>
  <c r="DT180" i="2"/>
  <c r="DT166" i="2"/>
  <c r="DT99" i="2"/>
  <c r="DT79" i="2"/>
  <c r="DT85" i="2"/>
  <c r="DT150" i="2"/>
  <c r="DT168" i="2"/>
  <c r="DT141" i="2"/>
  <c r="DT162" i="2"/>
  <c r="DT125" i="2"/>
  <c r="DT143" i="2"/>
  <c r="DT105" i="2"/>
  <c r="DT26" i="2"/>
  <c r="DT142" i="2"/>
  <c r="DT77" i="2"/>
  <c r="DT45" i="2"/>
  <c r="DT136" i="2"/>
  <c r="DT38" i="2"/>
  <c r="DT56" i="2"/>
  <c r="DT153" i="2"/>
  <c r="DT185" i="2"/>
  <c r="DT131" i="2"/>
  <c r="DT146" i="2"/>
  <c r="DT158" i="2"/>
  <c r="DT40" i="2"/>
  <c r="DT178" i="2"/>
  <c r="DT34" i="2"/>
  <c r="DT30" i="2"/>
  <c r="DT41" i="2"/>
  <c r="DT147" i="2"/>
  <c r="DT112" i="2"/>
  <c r="DT114" i="2"/>
  <c r="DT46" i="2"/>
  <c r="DT15" i="2"/>
  <c r="DT176" i="2"/>
  <c r="DT61" i="2"/>
  <c r="DT7" i="2"/>
  <c r="DT152" i="2"/>
  <c r="DT12" i="2"/>
  <c r="DT75" i="2"/>
  <c r="DT110" i="2"/>
  <c r="DT22" i="2"/>
  <c r="DT123" i="2"/>
  <c r="DT124" i="2"/>
  <c r="DT139" i="2"/>
  <c r="DT101" i="2"/>
  <c r="DT27" i="2"/>
  <c r="DT65" i="2"/>
  <c r="DT179" i="2"/>
  <c r="DT23" i="2"/>
  <c r="DT181" i="2"/>
  <c r="DT172" i="2"/>
  <c r="DT50" i="2"/>
  <c r="DT18" i="2"/>
  <c r="DT116" i="2"/>
  <c r="DT199" i="2"/>
  <c r="DT167" i="2"/>
  <c r="DT24" i="2"/>
  <c r="DT63" i="2"/>
  <c r="DT171" i="2"/>
  <c r="DT78" i="2"/>
  <c r="DT80" i="2"/>
  <c r="DT57" i="2"/>
  <c r="DT29" i="2"/>
  <c r="DT102" i="2"/>
  <c r="DT135" i="2"/>
  <c r="DT129" i="2"/>
  <c r="DT164" i="2"/>
  <c r="DT119" i="2"/>
  <c r="DT159" i="2"/>
  <c r="DT183" i="2"/>
  <c r="DT202" i="2"/>
  <c r="DT87" i="2"/>
  <c r="DT121" i="2"/>
  <c r="DT68" i="2"/>
  <c r="DT104" i="2"/>
  <c r="DT109" i="2"/>
  <c r="DT165" i="2"/>
  <c r="DT140" i="2"/>
  <c r="DT8" i="2"/>
  <c r="DT66" i="2"/>
  <c r="DT83" i="2"/>
  <c r="DT103" i="2"/>
  <c r="DT16" i="2"/>
  <c r="DT118" i="2"/>
  <c r="DT163" i="2"/>
  <c r="DT201" i="2"/>
  <c r="DT14" i="2"/>
  <c r="DT134" i="2"/>
  <c r="DT93" i="2"/>
  <c r="DT62" i="2"/>
  <c r="DT113" i="2"/>
  <c r="DT189" i="2"/>
  <c r="DT130" i="2"/>
  <c r="DT5" i="2"/>
  <c r="DT128" i="2"/>
  <c r="DT53" i="2"/>
  <c r="DT203" i="2"/>
  <c r="DT194" i="2"/>
  <c r="DT52" i="2"/>
  <c r="DT170" i="2"/>
  <c r="DT92" i="2"/>
  <c r="DT11" i="2"/>
  <c r="DT9" i="2"/>
  <c r="DT122" i="2"/>
  <c r="DT192" i="2"/>
  <c r="DT106" i="2"/>
  <c r="DT37" i="2"/>
  <c r="DT42" i="2"/>
  <c r="DT120" i="2"/>
  <c r="DT155" i="2"/>
  <c r="DT126" i="2"/>
  <c r="DT111" i="2"/>
  <c r="DT144" i="2"/>
  <c r="DT193" i="2"/>
  <c r="DT137" i="2"/>
  <c r="DT154" i="2"/>
  <c r="DT197" i="2"/>
  <c r="DT149" i="2"/>
  <c r="DT3" i="2"/>
  <c r="C11" i="4" s="1"/>
  <c r="E11" i="4" s="1"/>
  <c r="F11" i="4" s="1"/>
  <c r="G11" i="4" s="1"/>
  <c r="L11" i="4" s="1"/>
  <c r="DT132" i="2"/>
  <c r="DT190" i="2"/>
  <c r="DT157" i="2"/>
  <c r="DT138" i="2"/>
  <c r="DT84" i="2"/>
  <c r="DT198" i="2"/>
  <c r="DT86" i="2"/>
  <c r="DT94" i="2"/>
  <c r="DT20" i="2"/>
  <c r="DT174" i="2"/>
  <c r="DT127" i="2"/>
  <c r="DT17" i="2"/>
  <c r="DT177" i="2"/>
  <c r="DT151" i="2"/>
  <c r="DT81" i="2"/>
  <c r="DT182" i="2"/>
  <c r="DT98" i="2"/>
  <c r="DT175" i="2"/>
  <c r="DT51" i="2"/>
  <c r="DT44" i="2"/>
  <c r="DT47" i="2"/>
  <c r="DT58" i="2"/>
  <c r="DT145" i="2"/>
  <c r="DT196" i="2"/>
  <c r="DT55" i="2"/>
  <c r="DT90" i="2"/>
  <c r="DT91" i="2"/>
  <c r="DT64" i="2"/>
  <c r="DT60" i="2"/>
  <c r="DT173" i="2"/>
  <c r="DT76" i="2"/>
  <c r="DT72" i="2"/>
  <c r="DT148" i="2"/>
  <c r="DT184" i="2"/>
  <c r="DT187" i="2"/>
  <c r="DT49" i="2"/>
  <c r="DT73" i="2"/>
  <c r="DT169" i="2"/>
  <c r="DT160" i="2"/>
  <c r="DT200" i="2"/>
  <c r="DT188" i="2"/>
  <c r="DT4" i="2"/>
  <c r="DT32" i="2"/>
  <c r="DT36" i="2"/>
  <c r="DT13" i="2"/>
  <c r="DT97" i="2"/>
  <c r="DT95" i="2"/>
  <c r="DT161" i="2"/>
  <c r="DT82" i="2"/>
  <c r="DT43" i="2"/>
  <c r="DT117" i="2"/>
  <c r="DT19" i="2"/>
  <c r="DT28" i="2"/>
  <c r="DT115" i="2"/>
  <c r="DT2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6" i="2" l="1"/>
  <c r="BI38" i="2"/>
  <c r="BI127" i="2"/>
  <c r="BI190" i="2"/>
  <c r="BI95" i="2"/>
  <c r="BI41" i="2"/>
  <c r="BI13" i="2"/>
  <c r="BI61" i="2"/>
  <c r="BI60" i="2"/>
  <c r="BI146" i="2"/>
  <c r="BI161" i="2"/>
  <c r="BI47" i="2"/>
  <c r="BI115" i="2"/>
  <c r="BI42" i="2"/>
  <c r="BI128" i="2"/>
  <c r="BI201" i="2"/>
  <c r="BI114" i="2"/>
  <c r="BI149" i="2"/>
  <c r="BI50" i="2"/>
  <c r="BI134" i="2"/>
  <c r="BI195" i="2"/>
  <c r="BI85" i="2"/>
  <c r="BI152" i="2"/>
  <c r="BI137" i="2"/>
  <c r="BI31" i="2"/>
  <c r="BI171" i="2"/>
  <c r="BI16" i="2"/>
  <c r="BI194" i="2"/>
  <c r="BI52" i="2"/>
  <c r="BI188" i="2"/>
  <c r="BI168" i="2"/>
  <c r="BI173" i="2"/>
  <c r="BI68" i="2"/>
  <c r="BI10" i="2"/>
  <c r="BI26" i="2"/>
  <c r="BI35" i="2"/>
  <c r="BI74" i="2"/>
  <c r="BI57" i="2"/>
  <c r="BI93" i="2"/>
  <c r="BI92" i="2"/>
  <c r="BI86" i="2"/>
  <c r="BI30" i="2"/>
  <c r="BI54" i="2"/>
  <c r="BI158" i="2"/>
  <c r="BI130" i="2"/>
  <c r="BI28" i="2"/>
  <c r="BI45" i="2"/>
  <c r="BI116" i="2"/>
  <c r="BI162" i="2"/>
  <c r="BI119" i="2"/>
  <c r="BI4" i="2"/>
  <c r="BI9" i="2"/>
  <c r="BI96" i="2"/>
  <c r="BI88" i="2"/>
  <c r="BI133" i="2"/>
  <c r="BI78" i="2"/>
  <c r="BI120" i="2"/>
  <c r="BI191" i="2"/>
  <c r="BI99" i="2"/>
  <c r="BI83" i="2"/>
  <c r="BI17" i="2"/>
  <c r="BI40" i="2"/>
  <c r="BI198" i="2"/>
  <c r="BI94" i="2"/>
  <c r="BI103" i="2"/>
  <c r="BI59" i="2"/>
  <c r="BI153" i="2"/>
  <c r="BI97" i="2"/>
  <c r="BI39" i="2"/>
  <c r="BI18" i="2"/>
  <c r="BI21" i="2"/>
  <c r="BI148" i="2"/>
  <c r="BI167" i="2"/>
  <c r="BI62" i="2"/>
  <c r="BI141" i="2"/>
  <c r="BI69" i="2"/>
  <c r="BI132" i="2"/>
  <c r="BI113" i="2"/>
  <c r="BI71" i="2"/>
  <c r="BI36" i="2"/>
  <c r="BI6" i="2"/>
  <c r="BI142" i="2"/>
  <c r="BI25" i="2"/>
  <c r="BI66" i="2"/>
  <c r="BI105" i="2"/>
  <c r="BI117" i="2"/>
  <c r="BI8" i="2"/>
  <c r="BI19" i="2"/>
  <c r="BI200" i="2"/>
  <c r="BI144" i="2"/>
  <c r="BI81" i="2"/>
  <c r="BI125" i="2"/>
  <c r="BI178" i="2"/>
  <c r="BI155" i="2"/>
  <c r="BI150" i="2"/>
  <c r="BI77" i="2"/>
  <c r="BI175" i="2"/>
  <c r="BI51" i="2"/>
  <c r="BI46" i="2"/>
  <c r="BI32" i="2"/>
  <c r="BI98" i="2"/>
  <c r="BI163" i="2"/>
  <c r="BI186" i="2"/>
  <c r="BI109" i="2"/>
  <c r="BI33" i="2"/>
  <c r="BI193" i="2"/>
  <c r="BI174" i="2"/>
  <c r="BI75" i="2"/>
  <c r="BI49" i="2"/>
  <c r="BI184" i="2"/>
  <c r="BI129" i="2"/>
  <c r="BI139" i="2"/>
  <c r="BI170" i="2"/>
  <c r="BI203" i="2"/>
  <c r="BI34" i="2"/>
  <c r="BI65" i="2"/>
  <c r="BI169" i="2"/>
  <c r="BI124" i="2"/>
  <c r="BI29" i="2"/>
  <c r="BI87" i="2"/>
  <c r="BI179" i="2"/>
  <c r="BI202" i="2"/>
  <c r="BI122" i="2"/>
  <c r="BI123" i="2"/>
  <c r="BI135" i="2"/>
  <c r="BI14" i="2"/>
  <c r="BI199" i="2"/>
  <c r="BI156" i="2"/>
  <c r="BI63" i="2"/>
  <c r="BI22" i="2"/>
  <c r="BI37" i="2"/>
  <c r="BI79" i="2"/>
  <c r="BI197" i="2"/>
  <c r="BI151" i="2"/>
  <c r="BI166" i="2"/>
  <c r="BI143" i="2"/>
  <c r="BI196" i="2"/>
  <c r="BI164" i="2"/>
  <c r="BI27" i="2"/>
  <c r="BI177" i="2"/>
  <c r="BI192" i="2"/>
  <c r="BI91" i="2"/>
  <c r="BI24" i="2"/>
  <c r="BI5" i="2"/>
  <c r="BI106" i="2"/>
  <c r="BI126" i="2"/>
  <c r="BI172" i="2"/>
  <c r="BI121" i="2"/>
  <c r="BI11" i="2"/>
  <c r="BI131" i="2"/>
  <c r="BI189" i="2"/>
  <c r="BI165" i="2"/>
  <c r="BI64" i="2"/>
  <c r="BI23" i="2"/>
  <c r="BI43" i="2"/>
  <c r="BI55" i="2"/>
  <c r="BI136" i="2"/>
  <c r="BI89" i="2"/>
  <c r="BI154" i="2"/>
  <c r="BI159" i="2"/>
  <c r="BI104" i="2"/>
  <c r="BI183" i="2"/>
  <c r="BI111" i="2"/>
  <c r="BI118" i="2"/>
  <c r="BI182" i="2"/>
  <c r="BI140" i="2"/>
  <c r="BI101" i="2"/>
  <c r="BI72" i="2"/>
  <c r="BI44" i="2"/>
  <c r="BI73" i="2"/>
  <c r="BI56" i="2"/>
  <c r="BI145" i="2"/>
  <c r="BI138" i="2"/>
  <c r="BI12" i="2"/>
  <c r="BI160" i="2"/>
  <c r="BI108" i="2"/>
  <c r="BI157" i="2"/>
  <c r="BI58" i="2"/>
  <c r="BI7" i="2"/>
  <c r="BI48" i="2"/>
  <c r="BI185" i="2"/>
  <c r="BI70" i="2"/>
  <c r="BI15" i="2"/>
  <c r="BI3" i="2"/>
  <c r="C8" i="4" s="1"/>
  <c r="E8" i="4" s="1"/>
  <c r="F8" i="4" s="1"/>
  <c r="G8" i="4" s="1"/>
  <c r="L8" i="4" s="1"/>
  <c r="BI76" i="2"/>
  <c r="BI20" i="2"/>
  <c r="BI181" i="2"/>
  <c r="BI90" i="2"/>
  <c r="BI110" i="2"/>
  <c r="BI53" i="2"/>
  <c r="BI147" i="2"/>
  <c r="BI100" i="2"/>
  <c r="BI187" i="2"/>
  <c r="BI82" i="2"/>
  <c r="BI102" i="2"/>
  <c r="BI84" i="2"/>
  <c r="BI180" i="2"/>
  <c r="BI112" i="2"/>
  <c r="BI80" i="2"/>
  <c r="BI107" i="2"/>
  <c r="BI6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tc={EB2BC66C-8B7C-4BC8-B8E8-D79C5172EF6C}</author>
    <author>tc={035980BE-5C5F-493F-95BE-661E5A0A9411}</author>
    <author>tc={14C17870-59D5-4591-946A-70C83082E7EA}</author>
    <author>tc={A4BBC207-5952-472D-972D-F4458C25E756}</author>
    <author>tc={7F0A0572-EDFF-4AFF-82A4-B0AEBF686F46}</author>
    <author>tc={F4F196B8-E6AD-4862-9A62-DED21CC41777}</author>
    <author>tc={04FDC2A2-135B-4A26-B0B3-831CCC4BDC72}</author>
    <author>tc={8D77DD7A-3061-4699-B5AC-854900C60BC3}</author>
    <author>tc={79714562-4969-4EF8-AA70-C74523ED8ACA}</author>
    <author>tc={FC3712D8-34D5-4E29-BF95-CFE6E722B8A9}</author>
    <author>tc={BBD1073C-DF17-4B83-80D4-B1629BA88E34}</author>
    <author>tc={EDAECC05-2CE6-4BB9-B292-0793C7A1ABDD}</author>
    <author>tc={CBFD8436-48C4-47F2-922D-F21CCC2779C4}</author>
    <author>tc={36C7A642-5BB4-4C80-B577-D211583450A4}</author>
    <author>tc={4569A11A-9FF6-4719-B996-4853750A3293}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EB2BC66C-8B7C-4BC8-B8E8-D79C5172EF6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035980BE-5C5F-493F-95BE-661E5A0A9411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14C17870-59D5-4591-946A-70C83082E7E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A4BBC207-5952-472D-972D-F4458C25E75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7F0A0572-EDFF-4AFF-82A4-B0AEBF686F4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F4F196B8-E6AD-4862-9A62-DED21CC4177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04FDC2A2-135B-4A26-B0B3-831CCC4BDC7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8D77DD7A-3061-4699-B5AC-854900C60BC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79714562-4969-4EF8-AA70-C74523ED8AC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2" authorId="16" shapeId="0" xr:uid="{FC3712D8-34D5-4E29-BF95-CFE6E722B8A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7" shapeId="0" xr:uid="{BBD1073C-DF17-4B83-80D4-B1629BA88E3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4" authorId="18" shapeId="0" xr:uid="{EDAECC05-2CE6-4BB9-B292-0793C7A1ABD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3" authorId="19" shapeId="0" xr:uid="{CBFD8436-48C4-47F2-922D-F21CCC2779C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4" authorId="20" shapeId="0" xr:uid="{36C7A642-5BB4-4C80-B577-D211583450A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75" authorId="21" shapeId="0" xr:uid="{4569A11A-9FF6-4719-B996-4853750A329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<sst xmlns="http://schemas.openxmlformats.org/spreadsheetml/2006/main" count="1181" uniqueCount="329">
  <si>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</si>
  <si>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</si>
  <si>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</si>
  <si>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</si>
  <si>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</si>
  <si>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</si>
  <si>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</si>
  <si>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</si>
  <si>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</si>
  <si>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NOM DU PROJET NEOSYLVA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</si>
  <si>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</si>
  <si>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</si>
  <si>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</si>
  <si>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</si>
  <si>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</si>
  <si>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</si>
  <si>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</si>
  <si>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noir d'Autriche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</si>
  <si>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</si>
  <si>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</si>
  <si>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</si>
  <si>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</si>
  <si>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Chêne pubescent</t>
  </si>
  <si>
    <t>Essence 4</t>
  </si>
  <si>
    <t>Erable champêtre</t>
  </si>
  <si>
    <t>Essence 5</t>
  </si>
  <si>
    <t>Chêne sessile</t>
  </si>
  <si>
    <t>Essence 6</t>
  </si>
  <si>
    <t>Alisier torminal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</si>
  <si>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</si>
  <si>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</si>
  <si>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</si>
  <si>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</si>
  <si>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</si>
  <si>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</si>
  <si>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</si>
  <si>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</si>
  <si>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</si>
  <si>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</si>
  <si>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</si>
  <si>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</si>
  <si>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</si>
  <si>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</si>
  <si>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</si>
  <si>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</si>
  <si>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</si>
  <si>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</si>
  <si>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</si>
  <si>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</si>
  <si>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</si>
  <si>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</si>
  <si>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</si>
  <si>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</si>
  <si>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</si>
  <si>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</si>
  <si>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</si>
  <si>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</si>
  <si>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</si>
  <si>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</si>
  <si>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</si>
  <si>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</si>
  <si>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</si>
  <si>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</si>
  <si>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</si>
  <si>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</si>
  <si>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</si>
  <si>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</si>
  <si>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</si>
  <si>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</si>
  <si>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</si>
  <si>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</si>
  <si>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</si>
  <si>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</si>
  <si>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</si>
  <si>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</si>
  <si>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</si>
  <si>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</si>
  <si>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</si>
  <si>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</si>
  <si>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</si>
  <si>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</si>
  <si>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</si>
  <si>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</si>
  <si>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</si>
  <si>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</si>
  <si>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</si>
  <si>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</si>
  <si>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</si>
  <si>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</si>
  <si>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</si>
  <si>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</si>
  <si>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</si>
  <si>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</si>
  <si>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</si>
  <si>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</si>
  <si>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</si>
  <si>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</si>
  <si>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</si>
  <si>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</si>
  <si>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</si>
  <si>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</si>
  <si>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</si>
  <si>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</si>
  <si>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</si>
  <si>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</si>
  <si>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</si>
  <si>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</si>
  <si>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</si>
  <si>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</si>
  <si>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</si>
  <si>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</si>
  <si>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</si>
  <si>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</si>
  <si>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</si>
  <si>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</si>
  <si>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</si>
  <si>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</si>
  <si>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</si>
  <si>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</si>
  <si>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</si>
  <si>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</si>
  <si>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</si>
  <si>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</si>
  <si>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</si>
  <si>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</si>
  <si>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</si>
  <si>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</si>
  <si>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</si>
  <si>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</si>
  <si>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</si>
  <si>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</si>
  <si>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</si>
  <si>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</si>
  <si>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</si>
  <si>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</si>
  <si>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</si>
  <si>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</si>
  <si>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</si>
  <si>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</si>
  <si>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</si>
  <si>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</si>
  <si>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</si>
  <si>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</si>
  <si>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</si>
  <si>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</si>
  <si>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</si>
  <si>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</si>
  <si>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</si>
  <si>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</si>
  <si>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</si>
  <si>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</si>
  <si>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</si>
  <si>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</si>
  <si>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</si>
  <si>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</si>
  <si>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</si>
  <si>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</si>
  <si>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</si>
  <si>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</si>
  <si>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</si>
  <si>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</si>
  <si>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</si>
  <si>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</si>
  <si>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</si>
  <si>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</si>
  <si>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</si>
  <si>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</si>
  <si>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</si>
  <si>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</si>
  <si>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</si>
  <si>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</si>
  <si>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</si>
  <si>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</si>
  <si>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</si>
  <si>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</si>
  <si>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</si>
  <si>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</si>
  <si>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</si>
  <si>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</si>
  <si>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</si>
  <si>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</si>
  <si>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</si>
  <si>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</si>
  <si>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</si>
  <si>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</si>
  <si>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</si>
  <si>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</si>
  <si>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</si>
  <si>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</si>
  <si>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</si>
  <si>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</si>
  <si>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</si>
  <si>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</si>
  <si>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</si>
  <si>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</si>
  <si>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</si>
  <si>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</si>
  <si>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</si>
  <si>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</si>
  <si>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</si>
  <si>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</si>
  <si>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</si>
  <si>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</si>
  <si>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</si>
  <si>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</si>
  <si>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</si>
  <si>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</si>
  <si>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</si>
  <si>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</si>
  <si>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</si>
  <si>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</si>
  <si>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</si>
  <si>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</si>
  <si>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</si>
  <si>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</si>
  <si>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</si>
  <si>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</si>
  <si>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</si>
  <si>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</si>
  <si>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</si>
  <si>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</si>
  <si>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</si>
  <si>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</si>
  <si>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</si>
  <si>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</si>
  <si>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</si>
  <si>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</si>
  <si>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</si>
  <si>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</si>
  <si>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</si>
  <si>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</si>
  <si>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</si>
  <si>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</si>
  <si>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</si>
  <si>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</si>
  <si>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</si>
  <si>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</si>
  <si>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</si>
  <si>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</si>
  <si>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</si>
  <si>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</si>
  <si>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</si>
  <si>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</si>
  <si>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</si>
  <si>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</si>
  <si>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</si>
  <si>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</si>
  <si>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</si>
  <si>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</si>
  <si>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</si>
  <si>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</si>
  <si>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</si>
  <si>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</si>
  <si>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</si>
  <si>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</si>
  <si>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</si>
  <si>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</si>
  <si>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</si>
  <si>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</si>
  <si>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</si>
  <si>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</si>
  <si>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</si>
  <si>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</si>
  <si>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</si>
  <si>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</si>
  <si>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</si>
  <si>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</si>
  <si>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</si>
  <si>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</si>
  <si>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</si>
  <si>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</si>
  <si>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</si>
  <si>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</si>
  <si>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</si>
  <si>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</si>
  <si>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</si>
  <si>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</si>
  <si>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</si>
  <si>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</si>
  <si>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</si>
  <si>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</si>
  <si>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</si>
  <si>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</si>
  <si>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</si>
  <si>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</si>
  <si>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</si>
  <si>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</si>
  <si>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</si>
  <si>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</si>
  <si>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</si>
  <si>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</si>
  <si>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</si>
  <si>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</si>
  <si>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</si>
  <si>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</si>
  <si>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</si>
  <si>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</si>
  <si>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</si>
  <si>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</si>
  <si>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</si>
  <si>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</si>
  <si>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</si>
  <si>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</si>
  <si>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</si>
  <si>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</si>
  <si>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</si>
  <si>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</si>
  <si>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</si>
  <si>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</si>
  <si>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</si>
  <si>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</si>
  <si>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</si>
  <si>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</si>
  <si>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</si>
  <si>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</si>
  <si>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</si>
  <si>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</si>
  <si>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</si>
  <si>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</si>
  <si>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</si>
  <si>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</si>
  <si>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</si>
  <si>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</si>
  <si>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</si>
  <si>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Coût total du projet Néosylva sur les 5 premières années</t>
  </si>
  <si>
    <t>VAN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</si>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</sst>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1BBB05E4-AE7E-451D-968C-2144E7EF208D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6.6488575160347914</c:v>
                </c:pt>
                <c:pt idx="2">
                  <c:v>12.997781674777102</c:v>
                </c:pt>
                <c:pt idx="3">
                  <c:v>19.249842414826656</c:v>
                </c:pt>
                <c:pt idx="4">
                  <c:v>25.442194289830848</c:v>
                </c:pt>
                <c:pt idx="5">
                  <c:v>31.591676961509503</c:v>
                </c:pt>
                <c:pt idx="6">
                  <c:v>37.707896475983098</c:v>
                </c:pt>
                <c:pt idx="7">
                  <c:v>43.797045479762353</c:v>
                </c:pt>
                <c:pt idx="8">
                  <c:v>49.863437395627479</c:v>
                </c:pt>
                <c:pt idx="9">
                  <c:v>55.910242644193126</c:v>
                </c:pt>
                <c:pt idx="10">
                  <c:v>61.939885776350934</c:v>
                </c:pt>
                <c:pt idx="11">
                  <c:v>67.954278372358246</c:v>
                </c:pt>
                <c:pt idx="12">
                  <c:v>73.954964517524616</c:v>
                </c:pt>
                <c:pt idx="13">
                  <c:v>79.943216274564875</c:v>
                </c:pt>
                <c:pt idx="14">
                  <c:v>85.920098887107244</c:v>
                </c:pt>
                <c:pt idx="15">
                  <c:v>91.88651679801491</c:v>
                </c:pt>
                <c:pt idx="16">
                  <c:v>97.843247035301388</c:v>
                </c:pt>
                <c:pt idx="17">
                  <c:v>103.79096400875802</c:v>
                </c:pt>
                <c:pt idx="18">
                  <c:v>109.73025830374171</c:v>
                </c:pt>
                <c:pt idx="19">
                  <c:v>115.66165117883212</c:v>
                </c:pt>
                <c:pt idx="20">
                  <c:v>121.58560592427973</c:v>
                </c:pt>
                <c:pt idx="21">
                  <c:v>127.50253688420678</c:v>
                </c:pt>
                <c:pt idx="22">
                  <c:v>133.41281671160229</c:v>
                </c:pt>
                <c:pt idx="23">
                  <c:v>139.31678226693955</c:v>
                </c:pt>
                <c:pt idx="24">
                  <c:v>145.21473946200081</c:v>
                </c:pt>
                <c:pt idx="25">
                  <c:v>151.10696727364919</c:v>
                </c:pt>
                <c:pt idx="26">
                  <c:v>156.99372109732053</c:v>
                </c:pt>
                <c:pt idx="27">
                  <c:v>162.87523557008112</c:v>
                </c:pt>
                <c:pt idx="28">
                  <c:v>168.75172696369808</c:v>
                </c:pt>
                <c:pt idx="29">
                  <c:v>174.62339522623526</c:v>
                </c:pt>
                <c:pt idx="30">
                  <c:v>180.49042573413877</c:v>
                </c:pt>
                <c:pt idx="31">
                  <c:v>186.35299080414816</c:v>
                </c:pt>
                <c:pt idx="32">
                  <c:v>192.21125100464255</c:v>
                </c:pt>
                <c:pt idx="33">
                  <c:v>198.06535629846334</c:v>
                </c:pt>
                <c:pt idx="34">
                  <c:v>203.91544704332102</c:v>
                </c:pt>
                <c:pt idx="35">
                  <c:v>209.76165487120025</c:v>
                </c:pt>
                <c:pt idx="36">
                  <c:v>215.60410346443578</c:v>
                </c:pt>
                <c:pt idx="37">
                  <c:v>221.4429092431343</c:v>
                </c:pt>
                <c:pt idx="38">
                  <c:v>227.27818197618993</c:v>
                </c:pt>
                <c:pt idx="39">
                  <c:v>233.11002532617348</c:v>
                </c:pt>
                <c:pt idx="40">
                  <c:v>238.93853733676255</c:v>
                </c:pt>
                <c:pt idx="41">
                  <c:v>244.7638108700572</c:v>
                </c:pt>
                <c:pt idx="42">
                  <c:v>250.5859340000288</c:v>
                </c:pt>
                <c:pt idx="43">
                  <c:v>256.40499036744262</c:v>
                </c:pt>
                <c:pt idx="44">
                  <c:v>262.22105950083329</c:v>
                </c:pt>
                <c:pt idx="45">
                  <c:v>268.03421710747892</c:v>
                </c:pt>
                <c:pt idx="46">
                  <c:v>182.34482750021712</c:v>
                </c:pt>
                <c:pt idx="47">
                  <c:v>192.09078024882709</c:v>
                </c:pt>
                <c:pt idx="48">
                  <c:v>201.82522741773963</c:v>
                </c:pt>
                <c:pt idx="49">
                  <c:v>211.54880272430398</c:v>
                </c:pt>
                <c:pt idx="50">
                  <c:v>221.26207680515509</c:v>
                </c:pt>
                <c:pt idx="51">
                  <c:v>230.96556604965974</c:v>
                </c:pt>
                <c:pt idx="52">
                  <c:v>240.65973986926053</c:v>
                </c:pt>
                <c:pt idx="53">
                  <c:v>250.34502673283899</c:v>
                </c:pt>
                <c:pt idx="54">
                  <c:v>260.02181921820448</c:v>
                </c:pt>
                <c:pt idx="55">
                  <c:v>269.69047827151059</c:v>
                </c:pt>
                <c:pt idx="56">
                  <c:v>279.3513368233352</c:v>
                </c:pt>
                <c:pt idx="57">
                  <c:v>289.00470287794536</c:v>
                </c:pt>
                <c:pt idx="58">
                  <c:v>298.65086216789865</c:v>
                </c:pt>
                <c:pt idx="59">
                  <c:v>308.29008044749582</c:v>
                </c:pt>
                <c:pt idx="60">
                  <c:v>317.92260548420961</c:v>
                </c:pt>
                <c:pt idx="61">
                  <c:v>234.63500502788847</c:v>
                </c:pt>
                <c:pt idx="62">
                  <c:v>243.37184649768338</c:v>
                </c:pt>
                <c:pt idx="63">
                  <c:v>252.10155768180616</c:v>
                </c:pt>
                <c:pt idx="64">
                  <c:v>260.82442055001712</c:v>
                </c:pt>
                <c:pt idx="65">
                  <c:v>269.54069665289364</c:v>
                </c:pt>
                <c:pt idx="66">
                  <c:v>278.2506292275105</c:v>
                </c:pt>
                <c:pt idx="67">
                  <c:v>286.95444502544359</c:v>
                </c:pt>
                <c:pt idx="68">
                  <c:v>295.65235590720027</c:v>
                </c:pt>
                <c:pt idx="69">
                  <c:v>304.34456023906199</c:v>
                </c:pt>
                <c:pt idx="70">
                  <c:v>313.03124412188703</c:v>
                </c:pt>
                <c:pt idx="71">
                  <c:v>321.71258247628845</c:v>
                </c:pt>
                <c:pt idx="72">
                  <c:v>330.3887400044805</c:v>
                </c:pt>
                <c:pt idx="73">
                  <c:v>339.05987204574757</c:v>
                </c:pt>
                <c:pt idx="74">
                  <c:v>347.72612533977775</c:v>
                </c:pt>
                <c:pt idx="75">
                  <c:v>356.38763870988345</c:v>
                </c:pt>
                <c:pt idx="76">
                  <c:v>268.35863985912823</c:v>
                </c:pt>
                <c:pt idx="77">
                  <c:v>276.42274245908385</c:v>
                </c:pt>
                <c:pt idx="78">
                  <c:v>284.48156351540609</c:v>
                </c:pt>
                <c:pt idx="79">
                  <c:v>292.5352738962419</c:v>
                </c:pt>
                <c:pt idx="80">
                  <c:v>300.58403428413141</c:v>
                </c:pt>
                <c:pt idx="81">
                  <c:v>308.62799604568062</c:v>
                </c:pt>
                <c:pt idx="82">
                  <c:v>316.66730200575722</c:v>
                </c:pt>
                <c:pt idx="83">
                  <c:v>324.70208713890156</c:v>
                </c:pt>
                <c:pt idx="84">
                  <c:v>332.73247918867486</c:v>
                </c:pt>
                <c:pt idx="85">
                  <c:v>340.75859922405465</c:v>
                </c:pt>
                <c:pt idx="86">
                  <c:v>348.78056214063616</c:v>
                </c:pt>
                <c:pt idx="87">
                  <c:v>356.79847711328745</c:v>
                </c:pt>
                <c:pt idx="88">
                  <c:v>364.81244800596755</c:v>
                </c:pt>
                <c:pt idx="89">
                  <c:v>372.82257374363513</c:v>
                </c:pt>
                <c:pt idx="90">
                  <c:v>380.82894865050861</c:v>
                </c:pt>
                <c:pt idx="91">
                  <c:v>304.31511180019942</c:v>
                </c:pt>
                <c:pt idx="92">
                  <c:v>311.88897257517925</c:v>
                </c:pt>
                <c:pt idx="93">
                  <c:v>319.45875315927424</c:v>
                </c:pt>
                <c:pt idx="94">
                  <c:v>327.02456396582056</c:v>
                </c:pt>
                <c:pt idx="95">
                  <c:v>334.58650987749132</c:v>
                </c:pt>
                <c:pt idx="96">
                  <c:v>342.1446906448304</c:v>
                </c:pt>
                <c:pt idx="97">
                  <c:v>349.69920124770789</c:v>
                </c:pt>
                <c:pt idx="98">
                  <c:v>357.25013222389106</c:v>
                </c:pt>
                <c:pt idx="99">
                  <c:v>364.79756996836642</c:v>
                </c:pt>
                <c:pt idx="100">
                  <c:v>372.3415970065841</c:v>
                </c:pt>
                <c:pt idx="101">
                  <c:v>260.90193671786096</c:v>
                </c:pt>
                <c:pt idx="102">
                  <c:v>267.4615337118376</c:v>
                </c:pt>
                <c:pt idx="103">
                  <c:v>274.01750696156188</c:v>
                </c:pt>
                <c:pt idx="104">
                  <c:v>280.56995551305215</c:v>
                </c:pt>
                <c:pt idx="105">
                  <c:v>287.1189734024307</c:v>
                </c:pt>
                <c:pt idx="106">
                  <c:v>293.66465002038825</c:v>
                </c:pt>
                <c:pt idx="107">
                  <c:v>300.20707044242238</c:v>
                </c:pt>
                <c:pt idx="108">
                  <c:v>306.74631572875654</c:v>
                </c:pt>
                <c:pt idx="109">
                  <c:v>313.28246319732176</c:v>
                </c:pt>
                <c:pt idx="110">
                  <c:v>319.81558667274743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1.8640287764273715</c:v>
                </c:pt>
                <c:pt idx="2">
                  <c:v>2.2403406300750932</c:v>
                </c:pt>
                <c:pt idx="3">
                  <c:v>2.6929117978914889</c:v>
                </c:pt>
                <c:pt idx="4">
                  <c:v>3.2372516053740923</c:v>
                </c:pt>
                <c:pt idx="5">
                  <c:v>3.8920341923639565</c:v>
                </c:pt>
                <c:pt idx="6">
                  <c:v>4.6797463362061977</c:v>
                </c:pt>
                <c:pt idx="7">
                  <c:v>5.6274682635662172</c:v>
                </c:pt>
                <c:pt idx="8">
                  <c:v>6.7678148238020102</c:v>
                </c:pt>
                <c:pt idx="9">
                  <c:v>8.1400700445507415</c:v>
                </c:pt>
                <c:pt idx="10">
                  <c:v>9.7915549057905107</c:v>
                </c:pt>
                <c:pt idx="11">
                  <c:v>11.779276394053923</c:v>
                </c:pt>
                <c:pt idx="12">
                  <c:v>14.171915825890288</c:v>
                </c:pt>
                <c:pt idx="13">
                  <c:v>17.052226411955296</c:v>
                </c:pt>
                <c:pt idx="14">
                  <c:v>20.51992449638772</c:v>
                </c:pt>
                <c:pt idx="15">
                  <c:v>24.695176365073063</c:v>
                </c:pt>
                <c:pt idx="16">
                  <c:v>29.722803592594314</c:v>
                </c:pt>
                <c:pt idx="17">
                  <c:v>35.777355341924697</c:v>
                </c:pt>
                <c:pt idx="18">
                  <c:v>43.069226750108349</c:v>
                </c:pt>
                <c:pt idx="19">
                  <c:v>51.85203962276352</c:v>
                </c:pt>
                <c:pt idx="20">
                  <c:v>62.431546443546161</c:v>
                </c:pt>
                <c:pt idx="21">
                  <c:v>75.176372780355464</c:v>
                </c:pt>
                <c:pt idx="22">
                  <c:v>90.530978469341832</c:v>
                </c:pt>
                <c:pt idx="23">
                  <c:v>109.03129681397088</c:v>
                </c:pt>
                <c:pt idx="24">
                  <c:v>131.32360626855731</c:v>
                </c:pt>
                <c:pt idx="25">
                  <c:v>158.18730408988156</c:v>
                </c:pt>
                <c:pt idx="26">
                  <c:v>110.16783838299024</c:v>
                </c:pt>
                <c:pt idx="27">
                  <c:v>127.47740209498517</c:v>
                </c:pt>
                <c:pt idx="28">
                  <c:v>144.72997128258132</c:v>
                </c:pt>
                <c:pt idx="29">
                  <c:v>161.93330563088048</c:v>
                </c:pt>
                <c:pt idx="30">
                  <c:v>179.09337642660753</c:v>
                </c:pt>
                <c:pt idx="31">
                  <c:v>196.214914712987</c:v>
                </c:pt>
                <c:pt idx="32">
                  <c:v>213.30175713927812</c:v>
                </c:pt>
                <c:pt idx="33">
                  <c:v>172.025646560745</c:v>
                </c:pt>
                <c:pt idx="34">
                  <c:v>189.87670779481053</c:v>
                </c:pt>
                <c:pt idx="35">
                  <c:v>207.68866515368813</c:v>
                </c:pt>
                <c:pt idx="36">
                  <c:v>225.4653449494439</c:v>
                </c:pt>
                <c:pt idx="37">
                  <c:v>243.20992025308374</c:v>
                </c:pt>
                <c:pt idx="38">
                  <c:v>260.92506298760685</c:v>
                </c:pt>
                <c:pt idx="39">
                  <c:v>278.61305246523608</c:v>
                </c:pt>
                <c:pt idx="40">
                  <c:v>296.2758548734829</c:v>
                </c:pt>
                <c:pt idx="41">
                  <c:v>239.76770751057586</c:v>
                </c:pt>
                <c:pt idx="42">
                  <c:v>256.8271318916386</c:v>
                </c:pt>
                <c:pt idx="43">
                  <c:v>273.86093423683366</c:v>
                </c:pt>
                <c:pt idx="44">
                  <c:v>290.87093237144524</c:v>
                </c:pt>
                <c:pt idx="45">
                  <c:v>307.8587141069433</c:v>
                </c:pt>
                <c:pt idx="46">
                  <c:v>324.8256776994553</c:v>
                </c:pt>
                <c:pt idx="47">
                  <c:v>341.77306340643787</c:v>
                </c:pt>
                <c:pt idx="48">
                  <c:v>358.70197845336497</c:v>
                </c:pt>
                <c:pt idx="49">
                  <c:v>375.61341703894681</c:v>
                </c:pt>
                <c:pt idx="50">
                  <c:v>392.50827654831147</c:v>
                </c:pt>
                <c:pt idx="51">
                  <c:v>319.37050265005104</c:v>
                </c:pt>
                <c:pt idx="52">
                  <c:v>334.52134793211144</c:v>
                </c:pt>
                <c:pt idx="53">
                  <c:v>349.65707861306277</c:v>
                </c:pt>
                <c:pt idx="54">
                  <c:v>364.7784410433967</c:v>
                </c:pt>
                <c:pt idx="55">
                  <c:v>379.88611464794849</c:v>
                </c:pt>
                <c:pt idx="56">
                  <c:v>394.98072040575977</c:v>
                </c:pt>
                <c:pt idx="57">
                  <c:v>410.06282796584441</c:v>
                </c:pt>
                <c:pt idx="58">
                  <c:v>425.13296166139679</c:v>
                </c:pt>
                <c:pt idx="59">
                  <c:v>440.19160562675683</c:v>
                </c:pt>
                <c:pt idx="60">
                  <c:v>455.23920817771847</c:v>
                </c:pt>
                <c:pt idx="61">
                  <c:v>387.28600368987105</c:v>
                </c:pt>
                <c:pt idx="62">
                  <c:v>400.32168647741304</c:v>
                </c:pt>
                <c:pt idx="63">
                  <c:v>413.34818434892662</c:v>
                </c:pt>
                <c:pt idx="64">
                  <c:v>426.36582754686032</c:v>
                </c:pt>
                <c:pt idx="65">
                  <c:v>439.37492450301892</c:v>
                </c:pt>
                <c:pt idx="66">
                  <c:v>452.37576389576316</c:v>
                </c:pt>
                <c:pt idx="67">
                  <c:v>465.36861645840571</c:v>
                </c:pt>
                <c:pt idx="68">
                  <c:v>478.35373657514043</c:v>
                </c:pt>
                <c:pt idx="69">
                  <c:v>491.33136369467434</c:v>
                </c:pt>
                <c:pt idx="70">
                  <c:v>504.30172358674866</c:v>
                </c:pt>
                <c:pt idx="71">
                  <c:v>426.01885347012268</c:v>
                </c:pt>
                <c:pt idx="72">
                  <c:v>436.28953142824543</c:v>
                </c:pt>
                <c:pt idx="73">
                  <c:v>446.55502197293748</c:v>
                </c:pt>
                <c:pt idx="74">
                  <c:v>456.81546119092872</c:v>
                </c:pt>
                <c:pt idx="75">
                  <c:v>467.07097855581628</c:v>
                </c:pt>
                <c:pt idx="76">
                  <c:v>477.32169739068991</c:v>
                </c:pt>
                <c:pt idx="77">
                  <c:v>487.56773528894473</c:v>
                </c:pt>
                <c:pt idx="78">
                  <c:v>497.80920449787737</c:v>
                </c:pt>
                <c:pt idx="79">
                  <c:v>508.04621226907233</c:v>
                </c:pt>
                <c:pt idx="80">
                  <c:v>518.27886117907588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EB2BC66C-8B7C-4BC8-B8E8-D79C5172EF6C}">
    <text>A recopier sur toutes les essences.
Correspond aux frais fixes d’entretien mécanique + répulsif gibier</text>
  </threadedComment>
  <threadedComment ref="E50" dT="2024-11-27T17:08:05.48" personId="{44BC7BF0-8157-4572-8E12-7E0C99523682}" id="{035980BE-5C5F-493F-95BE-661E5A0A9411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14C17870-59D5-4591-946A-70C83082E7EA}">
    <text>A recopier sur toutes les essences.
Correspond aux frais fixes d’entretien mécanique + répulsif gibier</text>
  </threadedComment>
  <threadedComment ref="E80" dT="2024-11-27T17:07:34.75" personId="{44BC7BF0-8157-4572-8E12-7E0C99523682}" id="{A4BBC207-5952-472D-972D-F4458C25E756}">
    <text>A recopier sur toutes les essences.
Correspond aux frais fixes d’entretien mécanique + répulsif gibier</text>
  </threadedComment>
  <threadedComment ref="E81" dT="2024-11-27T17:08:05.48" personId="{44BC7BF0-8157-4572-8E12-7E0C99523682}" id="{7F0A0572-EDFF-4AFF-82A4-B0AEBF686F46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F4F196B8-E6AD-4862-9A62-DED21CC41777}">
    <text>A recopier sur toutes les essences.
Correspond aux frais fixes d’entretien mécanique + répulsif gibier</text>
  </threadedComment>
  <threadedComment ref="E111" dT="2024-11-27T17:07:34.75" personId="{44BC7BF0-8157-4572-8E12-7E0C99523682}" id="{04FDC2A2-135B-4A26-B0B3-831CCC4BDC72}">
    <text>A recopier sur toutes les essences.
Correspond aux frais fixes d’entretien mécanique + répulsif gibier</text>
  </threadedComment>
  <threadedComment ref="E112" dT="2024-11-27T17:08:05.48" personId="{44BC7BF0-8157-4572-8E12-7E0C99523682}" id="{8D77DD7A-3061-4699-B5AC-854900C60BC3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79714562-4969-4EF8-AA70-C74523ED8ACA}">
    <text>A recopier sur toutes les essences.
Correspond aux frais fixes d’entretien mécanique + répulsif gibier</text>
  </threadedComment>
  <threadedComment ref="E142" dT="2024-11-27T17:07:34.75" personId="{44BC7BF0-8157-4572-8E12-7E0C99523682}" id="{FC3712D8-34D5-4E29-BF95-CFE6E722B8A9}">
    <text>A recopier sur toutes les essences.
Correspond aux frais fixes d’entretien mécanique + répulsif gibier</text>
  </threadedComment>
  <threadedComment ref="E143" dT="2024-11-27T17:08:05.48" personId="{44BC7BF0-8157-4572-8E12-7E0C99523682}" id="{BBD1073C-DF17-4B83-80D4-B1629BA88E34}">
    <text xml:space="preserve">A recopier sur toutes les essences
Correspond aux frais fixes entretien manuel + répulsif gibier + regarnis
</text>
  </threadedComment>
  <threadedComment ref="E144" dT="2024-11-27T17:07:34.75" personId="{44BC7BF0-8157-4572-8E12-7E0C99523682}" id="{EDAECC05-2CE6-4BB9-B292-0793C7A1ABDD}">
    <text>A recopier sur toutes les essences.
Correspond aux frais fixes d’entretien mécanique + répulsif gibier</text>
  </threadedComment>
  <threadedComment ref="E173" dT="2024-11-27T17:07:34.75" personId="{44BC7BF0-8157-4572-8E12-7E0C99523682}" id="{CBFD8436-48C4-47F2-922D-F21CCC2779C4}">
    <text>A recopier sur toutes les essences.
Correspond aux frais fixes d’entretien mécanique + répulsif gibier</text>
  </threadedComment>
  <threadedComment ref="E174" dT="2024-11-27T17:08:05.48" personId="{44BC7BF0-8157-4572-8E12-7E0C99523682}" id="{36C7A642-5BB4-4C80-B577-D211583450A4}">
    <text xml:space="preserve">A recopier sur toutes les essences
Correspond aux frais fixes entretien manuel + répulsif gibier + regarnis
</text>
  </threadedComment>
  <threadedComment ref="E175" dT="2024-11-27T17:07:34.75" personId="{44BC7BF0-8157-4572-8E12-7E0C99523682}" id="{4569A11A-9FF6-4719-B996-4853750A3293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8" zoomScale="80" zoomScaleNormal="80" workbookViewId="0">
      <selection activeCell="D61" sqref="D61"/>
    </sheetView>
  </sheetViews>
  <sheetFormatPr baseColWidth="10" defaultColWidth="11.44140625" defaultRowHeight="14.4" x14ac:dyDescent="0.3"/>
  <cols>
    <col min="1" max="1" width="6.5546875" customWidth="1"/>
    <col min="2" max="13" width="15.88671875" customWidth="1"/>
  </cols>
  <sheetData>
    <row r="12" spans="2:13" ht="15" customHeight="1" x14ac:dyDescent="0.3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I19" sqref="I19"/>
    </sheetView>
  </sheetViews>
  <sheetFormatPr baseColWidth="10" defaultColWidth="11.44140625" defaultRowHeight="14.4" x14ac:dyDescent="0.3"/>
  <cols>
    <col min="1" max="1" width="13.554687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44140625" style="23" customWidth="1"/>
    <col min="6" max="6" width="28.88671875" style="23" bestFit="1" customWidth="1"/>
    <col min="7" max="8" width="14.554687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2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7</v>
      </c>
      <c r="B5" s="276"/>
      <c r="C5" s="24">
        <v>4.4800000000000004</v>
      </c>
      <c r="D5" s="277" t="s">
        <v>8</v>
      </c>
      <c r="E5" s="278"/>
      <c r="F5" s="90"/>
      <c r="G5" s="218"/>
      <c r="H5" s="218"/>
      <c r="I5" s="218" t="s">
        <v>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10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11</v>
      </c>
      <c r="C8" s="26" t="s">
        <v>12</v>
      </c>
      <c r="D8" s="27" t="s">
        <v>13</v>
      </c>
      <c r="E8" s="28" t="s">
        <v>14</v>
      </c>
      <c r="F8" s="29" t="s">
        <v>15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</v>
      </c>
      <c r="B9" s="31" t="s">
        <v>17</v>
      </c>
      <c r="C9" s="32">
        <v>0.24308035714285711</v>
      </c>
      <c r="D9" s="33">
        <f t="shared" ref="D9:D18" si="0">C9*$C$5</f>
        <v>1.089</v>
      </c>
      <c r="E9" s="34">
        <v>110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18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19</v>
      </c>
      <c r="B10" s="31" t="s">
        <v>20</v>
      </c>
      <c r="C10" s="32">
        <v>0.24308035714285711</v>
      </c>
      <c r="D10" s="33">
        <f t="shared" si="0"/>
        <v>1.089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21</v>
      </c>
      <c r="B11" s="31" t="s">
        <v>22</v>
      </c>
      <c r="C11" s="32">
        <v>0.21645089285714283</v>
      </c>
      <c r="D11" s="33">
        <f t="shared" si="0"/>
        <v>0.96970000000000001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23</v>
      </c>
      <c r="B12" s="31" t="s">
        <v>24</v>
      </c>
      <c r="C12" s="32">
        <v>0.1019642857142857</v>
      </c>
      <c r="D12" s="33">
        <f t="shared" si="0"/>
        <v>0.45679999999999998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25</v>
      </c>
      <c r="B13" s="31" t="s">
        <v>26</v>
      </c>
      <c r="C13" s="32">
        <v>0.15611607142857142</v>
      </c>
      <c r="D13" s="33">
        <f t="shared" si="0"/>
        <v>0.69940000000000002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27</v>
      </c>
      <c r="B14" s="31" t="s">
        <v>28</v>
      </c>
      <c r="C14" s="32">
        <v>3.8995535714285712E-2</v>
      </c>
      <c r="D14" s="33">
        <f t="shared" si="0"/>
        <v>0.17469999999999999</v>
      </c>
      <c r="E14" s="34">
        <v>183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29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30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31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32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33</v>
      </c>
      <c r="C19" s="37">
        <f>SUM(C9:C18)</f>
        <v>0.99968749999999995</v>
      </c>
      <c r="D19" s="38">
        <f>SUM(D9:D18)</f>
        <v>4.4785999999999992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15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34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35</v>
      </c>
      <c r="B24" s="42" t="s">
        <v>36</v>
      </c>
      <c r="C24" s="43">
        <v>0</v>
      </c>
      <c r="D24" s="44" t="s">
        <v>37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38</v>
      </c>
      <c r="B25" s="42" t="s">
        <v>39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40</v>
      </c>
      <c r="B26" s="42" t="s">
        <v>41</v>
      </c>
      <c r="C26" s="43">
        <v>0.1</v>
      </c>
      <c r="D26" s="44" t="s">
        <v>42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43</v>
      </c>
      <c r="B27" s="42" t="s">
        <v>44</v>
      </c>
      <c r="C27" s="43">
        <v>0</v>
      </c>
      <c r="D27" s="44" t="s">
        <v>45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46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</v>
      </c>
      <c r="B32" s="47" t="str">
        <f>IF(B9="","",B9)</f>
        <v>Pin noir d'Autriche</v>
      </c>
      <c r="D32" s="229" t="s">
        <v>47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48</v>
      </c>
      <c r="C34" s="266" t="s">
        <v>49</v>
      </c>
      <c r="D34" s="266"/>
      <c r="E34" s="267" t="s">
        <v>50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51</v>
      </c>
      <c r="B35" s="36" t="s">
        <v>52</v>
      </c>
      <c r="C35" s="48" t="s">
        <v>53</v>
      </c>
      <c r="D35" s="48" t="s">
        <v>54</v>
      </c>
      <c r="E35" s="36" t="s">
        <v>55</v>
      </c>
      <c r="F35" s="36" t="s">
        <v>56</v>
      </c>
      <c r="G35" s="36" t="s">
        <v>57</v>
      </c>
      <c r="H35" s="36" t="s">
        <v>58</v>
      </c>
      <c r="I35" s="48" t="s">
        <v>59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45</v>
      </c>
      <c r="B36" s="258">
        <v>203.68</v>
      </c>
      <c r="C36" s="258">
        <v>1</v>
      </c>
      <c r="D36" s="259">
        <v>73.989999999999995</v>
      </c>
      <c r="E36" s="260">
        <v>0.5</v>
      </c>
      <c r="F36" s="260">
        <v>0.5</v>
      </c>
      <c r="G36" s="260">
        <v>0</v>
      </c>
      <c r="H36" s="260">
        <v>0</v>
      </c>
      <c r="I36" s="49">
        <f>IFERROR(B36/A36,"")</f>
        <v>4.5262222222222226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60</v>
      </c>
      <c r="B37" s="262">
        <v>242.61</v>
      </c>
      <c r="C37" s="262">
        <v>2</v>
      </c>
      <c r="D37" s="262">
        <v>71.69</v>
      </c>
      <c r="E37" s="263">
        <v>0.7</v>
      </c>
      <c r="F37" s="263">
        <v>0.3</v>
      </c>
      <c r="G37" s="263">
        <v>0</v>
      </c>
      <c r="H37" s="263">
        <v>0</v>
      </c>
      <c r="I37" s="53">
        <f t="shared" ref="I37:I55" si="1">IF(A37&lt;&gt;0,(B37-(B36-D36))/(A37-A36),"")</f>
        <v>7.5280000000000014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75</v>
      </c>
      <c r="B38" s="262">
        <v>272.72000000000003</v>
      </c>
      <c r="C38" s="262">
        <v>3</v>
      </c>
      <c r="D38" s="262">
        <v>75.069999999999993</v>
      </c>
      <c r="E38" s="263">
        <v>0.7</v>
      </c>
      <c r="F38" s="263">
        <v>0.3</v>
      </c>
      <c r="G38" s="263">
        <v>0</v>
      </c>
      <c r="H38" s="263">
        <v>0</v>
      </c>
      <c r="I38" s="53">
        <f t="shared" si="1"/>
        <v>6.7866666666666671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90</v>
      </c>
      <c r="B39" s="262">
        <v>291.89</v>
      </c>
      <c r="C39" s="262">
        <v>4</v>
      </c>
      <c r="D39" s="262">
        <v>65.83</v>
      </c>
      <c r="E39" s="263">
        <v>0.7</v>
      </c>
      <c r="F39" s="263">
        <v>0.3</v>
      </c>
      <c r="G39" s="263">
        <v>0</v>
      </c>
      <c r="H39" s="263">
        <v>0</v>
      </c>
      <c r="I39" s="49">
        <f t="shared" si="1"/>
        <v>6.2826666666666631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100</v>
      </c>
      <c r="B40" s="262">
        <v>285.23</v>
      </c>
      <c r="C40" s="262">
        <v>5</v>
      </c>
      <c r="D40" s="262">
        <v>92.21</v>
      </c>
      <c r="E40" s="263">
        <v>0.7</v>
      </c>
      <c r="F40" s="263">
        <v>0.3</v>
      </c>
      <c r="G40" s="263">
        <v>0</v>
      </c>
      <c r="H40" s="263">
        <v>0</v>
      </c>
      <c r="I40" s="49">
        <f t="shared" si="1"/>
        <v>5.9170000000000016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110</v>
      </c>
      <c r="B41" s="262">
        <v>244.09</v>
      </c>
      <c r="C41" s="262">
        <v>6</v>
      </c>
      <c r="D41" s="262">
        <v>244.09</v>
      </c>
      <c r="E41" s="263">
        <v>0.7</v>
      </c>
      <c r="F41" s="263">
        <v>0.3</v>
      </c>
      <c r="G41" s="263">
        <v>0</v>
      </c>
      <c r="H41" s="263">
        <v>0</v>
      </c>
      <c r="I41" s="53">
        <f t="shared" si="1"/>
        <v>5.1069999999999967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19</v>
      </c>
      <c r="B58" s="52" t="str">
        <f>IF(B10="","",B10)</f>
        <v>Pin laricio</v>
      </c>
      <c r="D58" s="229" t="s">
        <v>47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48</v>
      </c>
      <c r="C60" s="266" t="s">
        <v>49</v>
      </c>
      <c r="D60" s="266"/>
      <c r="E60" s="267" t="s">
        <v>50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51</v>
      </c>
      <c r="B61" s="36" t="s">
        <v>52</v>
      </c>
      <c r="C61" s="48" t="s">
        <v>53</v>
      </c>
      <c r="D61" s="48" t="s">
        <v>54</v>
      </c>
      <c r="E61" s="36" t="s">
        <v>55</v>
      </c>
      <c r="F61" s="36" t="s">
        <v>56</v>
      </c>
      <c r="G61" s="36" t="s">
        <v>57</v>
      </c>
      <c r="H61" s="36" t="s">
        <v>58</v>
      </c>
      <c r="I61" s="48" t="s">
        <v>59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118.6</v>
      </c>
      <c r="C62" s="60">
        <v>1</v>
      </c>
      <c r="D62" s="60">
        <v>50.02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4.7439999999999998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32</v>
      </c>
      <c r="B63" s="60">
        <v>161.16</v>
      </c>
      <c r="C63" s="60">
        <v>2</v>
      </c>
      <c r="D63" s="60">
        <v>45.68</v>
      </c>
      <c r="E63" s="51">
        <v>0.3</v>
      </c>
      <c r="F63" s="51">
        <v>0.5</v>
      </c>
      <c r="G63" s="51">
        <v>0</v>
      </c>
      <c r="H63" s="51">
        <v>0.2</v>
      </c>
      <c r="I63" s="49">
        <f>IF(A63&lt;&gt;0,(B63-(B62-D62))/(A63-A62),"")</f>
        <v>13.225714285714288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225.7</v>
      </c>
      <c r="C64" s="60">
        <v>3</v>
      </c>
      <c r="D64" s="60">
        <v>57.27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13.7775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301.06</v>
      </c>
      <c r="C65" s="60">
        <v>4</v>
      </c>
      <c r="D65" s="60">
        <v>69.17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13.263000000000002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350.41</v>
      </c>
      <c r="C66" s="60">
        <v>5</v>
      </c>
      <c r="D66" s="60">
        <v>63.69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11.852000000000004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389.11</v>
      </c>
      <c r="C67" s="60">
        <v>6</v>
      </c>
      <c r="D67" s="60">
        <v>69.790000000000006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10.238999999999999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400.15</v>
      </c>
      <c r="C68" s="60">
        <v>7</v>
      </c>
      <c r="D68" s="60">
        <v>400.15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8.0829999999999984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21</v>
      </c>
      <c r="B84" s="52" t="str">
        <f>IF(B11="","",B11)</f>
        <v>Chêne pubescent</v>
      </c>
      <c r="D84" s="229" t="s">
        <v>47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48</v>
      </c>
      <c r="C86" s="266" t="s">
        <v>49</v>
      </c>
      <c r="D86" s="266"/>
      <c r="E86" s="267" t="s">
        <v>50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51</v>
      </c>
      <c r="B87" s="36" t="s">
        <v>52</v>
      </c>
      <c r="C87" s="48" t="s">
        <v>53</v>
      </c>
      <c r="D87" s="48" t="s">
        <v>54</v>
      </c>
      <c r="E87" s="36" t="s">
        <v>55</v>
      </c>
      <c r="F87" s="36" t="s">
        <v>56</v>
      </c>
      <c r="G87" s="36" t="s">
        <v>57</v>
      </c>
      <c r="H87" s="36" t="s">
        <v>58</v>
      </c>
      <c r="I87" s="48" t="s">
        <v>59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23</v>
      </c>
      <c r="B110" s="52" t="str">
        <f>IF(B12="","",B12)</f>
        <v>Erable champêtre</v>
      </c>
      <c r="D110" s="229" t="s">
        <v>47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48</v>
      </c>
      <c r="C112" s="266" t="s">
        <v>49</v>
      </c>
      <c r="D112" s="266"/>
      <c r="E112" s="267" t="s">
        <v>50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51</v>
      </c>
      <c r="B113" s="36" t="s">
        <v>52</v>
      </c>
      <c r="C113" s="48" t="s">
        <v>53</v>
      </c>
      <c r="D113" s="48" t="s">
        <v>54</v>
      </c>
      <c r="E113" s="36" t="s">
        <v>55</v>
      </c>
      <c r="F113" s="36" t="s">
        <v>56</v>
      </c>
      <c r="G113" s="36" t="s">
        <v>57</v>
      </c>
      <c r="H113" s="36" t="s">
        <v>58</v>
      </c>
      <c r="I113" s="48" t="s">
        <v>59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9</v>
      </c>
      <c r="C114" s="50">
        <v>2</v>
      </c>
      <c r="D114" s="60">
        <v>0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0.6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57</v>
      </c>
      <c r="C115" s="50">
        <v>3</v>
      </c>
      <c r="D115" s="60">
        <v>21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86</v>
      </c>
      <c r="C116" s="50">
        <v>4</v>
      </c>
      <c r="D116" s="60">
        <v>21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114</v>
      </c>
      <c r="C117" s="50">
        <v>5</v>
      </c>
      <c r="D117" s="60">
        <v>21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9.8000000000000007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136</v>
      </c>
      <c r="C118" s="50">
        <v>6</v>
      </c>
      <c r="D118" s="60">
        <v>21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153</v>
      </c>
      <c r="C119" s="50">
        <v>7</v>
      </c>
      <c r="D119" s="60">
        <v>21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7.6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164</v>
      </c>
      <c r="C120" s="60">
        <v>8</v>
      </c>
      <c r="D120" s="60">
        <v>18</v>
      </c>
      <c r="E120" s="87">
        <v>0.3</v>
      </c>
      <c r="F120" s="87">
        <v>0</v>
      </c>
      <c r="G120" s="87">
        <v>0</v>
      </c>
      <c r="H120" s="87">
        <v>0.7</v>
      </c>
      <c r="I120" s="53">
        <f t="shared" si="4"/>
        <v>6.4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174</v>
      </c>
      <c r="C121" s="60">
        <v>9</v>
      </c>
      <c r="D121" s="60">
        <v>13</v>
      </c>
      <c r="E121" s="87">
        <v>0.3</v>
      </c>
      <c r="F121" s="87">
        <v>0</v>
      </c>
      <c r="G121" s="87">
        <v>0</v>
      </c>
      <c r="H121" s="87">
        <v>0.7</v>
      </c>
      <c r="I121" s="53">
        <f t="shared" si="4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185</v>
      </c>
      <c r="C122" s="60">
        <v>10</v>
      </c>
      <c r="D122" s="60">
        <v>11</v>
      </c>
      <c r="E122" s="87">
        <v>0.3</v>
      </c>
      <c r="F122" s="87">
        <v>0</v>
      </c>
      <c r="G122" s="87">
        <v>0</v>
      </c>
      <c r="H122" s="87">
        <v>0.7</v>
      </c>
      <c r="I122" s="53">
        <f t="shared" si="4"/>
        <v>4.8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194</v>
      </c>
      <c r="C123" s="60">
        <v>11</v>
      </c>
      <c r="D123" s="60">
        <v>9</v>
      </c>
      <c r="E123" s="87">
        <v>0.3</v>
      </c>
      <c r="F123" s="87">
        <v>0</v>
      </c>
      <c r="G123" s="87">
        <v>0</v>
      </c>
      <c r="H123" s="87">
        <v>0.7</v>
      </c>
      <c r="I123" s="53">
        <f t="shared" si="4"/>
        <v>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202</v>
      </c>
      <c r="C124" s="60">
        <v>12</v>
      </c>
      <c r="D124" s="60">
        <v>8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3.4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v>209</v>
      </c>
      <c r="C125" s="60">
        <v>13</v>
      </c>
      <c r="D125" s="60">
        <v>8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75</v>
      </c>
      <c r="B126" s="60">
        <v>214</v>
      </c>
      <c r="C126" s="60">
        <v>14</v>
      </c>
      <c r="D126" s="60">
        <v>7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2.6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80</v>
      </c>
      <c r="B127" s="60">
        <v>219</v>
      </c>
      <c r="C127" s="60">
        <v>15</v>
      </c>
      <c r="D127" s="60">
        <v>219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2.4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25</v>
      </c>
      <c r="B136" s="52" t="str">
        <f>IF(B13="","",B13)</f>
        <v>Chêne sessile</v>
      </c>
      <c r="D136" s="229" t="s">
        <v>47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48</v>
      </c>
      <c r="C138" s="266" t="s">
        <v>49</v>
      </c>
      <c r="D138" s="266"/>
      <c r="E138" s="267" t="s">
        <v>50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51</v>
      </c>
      <c r="B139" s="36" t="s">
        <v>52</v>
      </c>
      <c r="C139" s="48" t="s">
        <v>53</v>
      </c>
      <c r="D139" s="48" t="s">
        <v>54</v>
      </c>
      <c r="E139" s="36" t="s">
        <v>55</v>
      </c>
      <c r="F139" s="36" t="s">
        <v>56</v>
      </c>
      <c r="G139" s="36" t="s">
        <v>57</v>
      </c>
      <c r="H139" s="36" t="s">
        <v>58</v>
      </c>
      <c r="I139" s="48" t="s">
        <v>59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42</v>
      </c>
      <c r="B140" s="60">
        <v>163.26</v>
      </c>
      <c r="C140" s="50">
        <v>1</v>
      </c>
      <c r="D140" s="60">
        <v>43.21</v>
      </c>
      <c r="E140" s="51">
        <v>0.3</v>
      </c>
      <c r="F140" s="51">
        <v>0</v>
      </c>
      <c r="G140" s="51">
        <v>0</v>
      </c>
      <c r="H140" s="51">
        <v>0.7</v>
      </c>
      <c r="I140" s="57">
        <f>IFERROR(B140/A140,"")</f>
        <v>3.887142857142857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50</v>
      </c>
      <c r="B141" s="60">
        <v>195.02</v>
      </c>
      <c r="C141" s="50">
        <v>2</v>
      </c>
      <c r="D141" s="60">
        <v>35.58</v>
      </c>
      <c r="E141" s="51">
        <v>0.3</v>
      </c>
      <c r="F141" s="51">
        <v>0</v>
      </c>
      <c r="G141" s="51">
        <v>0</v>
      </c>
      <c r="H141" s="51">
        <v>0.7</v>
      </c>
      <c r="I141" s="57">
        <f t="shared" ref="I141:I159" si="5">IF(A141&lt;&gt;0,(B141-(B140-D140))/(A141-A140),"")</f>
        <v>9.3712500000000034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58</v>
      </c>
      <c r="B142" s="60">
        <v>235.87</v>
      </c>
      <c r="C142" s="50">
        <v>3</v>
      </c>
      <c r="D142" s="60">
        <v>44.93</v>
      </c>
      <c r="E142" s="51">
        <v>0.3</v>
      </c>
      <c r="F142" s="51">
        <v>0</v>
      </c>
      <c r="G142" s="51">
        <v>0</v>
      </c>
      <c r="H142" s="51">
        <v>0.7</v>
      </c>
      <c r="I142" s="57">
        <f t="shared" si="5"/>
        <v>9.5537500000000009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66</v>
      </c>
      <c r="B143" s="60">
        <v>264.95999999999998</v>
      </c>
      <c r="C143" s="50">
        <v>4</v>
      </c>
      <c r="D143" s="60">
        <v>49.91</v>
      </c>
      <c r="E143" s="51">
        <v>0.6</v>
      </c>
      <c r="F143" s="51">
        <v>0</v>
      </c>
      <c r="G143" s="51">
        <v>0</v>
      </c>
      <c r="H143" s="51">
        <v>0.4</v>
      </c>
      <c r="I143" s="57">
        <f t="shared" si="5"/>
        <v>9.2524999999999977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74</v>
      </c>
      <c r="B144" s="60">
        <v>285.98</v>
      </c>
      <c r="C144" s="50">
        <v>5</v>
      </c>
      <c r="D144" s="60">
        <v>47.4</v>
      </c>
      <c r="E144" s="51">
        <v>0.6</v>
      </c>
      <c r="F144" s="51">
        <v>0</v>
      </c>
      <c r="G144" s="51">
        <v>0</v>
      </c>
      <c r="H144" s="51">
        <v>0.4</v>
      </c>
      <c r="I144" s="57">
        <f t="shared" si="5"/>
        <v>8.8662500000000044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84</v>
      </c>
      <c r="B145" s="60">
        <v>325.35000000000002</v>
      </c>
      <c r="C145" s="50">
        <v>6</v>
      </c>
      <c r="D145" s="60">
        <v>61.47</v>
      </c>
      <c r="E145" s="51">
        <v>0.6</v>
      </c>
      <c r="F145" s="51">
        <v>0</v>
      </c>
      <c r="G145" s="51">
        <v>0</v>
      </c>
      <c r="H145" s="51">
        <v>0.4</v>
      </c>
      <c r="I145" s="57">
        <f t="shared" si="5"/>
        <v>8.6770000000000014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94</v>
      </c>
      <c r="B146" s="60">
        <v>346.79</v>
      </c>
      <c r="C146" s="50">
        <v>7</v>
      </c>
      <c r="D146" s="60">
        <v>61.85</v>
      </c>
      <c r="E146" s="51">
        <v>0.6</v>
      </c>
      <c r="F146" s="51">
        <v>0</v>
      </c>
      <c r="G146" s="51">
        <v>0</v>
      </c>
      <c r="H146" s="51">
        <v>0.4</v>
      </c>
      <c r="I146" s="57">
        <f t="shared" si="5"/>
        <v>8.2910000000000021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104</v>
      </c>
      <c r="B147" s="60">
        <v>365.41</v>
      </c>
      <c r="C147" s="50">
        <v>8</v>
      </c>
      <c r="D147" s="60">
        <v>60.19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8.0470000000000024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114</v>
      </c>
      <c r="B148" s="60">
        <v>384.57</v>
      </c>
      <c r="C148" s="50">
        <v>9</v>
      </c>
      <c r="D148" s="60">
        <v>56.07</v>
      </c>
      <c r="E148" s="51">
        <v>0.6</v>
      </c>
      <c r="F148" s="51">
        <v>0</v>
      </c>
      <c r="G148" s="51">
        <v>0</v>
      </c>
      <c r="H148" s="51">
        <v>0.4</v>
      </c>
      <c r="I148" s="57">
        <f t="shared" si="5"/>
        <v>7.9349999999999969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124</v>
      </c>
      <c r="B149" s="60">
        <v>408.42</v>
      </c>
      <c r="C149" s="50">
        <v>10</v>
      </c>
      <c r="D149" s="60">
        <v>52.53</v>
      </c>
      <c r="E149" s="51">
        <v>0.6</v>
      </c>
      <c r="F149" s="51">
        <v>0</v>
      </c>
      <c r="G149" s="51">
        <v>0</v>
      </c>
      <c r="H149" s="51">
        <v>0.4</v>
      </c>
      <c r="I149" s="57">
        <f t="shared" si="5"/>
        <v>7.9920000000000018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134</v>
      </c>
      <c r="B150" s="60">
        <v>436.59</v>
      </c>
      <c r="C150" s="50">
        <v>11</v>
      </c>
      <c r="D150" s="60">
        <v>54.95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5"/>
        <v>8.0699999999999985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144</v>
      </c>
      <c r="B151" s="60">
        <v>463.23</v>
      </c>
      <c r="C151" s="50">
        <v>12</v>
      </c>
      <c r="D151" s="60">
        <v>56.01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8.1590000000000025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154</v>
      </c>
      <c r="B152" s="60">
        <v>490.47</v>
      </c>
      <c r="C152" s="50">
        <v>13</v>
      </c>
      <c r="D152" s="60">
        <v>55.13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8.3249999999999993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164</v>
      </c>
      <c r="B153" s="60">
        <v>519.77</v>
      </c>
      <c r="C153" s="50">
        <v>14</v>
      </c>
      <c r="D153" s="60">
        <v>59.58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8.4429999999999943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174</v>
      </c>
      <c r="B154" s="56">
        <v>545.65</v>
      </c>
      <c r="C154" s="50">
        <v>15</v>
      </c>
      <c r="D154" s="50">
        <v>214.77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5"/>
        <v>8.5459999999999976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177</v>
      </c>
      <c r="B155" s="56">
        <v>347.04</v>
      </c>
      <c r="C155" s="50">
        <v>16</v>
      </c>
      <c r="D155" s="50">
        <v>115.19</v>
      </c>
      <c r="E155" s="54">
        <v>0.6</v>
      </c>
      <c r="F155" s="54">
        <v>0</v>
      </c>
      <c r="G155" s="54">
        <v>0</v>
      </c>
      <c r="H155" s="54">
        <v>0.4</v>
      </c>
      <c r="I155" s="57">
        <f t="shared" si="5"/>
        <v>5.3866666666666747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180</v>
      </c>
      <c r="B156" s="56">
        <v>241.62</v>
      </c>
      <c r="C156" s="50">
        <v>17</v>
      </c>
      <c r="D156" s="50">
        <v>77.72</v>
      </c>
      <c r="E156" s="54">
        <v>0.6</v>
      </c>
      <c r="F156" s="54">
        <v>0</v>
      </c>
      <c r="G156" s="54">
        <v>0</v>
      </c>
      <c r="H156" s="54">
        <v>0.4</v>
      </c>
      <c r="I156" s="57">
        <f t="shared" si="5"/>
        <v>3.2566666666666606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183</v>
      </c>
      <c r="B157" s="56">
        <v>169.76</v>
      </c>
      <c r="C157" s="50">
        <v>18</v>
      </c>
      <c r="D157" s="50">
        <v>169.76</v>
      </c>
      <c r="E157" s="54">
        <v>0.6</v>
      </c>
      <c r="F157" s="54">
        <v>0</v>
      </c>
      <c r="G157" s="54">
        <v>0</v>
      </c>
      <c r="H157" s="54">
        <v>0.4</v>
      </c>
      <c r="I157" s="57">
        <f t="shared" si="5"/>
        <v>1.9533333333333285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27</v>
      </c>
      <c r="B162" s="52" t="str">
        <f>IF(B14="","",B14)</f>
        <v>Alisier torminal</v>
      </c>
      <c r="D162" s="229" t="s">
        <v>47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48</v>
      </c>
      <c r="C164" s="266" t="s">
        <v>49</v>
      </c>
      <c r="D164" s="266"/>
      <c r="E164" s="267" t="s">
        <v>50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51</v>
      </c>
      <c r="B165" s="36" t="s">
        <v>52</v>
      </c>
      <c r="C165" s="48" t="s">
        <v>53</v>
      </c>
      <c r="D165" s="48" t="s">
        <v>54</v>
      </c>
      <c r="E165" s="36" t="s">
        <v>55</v>
      </c>
      <c r="F165" s="36" t="s">
        <v>56</v>
      </c>
      <c r="G165" s="36" t="s">
        <v>57</v>
      </c>
      <c r="H165" s="36" t="s">
        <v>58</v>
      </c>
      <c r="I165" s="48" t="s">
        <v>59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42</v>
      </c>
      <c r="B166" s="60">
        <v>163.26</v>
      </c>
      <c r="C166" s="60">
        <v>1</v>
      </c>
      <c r="D166" s="60">
        <v>43.21</v>
      </c>
      <c r="E166" s="51">
        <v>0.3</v>
      </c>
      <c r="F166" s="51">
        <v>0</v>
      </c>
      <c r="G166" s="51">
        <v>0</v>
      </c>
      <c r="H166" s="51">
        <v>0.7</v>
      </c>
      <c r="I166" s="49">
        <f>IFERROR(B166/A166,"")</f>
        <v>3.887142857142857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50</v>
      </c>
      <c r="B167" s="60">
        <v>195.02</v>
      </c>
      <c r="C167" s="60">
        <v>2</v>
      </c>
      <c r="D167" s="60">
        <v>35.58</v>
      </c>
      <c r="E167" s="51">
        <v>0.3</v>
      </c>
      <c r="F167" s="51">
        <v>0</v>
      </c>
      <c r="G167" s="51">
        <v>0</v>
      </c>
      <c r="H167" s="51">
        <v>0.7</v>
      </c>
      <c r="I167" s="49">
        <f t="shared" ref="I167:I185" si="6">IF(A167&lt;&gt;0,(B167-(B166-D166))/(A167-A166),"")</f>
        <v>9.3712500000000034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58</v>
      </c>
      <c r="B168" s="60">
        <v>235.87</v>
      </c>
      <c r="C168" s="60">
        <v>3</v>
      </c>
      <c r="D168" s="60">
        <v>44.93</v>
      </c>
      <c r="E168" s="51">
        <v>0.3</v>
      </c>
      <c r="F168" s="51">
        <v>0</v>
      </c>
      <c r="G168" s="51">
        <v>0</v>
      </c>
      <c r="H168" s="51">
        <v>0.7</v>
      </c>
      <c r="I168" s="49">
        <f t="shared" si="6"/>
        <v>9.5537500000000009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66</v>
      </c>
      <c r="B169" s="60">
        <v>264.95999999999998</v>
      </c>
      <c r="C169" s="60">
        <v>4</v>
      </c>
      <c r="D169" s="60">
        <v>49.91</v>
      </c>
      <c r="E169" s="51">
        <v>0.6</v>
      </c>
      <c r="F169" s="51">
        <v>0</v>
      </c>
      <c r="G169" s="51">
        <v>0</v>
      </c>
      <c r="H169" s="51">
        <v>0.4</v>
      </c>
      <c r="I169" s="49">
        <f t="shared" si="6"/>
        <v>9.2524999999999977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74</v>
      </c>
      <c r="B170" s="60">
        <v>285.98</v>
      </c>
      <c r="C170" s="60">
        <v>5</v>
      </c>
      <c r="D170" s="60">
        <v>47.4</v>
      </c>
      <c r="E170" s="51">
        <v>0.6</v>
      </c>
      <c r="F170" s="51">
        <v>0</v>
      </c>
      <c r="G170" s="51">
        <v>0</v>
      </c>
      <c r="H170" s="51">
        <v>0.4</v>
      </c>
      <c r="I170" s="49">
        <f t="shared" si="6"/>
        <v>8.8662500000000044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84</v>
      </c>
      <c r="B171" s="60">
        <v>325.35000000000002</v>
      </c>
      <c r="C171" s="60">
        <v>6</v>
      </c>
      <c r="D171" s="60">
        <v>61.47</v>
      </c>
      <c r="E171" s="51">
        <v>0.6</v>
      </c>
      <c r="F171" s="51">
        <v>0</v>
      </c>
      <c r="G171" s="51">
        <v>0</v>
      </c>
      <c r="H171" s="51">
        <v>0.4</v>
      </c>
      <c r="I171" s="49">
        <f t="shared" si="6"/>
        <v>8.6770000000000014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94</v>
      </c>
      <c r="B172" s="60">
        <v>346.79</v>
      </c>
      <c r="C172" s="60">
        <v>7</v>
      </c>
      <c r="D172" s="60">
        <v>61.85</v>
      </c>
      <c r="E172" s="51">
        <v>0.6</v>
      </c>
      <c r="F172" s="51">
        <v>0</v>
      </c>
      <c r="G172" s="51">
        <v>0</v>
      </c>
      <c r="H172" s="51">
        <v>0.4</v>
      </c>
      <c r="I172" s="49">
        <f t="shared" si="6"/>
        <v>8.2910000000000021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104</v>
      </c>
      <c r="B173" s="50">
        <v>365.41</v>
      </c>
      <c r="C173" s="50">
        <v>8</v>
      </c>
      <c r="D173" s="50">
        <v>60.19</v>
      </c>
      <c r="E173" s="51">
        <v>0.6</v>
      </c>
      <c r="F173" s="51">
        <v>0</v>
      </c>
      <c r="G173" s="51">
        <v>0</v>
      </c>
      <c r="H173" s="51">
        <v>0.4</v>
      </c>
      <c r="I173" s="49">
        <f t="shared" si="6"/>
        <v>8.0470000000000024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114</v>
      </c>
      <c r="B174" s="50">
        <v>384.57</v>
      </c>
      <c r="C174" s="50">
        <v>9</v>
      </c>
      <c r="D174" s="50">
        <v>56.07</v>
      </c>
      <c r="E174" s="51">
        <v>0.6</v>
      </c>
      <c r="F174" s="51">
        <v>0</v>
      </c>
      <c r="G174" s="51">
        <v>0</v>
      </c>
      <c r="H174" s="51">
        <v>0.4</v>
      </c>
      <c r="I174" s="49">
        <f t="shared" si="6"/>
        <v>7.9349999999999969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124</v>
      </c>
      <c r="B175" s="50">
        <v>408.42</v>
      </c>
      <c r="C175" s="50">
        <v>10</v>
      </c>
      <c r="D175" s="50">
        <v>52.53</v>
      </c>
      <c r="E175" s="51">
        <v>0.6</v>
      </c>
      <c r="F175" s="51">
        <v>0</v>
      </c>
      <c r="G175" s="51">
        <v>0</v>
      </c>
      <c r="H175" s="51">
        <v>0.4</v>
      </c>
      <c r="I175" s="49">
        <f t="shared" si="6"/>
        <v>7.9920000000000018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134</v>
      </c>
      <c r="B176" s="50">
        <v>436.59</v>
      </c>
      <c r="C176" s="50">
        <v>11</v>
      </c>
      <c r="D176" s="50">
        <v>54.95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6"/>
        <v>8.0699999999999985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144</v>
      </c>
      <c r="B177" s="50">
        <v>463.23</v>
      </c>
      <c r="C177" s="50">
        <v>12</v>
      </c>
      <c r="D177" s="50">
        <v>56.01</v>
      </c>
      <c r="E177" s="51">
        <v>0.6</v>
      </c>
      <c r="F177" s="51">
        <v>0</v>
      </c>
      <c r="G177" s="51">
        <v>0</v>
      </c>
      <c r="H177" s="51">
        <v>0.4</v>
      </c>
      <c r="I177" s="49">
        <f t="shared" si="6"/>
        <v>8.1590000000000025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154</v>
      </c>
      <c r="B178" s="50">
        <v>490.47</v>
      </c>
      <c r="C178" s="50">
        <v>13</v>
      </c>
      <c r="D178" s="50">
        <v>55.13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6"/>
        <v>8.3249999999999993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164</v>
      </c>
      <c r="B179" s="50">
        <v>519.77</v>
      </c>
      <c r="C179" s="50">
        <v>14</v>
      </c>
      <c r="D179" s="50">
        <v>59.58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6"/>
        <v>8.4429999999999943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174</v>
      </c>
      <c r="B180" s="50">
        <v>545.65</v>
      </c>
      <c r="C180" s="50">
        <v>15</v>
      </c>
      <c r="D180" s="50">
        <v>214.77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6"/>
        <v>8.5459999999999976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177</v>
      </c>
      <c r="B181" s="50">
        <v>347.04</v>
      </c>
      <c r="C181" s="50">
        <v>16</v>
      </c>
      <c r="D181" s="50">
        <v>115.19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6"/>
        <v>5.3866666666666747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180</v>
      </c>
      <c r="B182" s="50">
        <v>241.62</v>
      </c>
      <c r="C182" s="50">
        <v>17</v>
      </c>
      <c r="D182" s="50">
        <v>77.72</v>
      </c>
      <c r="E182" s="51">
        <v>0.6</v>
      </c>
      <c r="F182" s="51">
        <v>0</v>
      </c>
      <c r="G182" s="51">
        <v>0</v>
      </c>
      <c r="H182" s="51">
        <v>0.4</v>
      </c>
      <c r="I182" s="49">
        <f t="shared" si="6"/>
        <v>3.2566666666666606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183</v>
      </c>
      <c r="B183" s="50">
        <v>169.76</v>
      </c>
      <c r="C183" s="50">
        <v>18</v>
      </c>
      <c r="D183" s="50">
        <v>169.76</v>
      </c>
      <c r="E183" s="51">
        <v>0.6</v>
      </c>
      <c r="F183" s="51">
        <v>0</v>
      </c>
      <c r="G183" s="51">
        <v>0</v>
      </c>
      <c r="H183" s="51">
        <v>0.4</v>
      </c>
      <c r="I183" s="49">
        <f t="shared" si="6"/>
        <v>1.9533333333333285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29</v>
      </c>
      <c r="B188" s="52" t="str">
        <f>IF(B15="","",B15)</f>
        <v/>
      </c>
      <c r="D188" s="229" t="s">
        <v>47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48</v>
      </c>
      <c r="C190" s="266" t="s">
        <v>49</v>
      </c>
      <c r="D190" s="266"/>
      <c r="E190" s="267" t="s">
        <v>50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51</v>
      </c>
      <c r="B191" s="36" t="s">
        <v>52</v>
      </c>
      <c r="C191" s="48" t="s">
        <v>53</v>
      </c>
      <c r="D191" s="48" t="s">
        <v>54</v>
      </c>
      <c r="E191" s="36" t="s">
        <v>55</v>
      </c>
      <c r="F191" s="36" t="s">
        <v>56</v>
      </c>
      <c r="G191" s="36" t="s">
        <v>57</v>
      </c>
      <c r="H191" s="36" t="s">
        <v>58</v>
      </c>
      <c r="I191" s="48" t="s">
        <v>59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30</v>
      </c>
      <c r="B214" s="52" t="str">
        <f>IF(B16="","",B16)</f>
        <v/>
      </c>
      <c r="D214" s="229" t="s">
        <v>47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48</v>
      </c>
      <c r="C216" s="266" t="s">
        <v>49</v>
      </c>
      <c r="D216" s="266"/>
      <c r="E216" s="267" t="s">
        <v>50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51</v>
      </c>
      <c r="B217" s="36" t="s">
        <v>52</v>
      </c>
      <c r="C217" s="48" t="s">
        <v>53</v>
      </c>
      <c r="D217" s="48" t="s">
        <v>54</v>
      </c>
      <c r="E217" s="36" t="s">
        <v>55</v>
      </c>
      <c r="F217" s="36" t="s">
        <v>56</v>
      </c>
      <c r="G217" s="36" t="s">
        <v>57</v>
      </c>
      <c r="H217" s="36" t="s">
        <v>58</v>
      </c>
      <c r="I217" s="48" t="s">
        <v>59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31</v>
      </c>
      <c r="B240" s="52" t="str">
        <f>IF(B17="","",B17)</f>
        <v/>
      </c>
      <c r="D240" s="229" t="s">
        <v>47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48</v>
      </c>
      <c r="C242" s="266" t="s">
        <v>49</v>
      </c>
      <c r="D242" s="266"/>
      <c r="E242" s="267" t="s">
        <v>50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51</v>
      </c>
      <c r="B243" s="36" t="s">
        <v>52</v>
      </c>
      <c r="C243" s="48" t="s">
        <v>53</v>
      </c>
      <c r="D243" s="48" t="s">
        <v>54</v>
      </c>
      <c r="E243" s="36" t="s">
        <v>55</v>
      </c>
      <c r="F243" s="36" t="s">
        <v>56</v>
      </c>
      <c r="G243" s="36" t="s">
        <v>57</v>
      </c>
      <c r="H243" s="36" t="s">
        <v>58</v>
      </c>
      <c r="I243" s="48" t="s">
        <v>59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32</v>
      </c>
      <c r="B266" s="52" t="str">
        <f>IF(B18="","",B18)</f>
        <v/>
      </c>
      <c r="D266" s="229" t="s">
        <v>47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48</v>
      </c>
      <c r="C268" s="266" t="s">
        <v>49</v>
      </c>
      <c r="D268" s="266"/>
      <c r="E268" s="267" t="s">
        <v>50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51</v>
      </c>
      <c r="B269" s="36" t="s">
        <v>52</v>
      </c>
      <c r="C269" s="48" t="s">
        <v>53</v>
      </c>
      <c r="D269" s="48" t="s">
        <v>54</v>
      </c>
      <c r="E269" s="36" t="s">
        <v>55</v>
      </c>
      <c r="F269" s="36" t="s">
        <v>56</v>
      </c>
      <c r="G269" s="36" t="s">
        <v>57</v>
      </c>
      <c r="H269" s="36" t="s">
        <v>58</v>
      </c>
      <c r="I269" s="48" t="s">
        <v>59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3" sqref="G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44140625" style="1" customWidth="1"/>
    <col min="6" max="6" width="14.44140625" style="1" customWidth="1"/>
    <col min="7" max="7" width="73.441406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60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61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62</v>
      </c>
      <c r="C7" s="100" t="s">
        <v>63</v>
      </c>
      <c r="D7" s="215"/>
      <c r="E7" s="101"/>
      <c r="F7" s="26" t="s">
        <v>62</v>
      </c>
      <c r="G7" s="100" t="s">
        <v>64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65</v>
      </c>
      <c r="D8" s="23"/>
      <c r="E8" s="105">
        <v>4</v>
      </c>
      <c r="F8" s="61">
        <v>0</v>
      </c>
      <c r="G8" s="102" t="s">
        <v>66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67</v>
      </c>
      <c r="D9" s="23"/>
      <c r="E9" s="105">
        <v>5</v>
      </c>
      <c r="F9" s="61">
        <v>0</v>
      </c>
      <c r="G9" s="103" t="s">
        <v>68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69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70</v>
      </c>
      <c r="D13" s="216"/>
      <c r="E13" s="99"/>
      <c r="F13" s="107"/>
      <c r="G13" s="98" t="s">
        <v>71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72</v>
      </c>
      <c r="D14" s="216"/>
      <c r="E14" s="99"/>
      <c r="F14" s="107"/>
      <c r="G14" s="98" t="s">
        <v>73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62</v>
      </c>
      <c r="C15" s="4"/>
      <c r="D15" s="23"/>
      <c r="E15" s="4"/>
      <c r="F15" s="4"/>
      <c r="G15" s="2" t="s">
        <v>74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75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76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77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554687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5546875" style="4" bestFit="1" customWidth="1"/>
    <col min="25" max="25" width="14.5546875" style="4" bestFit="1" customWidth="1"/>
    <col min="26" max="26" width="12.44140625" style="4" bestFit="1" customWidth="1"/>
    <col min="27" max="27" width="9.554687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44140625" style="4" bestFit="1" customWidth="1"/>
    <col min="45" max="45" width="11.5546875" style="4" bestFit="1" customWidth="1"/>
    <col min="46" max="46" width="8.44140625" style="4" bestFit="1" customWidth="1"/>
    <col min="47" max="47" width="9.44140625" style="4" bestFit="1" customWidth="1"/>
    <col min="48" max="48" width="9.554687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441406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44140625" style="4" bestFit="1" customWidth="1"/>
    <col min="66" max="66" width="11.5546875" style="4" bestFit="1" customWidth="1"/>
    <col min="67" max="67" width="8.44140625" style="4" bestFit="1" customWidth="1"/>
    <col min="68" max="68" width="9.44140625" style="4" bestFit="1" customWidth="1"/>
    <col min="69" max="69" width="9.554687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44140625" style="4" bestFit="1" customWidth="1"/>
    <col min="87" max="87" width="11.5546875" style="4" bestFit="1" customWidth="1"/>
    <col min="88" max="88" width="8.44140625" style="4" bestFit="1" customWidth="1"/>
    <col min="89" max="89" width="9.44140625" style="4" bestFit="1" customWidth="1"/>
    <col min="90" max="90" width="9.554687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44140625" style="4" bestFit="1" customWidth="1"/>
    <col min="108" max="108" width="11.5546875" style="4" bestFit="1" customWidth="1"/>
    <col min="109" max="109" width="8.44140625" style="4" bestFit="1" customWidth="1"/>
    <col min="110" max="110" width="9.44140625" style="4" bestFit="1" customWidth="1"/>
    <col min="111" max="111" width="9.554687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441406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44140625" style="4" bestFit="1" customWidth="1"/>
    <col min="129" max="129" width="11.5546875" style="4" bestFit="1" customWidth="1"/>
    <col min="130" max="130" width="8.44140625" style="4" bestFit="1" customWidth="1"/>
    <col min="131" max="131" width="9.44140625" style="4" bestFit="1" customWidth="1"/>
    <col min="132" max="132" width="9.554687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44140625" style="4" bestFit="1" customWidth="1"/>
    <col min="150" max="150" width="11.5546875" style="4" bestFit="1" customWidth="1"/>
    <col min="151" max="151" width="8.44140625" style="4" bestFit="1" customWidth="1"/>
    <col min="152" max="152" width="9.44140625" style="4" bestFit="1" customWidth="1"/>
    <col min="153" max="153" width="9.554687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44140625" style="4" bestFit="1" customWidth="1"/>
    <col min="171" max="171" width="11.5546875" style="4" bestFit="1" customWidth="1"/>
    <col min="172" max="172" width="8.109375" style="4" bestFit="1" customWidth="1"/>
    <col min="173" max="173" width="9.44140625" style="4" bestFit="1" customWidth="1"/>
    <col min="174" max="174" width="9.554687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441406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554687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441406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44140625" style="4" bestFit="1" customWidth="1"/>
    <col min="213" max="213" width="11.5546875" style="4" bestFit="1" customWidth="1"/>
    <col min="214" max="214" width="8.44140625" style="4" bestFit="1" customWidth="1"/>
    <col min="215" max="215" width="9.44140625" style="4" bestFit="1" customWidth="1"/>
    <col min="216" max="216" width="9.554687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78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Pin noir d'Autriche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Pin laricio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Chêne pubescent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Erable champêtre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Chêne sessile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Alisier torminal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79</v>
      </c>
      <c r="B2" s="72" t="s">
        <v>80</v>
      </c>
      <c r="C2" s="5" t="s">
        <v>81</v>
      </c>
      <c r="D2" s="5" t="s">
        <v>82</v>
      </c>
      <c r="E2" s="5" t="s">
        <v>83</v>
      </c>
      <c r="F2" s="5" t="s">
        <v>84</v>
      </c>
      <c r="G2" s="5" t="s">
        <v>85</v>
      </c>
      <c r="H2" s="66" t="s">
        <v>86</v>
      </c>
      <c r="I2" s="68" t="s">
        <v>83</v>
      </c>
      <c r="J2" s="69" t="s">
        <v>84</v>
      </c>
      <c r="K2" s="6" t="s">
        <v>87</v>
      </c>
      <c r="L2" s="6" t="s">
        <v>88</v>
      </c>
      <c r="M2" s="6" t="s">
        <v>88</v>
      </c>
      <c r="N2" s="6" t="s">
        <v>89</v>
      </c>
      <c r="O2" s="6" t="s">
        <v>90</v>
      </c>
      <c r="P2" s="6" t="s">
        <v>91</v>
      </c>
      <c r="Q2" s="6" t="s">
        <v>85</v>
      </c>
      <c r="R2" s="6" t="s">
        <v>92</v>
      </c>
      <c r="S2" s="6" t="s">
        <v>93</v>
      </c>
      <c r="T2" s="6" t="s">
        <v>94</v>
      </c>
      <c r="U2" s="7" t="s">
        <v>95</v>
      </c>
      <c r="V2" s="8" t="s">
        <v>96</v>
      </c>
      <c r="W2" s="7" t="s">
        <v>55</v>
      </c>
      <c r="X2" s="7" t="s">
        <v>56</v>
      </c>
      <c r="Y2" s="7" t="s">
        <v>97</v>
      </c>
      <c r="Z2" s="8" t="s">
        <v>98</v>
      </c>
      <c r="AA2" s="8" t="s">
        <v>99</v>
      </c>
      <c r="AB2" s="8" t="s">
        <v>100</v>
      </c>
      <c r="AC2" s="9" t="s">
        <v>101</v>
      </c>
      <c r="AD2" s="69" t="s">
        <v>83</v>
      </c>
      <c r="AE2" s="69" t="s">
        <v>84</v>
      </c>
      <c r="AF2" s="6" t="s">
        <v>87</v>
      </c>
      <c r="AG2" s="6" t="s">
        <v>88</v>
      </c>
      <c r="AH2" s="6" t="s">
        <v>88</v>
      </c>
      <c r="AI2" s="6" t="s">
        <v>89</v>
      </c>
      <c r="AJ2" s="6" t="s">
        <v>90</v>
      </c>
      <c r="AK2" s="6" t="s">
        <v>91</v>
      </c>
      <c r="AL2" s="6" t="s">
        <v>85</v>
      </c>
      <c r="AM2" s="6" t="s">
        <v>92</v>
      </c>
      <c r="AN2" s="6" t="s">
        <v>93</v>
      </c>
      <c r="AO2" s="6" t="s">
        <v>94</v>
      </c>
      <c r="AP2" s="7" t="s">
        <v>95</v>
      </c>
      <c r="AQ2" s="8" t="s">
        <v>96</v>
      </c>
      <c r="AR2" s="7" t="s">
        <v>55</v>
      </c>
      <c r="AS2" s="7" t="s">
        <v>56</v>
      </c>
      <c r="AT2" s="8" t="s">
        <v>102</v>
      </c>
      <c r="AU2" s="8" t="s">
        <v>98</v>
      </c>
      <c r="AV2" s="8" t="s">
        <v>99</v>
      </c>
      <c r="AW2" s="8" t="s">
        <v>100</v>
      </c>
      <c r="AX2" s="8" t="s">
        <v>101</v>
      </c>
      <c r="AY2" s="68" t="s">
        <v>83</v>
      </c>
      <c r="AZ2" s="69" t="s">
        <v>84</v>
      </c>
      <c r="BA2" s="6" t="s">
        <v>87</v>
      </c>
      <c r="BB2" s="6" t="s">
        <v>88</v>
      </c>
      <c r="BC2" s="6" t="s">
        <v>88</v>
      </c>
      <c r="BD2" s="6" t="s">
        <v>89</v>
      </c>
      <c r="BE2" s="6" t="s">
        <v>90</v>
      </c>
      <c r="BF2" s="6" t="s">
        <v>91</v>
      </c>
      <c r="BG2" s="6" t="s">
        <v>85</v>
      </c>
      <c r="BH2" s="6" t="s">
        <v>92</v>
      </c>
      <c r="BI2" s="6" t="s">
        <v>93</v>
      </c>
      <c r="BJ2" s="6" t="s">
        <v>94</v>
      </c>
      <c r="BK2" s="7" t="s">
        <v>95</v>
      </c>
      <c r="BL2" s="8" t="s">
        <v>96</v>
      </c>
      <c r="BM2" s="7" t="s">
        <v>55</v>
      </c>
      <c r="BN2" s="7" t="s">
        <v>56</v>
      </c>
      <c r="BO2" s="8" t="s">
        <v>102</v>
      </c>
      <c r="BP2" s="8" t="s">
        <v>98</v>
      </c>
      <c r="BQ2" s="8" t="s">
        <v>99</v>
      </c>
      <c r="BR2" s="8" t="s">
        <v>100</v>
      </c>
      <c r="BS2" s="9" t="s">
        <v>101</v>
      </c>
      <c r="BT2" s="68" t="s">
        <v>83</v>
      </c>
      <c r="BU2" s="69" t="s">
        <v>84</v>
      </c>
      <c r="BV2" s="6" t="s">
        <v>87</v>
      </c>
      <c r="BW2" s="6" t="s">
        <v>88</v>
      </c>
      <c r="BX2" s="6" t="s">
        <v>88</v>
      </c>
      <c r="BY2" s="6" t="s">
        <v>89</v>
      </c>
      <c r="BZ2" s="6" t="s">
        <v>90</v>
      </c>
      <c r="CA2" s="6" t="s">
        <v>91</v>
      </c>
      <c r="CB2" s="6" t="s">
        <v>85</v>
      </c>
      <c r="CC2" s="6" t="s">
        <v>92</v>
      </c>
      <c r="CD2" s="6" t="s">
        <v>93</v>
      </c>
      <c r="CE2" s="6" t="s">
        <v>94</v>
      </c>
      <c r="CF2" s="7" t="s">
        <v>95</v>
      </c>
      <c r="CG2" s="8" t="s">
        <v>96</v>
      </c>
      <c r="CH2" s="7" t="s">
        <v>55</v>
      </c>
      <c r="CI2" s="7" t="s">
        <v>56</v>
      </c>
      <c r="CJ2" s="8" t="s">
        <v>102</v>
      </c>
      <c r="CK2" s="8" t="s">
        <v>98</v>
      </c>
      <c r="CL2" s="8" t="s">
        <v>99</v>
      </c>
      <c r="CM2" s="8" t="s">
        <v>100</v>
      </c>
      <c r="CN2" s="9" t="s">
        <v>101</v>
      </c>
      <c r="CO2" s="68" t="s">
        <v>83</v>
      </c>
      <c r="CP2" s="69" t="s">
        <v>84</v>
      </c>
      <c r="CQ2" s="6" t="s">
        <v>87</v>
      </c>
      <c r="CR2" s="6" t="s">
        <v>88</v>
      </c>
      <c r="CS2" s="6" t="s">
        <v>88</v>
      </c>
      <c r="CT2" s="6" t="s">
        <v>89</v>
      </c>
      <c r="CU2" s="6" t="s">
        <v>90</v>
      </c>
      <c r="CV2" s="6" t="s">
        <v>91</v>
      </c>
      <c r="CW2" s="6" t="s">
        <v>85</v>
      </c>
      <c r="CX2" s="6" t="s">
        <v>92</v>
      </c>
      <c r="CY2" s="6" t="s">
        <v>93</v>
      </c>
      <c r="CZ2" s="6" t="s">
        <v>94</v>
      </c>
      <c r="DA2" s="7" t="s">
        <v>95</v>
      </c>
      <c r="DB2" s="8" t="s">
        <v>96</v>
      </c>
      <c r="DC2" s="7" t="s">
        <v>55</v>
      </c>
      <c r="DD2" s="7" t="s">
        <v>56</v>
      </c>
      <c r="DE2" s="8" t="s">
        <v>102</v>
      </c>
      <c r="DF2" s="8" t="s">
        <v>98</v>
      </c>
      <c r="DG2" s="8" t="s">
        <v>99</v>
      </c>
      <c r="DH2" s="8" t="s">
        <v>100</v>
      </c>
      <c r="DI2" s="9" t="s">
        <v>101</v>
      </c>
      <c r="DJ2" s="68" t="s">
        <v>83</v>
      </c>
      <c r="DK2" s="69" t="s">
        <v>84</v>
      </c>
      <c r="DL2" s="6" t="s">
        <v>87</v>
      </c>
      <c r="DM2" s="6" t="s">
        <v>88</v>
      </c>
      <c r="DN2" s="6" t="s">
        <v>88</v>
      </c>
      <c r="DO2" s="6" t="s">
        <v>89</v>
      </c>
      <c r="DP2" s="6" t="s">
        <v>90</v>
      </c>
      <c r="DQ2" s="6" t="s">
        <v>91</v>
      </c>
      <c r="DR2" s="6" t="s">
        <v>85</v>
      </c>
      <c r="DS2" s="6" t="s">
        <v>92</v>
      </c>
      <c r="DT2" s="6" t="s">
        <v>93</v>
      </c>
      <c r="DU2" s="6" t="s">
        <v>94</v>
      </c>
      <c r="DV2" s="7" t="s">
        <v>95</v>
      </c>
      <c r="DW2" s="8" t="s">
        <v>96</v>
      </c>
      <c r="DX2" s="7" t="s">
        <v>55</v>
      </c>
      <c r="DY2" s="7" t="s">
        <v>56</v>
      </c>
      <c r="DZ2" s="8" t="s">
        <v>102</v>
      </c>
      <c r="EA2" s="8" t="s">
        <v>98</v>
      </c>
      <c r="EB2" s="8" t="s">
        <v>99</v>
      </c>
      <c r="EC2" s="8" t="s">
        <v>100</v>
      </c>
      <c r="ED2" s="9" t="s">
        <v>101</v>
      </c>
      <c r="EE2" s="68" t="s">
        <v>83</v>
      </c>
      <c r="EF2" s="69" t="s">
        <v>84</v>
      </c>
      <c r="EG2" s="6" t="s">
        <v>87</v>
      </c>
      <c r="EH2" s="6" t="s">
        <v>88</v>
      </c>
      <c r="EI2" s="6" t="s">
        <v>88</v>
      </c>
      <c r="EJ2" s="6" t="s">
        <v>89</v>
      </c>
      <c r="EK2" s="6" t="s">
        <v>90</v>
      </c>
      <c r="EL2" s="6" t="s">
        <v>91</v>
      </c>
      <c r="EM2" s="6" t="s">
        <v>85</v>
      </c>
      <c r="EN2" s="6" t="s">
        <v>92</v>
      </c>
      <c r="EO2" s="6" t="s">
        <v>93</v>
      </c>
      <c r="EP2" s="6" t="s">
        <v>94</v>
      </c>
      <c r="EQ2" s="7" t="s">
        <v>95</v>
      </c>
      <c r="ER2" s="8" t="s">
        <v>96</v>
      </c>
      <c r="ES2" s="7" t="s">
        <v>55</v>
      </c>
      <c r="ET2" s="7" t="s">
        <v>56</v>
      </c>
      <c r="EU2" s="8" t="s">
        <v>102</v>
      </c>
      <c r="EV2" s="8" t="s">
        <v>98</v>
      </c>
      <c r="EW2" s="8" t="s">
        <v>99</v>
      </c>
      <c r="EX2" s="8" t="s">
        <v>100</v>
      </c>
      <c r="EY2" s="9" t="s">
        <v>101</v>
      </c>
      <c r="EZ2" s="68" t="s">
        <v>83</v>
      </c>
      <c r="FA2" s="69" t="s">
        <v>84</v>
      </c>
      <c r="FB2" s="6" t="s">
        <v>87</v>
      </c>
      <c r="FC2" s="6" t="s">
        <v>88</v>
      </c>
      <c r="FD2" s="6" t="s">
        <v>88</v>
      </c>
      <c r="FE2" s="6" t="s">
        <v>89</v>
      </c>
      <c r="FF2" s="6" t="s">
        <v>90</v>
      </c>
      <c r="FG2" s="6" t="s">
        <v>91</v>
      </c>
      <c r="FH2" s="6" t="s">
        <v>85</v>
      </c>
      <c r="FI2" s="6" t="s">
        <v>92</v>
      </c>
      <c r="FJ2" s="6" t="s">
        <v>93</v>
      </c>
      <c r="FK2" s="6" t="s">
        <v>94</v>
      </c>
      <c r="FL2" s="7" t="s">
        <v>95</v>
      </c>
      <c r="FM2" s="8" t="s">
        <v>96</v>
      </c>
      <c r="FN2" s="7" t="s">
        <v>55</v>
      </c>
      <c r="FO2" s="7" t="s">
        <v>56</v>
      </c>
      <c r="FP2" s="8" t="s">
        <v>103</v>
      </c>
      <c r="FQ2" s="8" t="s">
        <v>98</v>
      </c>
      <c r="FR2" s="8" t="s">
        <v>99</v>
      </c>
      <c r="FS2" s="8" t="s">
        <v>100</v>
      </c>
      <c r="FT2" s="9" t="s">
        <v>101</v>
      </c>
      <c r="FU2" s="68" t="s">
        <v>83</v>
      </c>
      <c r="FV2" s="69" t="s">
        <v>84</v>
      </c>
      <c r="FW2" s="6" t="s">
        <v>87</v>
      </c>
      <c r="FX2" s="6" t="s">
        <v>88</v>
      </c>
      <c r="FY2" s="6" t="s">
        <v>88</v>
      </c>
      <c r="FZ2" s="6" t="s">
        <v>89</v>
      </c>
      <c r="GA2" s="6" t="s">
        <v>90</v>
      </c>
      <c r="GB2" s="6" t="s">
        <v>91</v>
      </c>
      <c r="GC2" s="6" t="s">
        <v>85</v>
      </c>
      <c r="GD2" s="6" t="s">
        <v>92</v>
      </c>
      <c r="GE2" s="6" t="s">
        <v>93</v>
      </c>
      <c r="GF2" s="6" t="s">
        <v>94</v>
      </c>
      <c r="GG2" s="7" t="s">
        <v>95</v>
      </c>
      <c r="GH2" s="8" t="s">
        <v>96</v>
      </c>
      <c r="GI2" s="7" t="s">
        <v>55</v>
      </c>
      <c r="GJ2" s="7" t="s">
        <v>56</v>
      </c>
      <c r="GK2" s="8" t="s">
        <v>102</v>
      </c>
      <c r="GL2" s="8" t="s">
        <v>98</v>
      </c>
      <c r="GM2" s="8" t="s">
        <v>99</v>
      </c>
      <c r="GN2" s="8" t="s">
        <v>100</v>
      </c>
      <c r="GO2" s="8" t="s">
        <v>101</v>
      </c>
      <c r="GP2" s="68" t="s">
        <v>83</v>
      </c>
      <c r="GQ2" s="69" t="s">
        <v>84</v>
      </c>
      <c r="GR2" s="6" t="s">
        <v>87</v>
      </c>
      <c r="GS2" s="6" t="s">
        <v>88</v>
      </c>
      <c r="GT2" s="6" t="s">
        <v>88</v>
      </c>
      <c r="GU2" s="6" t="s">
        <v>89</v>
      </c>
      <c r="GV2" s="6" t="s">
        <v>90</v>
      </c>
      <c r="GW2" s="6" t="s">
        <v>91</v>
      </c>
      <c r="GX2" s="6" t="s">
        <v>85</v>
      </c>
      <c r="GY2" s="6" t="s">
        <v>92</v>
      </c>
      <c r="GZ2" s="6" t="s">
        <v>93</v>
      </c>
      <c r="HA2" s="6" t="s">
        <v>94</v>
      </c>
      <c r="HB2" s="7" t="s">
        <v>95</v>
      </c>
      <c r="HC2" s="8" t="s">
        <v>96</v>
      </c>
      <c r="HD2" s="7" t="s">
        <v>55</v>
      </c>
      <c r="HE2" s="7" t="s">
        <v>56</v>
      </c>
      <c r="HF2" s="8" t="s">
        <v>102</v>
      </c>
      <c r="HG2" s="8" t="s">
        <v>98</v>
      </c>
      <c r="HH2" s="8" t="s">
        <v>99</v>
      </c>
      <c r="HI2" s="8" t="s">
        <v>100</v>
      </c>
      <c r="HJ2" s="9" t="s">
        <v>101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193.8828274189392</v>
      </c>
      <c r="T3" s="59">
        <f>IF('Données projet'!E9&gt;30,$R$33-$H$33,LOOKUP('Données projet'!$E$9,$A$3:$A$203,R3:R203)-LOOKUP('Données projet'!$E$9,$A$3:$A$203,$H$3:$H$203))</f>
        <v>179.13381331066427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228.36873053496748</v>
      </c>
      <c r="AO3" s="59">
        <f>IF('Données projet'!E10&gt;30,$AM$33-$H$33,LOOKUP('Données projet'!$E$10,$A$3:$A$203,AM3:AM203)-LOOKUP('Données projet'!$E$10,$A$3:$A$203,$H$3:$H$203))</f>
        <v>177.73676400313303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534.59150243554586</v>
      </c>
      <c r="BJ3" s="59">
        <f>IF('Données projet'!E11&gt;30,$BH$33-$H$33,LOOKUP('Données projet'!$E$11,$A$3:$A$203,BH3:BH203)-LOOKUP('Données projet'!$E$11,$A$3:$A$203,$H$3:$H$203))</f>
        <v>259.04458689606491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211.91720528436969</v>
      </c>
      <c r="CE3" s="59">
        <f>IF('Données projet'!E12&gt;30,$CC$33-$H$33,LOOKUP('Données projet'!$E$12,$A$3:$A$203,CC3:CC203)-LOOKUP('Données projet'!$E$12,$A$3:$A$203,$H$3:$H$203))</f>
        <v>218.88548486038957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469.97161976912071</v>
      </c>
      <c r="CZ3" s="59">
        <f>IF('Données projet'!E13&gt;30,$CX$33-$H$33,LOOKUP('Données projet'!$E$13,$A$3:$A$203,CX3:CX203)-LOOKUP('Données projet'!$E$13,$A$3:$A$203,$H$3:$H$203))</f>
        <v>231.65013084759306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506.9153247310901</v>
      </c>
      <c r="DU3" s="59">
        <f>IF('Données projet'!E14&gt;30,$DS$33-$H$33,LOOKUP('Données projet'!$E$14,$A$3:$A$203,DS3:DS203)-LOOKUP('Données projet'!$E$14,$A$3:$A$203,$H$3:$H$203))</f>
        <v>247.31254626788319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4.5262222222222226</v>
      </c>
      <c r="N4" s="13">
        <f>IF('Données projet'!$A$36&gt;35,N3+M4-V3,IF(A4&lt;'Données projet'!$A$36,$K$205^A4,IF(A4='Données projet'!$A$36,'Données projet'!$B$36,N3+M4-V3)))</f>
        <v>4.5262222222222226</v>
      </c>
      <c r="O4" s="13">
        <f>N4*VLOOKUP('Données projet'!$B$9,Paramètres!$A$1:$I$89,3,0)*VLOOKUP('Données projet'!$B$9,Paramètres!$A$1:$I$89,5,0)</f>
        <v>2.7066808888888891</v>
      </c>
      <c r="P4" s="13">
        <f>EXP(-1.0587+0.8836*LN(O4)+0.284)</f>
        <v>1.1108449576382642</v>
      </c>
      <c r="Q4" s="20">
        <f t="shared" ref="Q4:Q34" si="2">(O4+P4)*0.475*44/12</f>
        <v>6.6488575160347914</v>
      </c>
      <c r="R4" s="59">
        <f t="shared" si="0"/>
        <v>264.53774640492367</v>
      </c>
      <c r="S4" s="59">
        <f ca="1">AVERAGE(OFFSET($R$3,0,0,'Données projet'!$E$9+1,1))-AVERAGE(OFFSET($H$3,0,0,'Données projet'!$E$9+1,1))</f>
        <v>193.8828274189392</v>
      </c>
      <c r="T4" s="59">
        <f>$T$3</f>
        <v>179.13381331066427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4.7439999999999998</v>
      </c>
      <c r="AI4" s="13">
        <f>IF('Données projet'!$A$62&gt;35,AI3+AH4-AQ3,IF(A4&lt;'Données projet'!$A$62,$AF$205^A4,IF(A4='Données projet'!$A$62,'Données projet'!$B$62,AI3+AH4-AQ3)))</f>
        <v>1.2104960804879272</v>
      </c>
      <c r="AJ4" s="13">
        <f>AI4*VLOOKUP('Données projet'!$B$10,Paramètres!$A$1:$I$89,3,0)*VLOOKUP('Données projet'!$B$10,Paramètres!$A$1:$I$89,5,0)</f>
        <v>0.72387665613178054</v>
      </c>
      <c r="AK4" s="13">
        <f>EXP(-1.0587+0.8836*LN(AJ4)+0.284)</f>
        <v>0.34637910066862415</v>
      </c>
      <c r="AL4" s="20">
        <f t="shared" ref="AL4:AL67" si="4">(AJ4+AK4)*0.475*44/12</f>
        <v>1.8640287764273715</v>
      </c>
      <c r="AM4" s="59">
        <f t="shared" ref="AM4:AM67" si="5">AL4+(AD4+AE4)*44/12</f>
        <v>259.7529176653162</v>
      </c>
      <c r="AN4" s="59">
        <f ca="1">AVERAGE(OFFSET($AM$3,0,0,'Données projet'!$E$10+1,1))-AVERAGE(OFFSET($H$3,0,0,'Données projet'!$E$10+1,1))</f>
        <v>228.36873053496748</v>
      </c>
      <c r="AO4" s="59">
        <f>$AO$3</f>
        <v>177.73676400313303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3.9415628571428569</v>
      </c>
      <c r="BF4" s="13">
        <f>EXP(-1.0587+0.8836*LN(BE4)+0.284)</f>
        <v>1.5484055284644385</v>
      </c>
      <c r="BG4" s="20">
        <f t="shared" ref="BG4:BG67" si="7">(BE4+BF4)*0.475*44/12</f>
        <v>9.5616949382660383</v>
      </c>
      <c r="BH4" s="59">
        <f t="shared" ref="BH4:BH67" si="8">BG4+(AY4+AZ4)*44/12</f>
        <v>267.4505838271549</v>
      </c>
      <c r="BI4" s="59">
        <f ca="1">AVERAGE(OFFSET($BH$3,0,0,'Données projet'!$E$11+1,1))-AVERAGE(OFFSET($H$3,0,0,'Données projet'!$E$11+1,1))</f>
        <v>534.59150243554586</v>
      </c>
      <c r="BJ4" s="59">
        <f>$BJ$3</f>
        <v>259.04458689606491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0.6</v>
      </c>
      <c r="BY4" s="12">
        <f>IF('Données projet'!$A$114&gt;35,BY3+BX4-CG3,IF(A4&lt;'Données projet'!$A$114,$BV$205^A4,IF(A4='Données projet'!$A$114,'Données projet'!$B$114,BY3+BX4-CG3)))</f>
        <v>1.1577536725165907</v>
      </c>
      <c r="BZ4" s="13">
        <f>BY4*VLOOKUP('Données projet'!$B$12,Paramètres!$A$1:$I$89,3,0)*VLOOKUP('Données projet'!$B$12,Paramètres!$A$1:$I$89,5,0)</f>
        <v>1.0114136083104937</v>
      </c>
      <c r="CA4" s="13">
        <f>EXP(-1.0587+0.8836*LN(BZ4)+0.284)</f>
        <v>0.46548655994988658</v>
      </c>
      <c r="CB4" s="20">
        <f t="shared" ref="CB4:CB67" si="10">(BZ4+CA4)*0.475*44/12</f>
        <v>2.5722677930534954</v>
      </c>
      <c r="CC4" s="59">
        <f t="shared" ref="CC4:CC67" si="11">CB4+(BT4+BU4)*44/12</f>
        <v>260.46115668194233</v>
      </c>
      <c r="CD4" s="59">
        <f ca="1">AVERAGE(OFFSET($CC$3,0,0,'Données projet'!$E$12+1,1))-AVERAGE(OFFSET($H$3,0,0,'Données projet'!$E$12+1,1))</f>
        <v>211.91720528436969</v>
      </c>
      <c r="CE4" s="59">
        <f>$CE$3</f>
        <v>218.88548486038957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3.887142857142857</v>
      </c>
      <c r="CT4" s="12">
        <f>IF('Données projet'!$A$140&gt;35,CT3+CS4-DB3,IF(A4&lt;'Données projet'!$A$140,$CQ$205^A4,IF(A4='Données projet'!$A$140,'Données projet'!$B$140,CT3+CS4-DB3)))</f>
        <v>3.887142857142857</v>
      </c>
      <c r="CU4" s="17">
        <f>CT4*VLOOKUP('Données projet'!$B$13,Paramètres!$A$1:$I$89,3,0)*VLOOKUP('Données projet'!$B$13,Paramètres!$A$1:$I$89,5,0)</f>
        <v>3.5170868571428571</v>
      </c>
      <c r="CV4" s="13">
        <f>EXP(-1.0587+0.8836*LN(CU4)+0.284)</f>
        <v>1.400101260019349</v>
      </c>
      <c r="CW4" s="20">
        <f t="shared" ref="CW4:CW67" si="13">(CU4+CV4)*0.475*44/12</f>
        <v>8.5641026373908407</v>
      </c>
      <c r="CX4" s="59">
        <f t="shared" ref="CX4:CX67" si="14">CW4+(CO4+CP4)*44/12</f>
        <v>266.45299152627967</v>
      </c>
      <c r="CY4" s="59">
        <f ca="1">AVERAGE(OFFSET($CX$3,0,0,'Données projet'!$E$13+1,1))-AVERAGE(OFFSET($H$3,0,0,'Données projet'!$E$13+1,1))</f>
        <v>469.97161976912071</v>
      </c>
      <c r="CZ4" s="59">
        <f>$CZ$3</f>
        <v>231.65013084759306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3.887142857142857</v>
      </c>
      <c r="DO4" s="12">
        <f>IF('Données projet'!$A$166&gt;35,DO3+DN4-DW3,IF(A4&lt;'Données projet'!$A$166,$DL$205^A4,IF(A4='Données projet'!$A$166,'Données projet'!$B$166,DO3+DN4-DW3)))</f>
        <v>3.887142857142857</v>
      </c>
      <c r="DP4" s="17">
        <f>DO4*VLOOKUP('Données projet'!$B$14,Paramètres!$A$1:$I$89,3,0)*VLOOKUP('Données projet'!$B$14,Paramètres!$A$1:$I$89,5,0)</f>
        <v>3.7596445714285713</v>
      </c>
      <c r="DQ4" s="13">
        <f>EXP(-1.0587+0.8836*LN(DP4)+0.284)</f>
        <v>1.4850865614549704</v>
      </c>
      <c r="DR4" s="20">
        <f t="shared" ref="DR4:DR67" si="16">(DP4+DQ4)*0.475*44/12</f>
        <v>9.1345733897721697</v>
      </c>
      <c r="DS4" s="59">
        <f t="shared" ref="DS4:DS67" si="17">DR4+(DJ4+DK4)*44/12</f>
        <v>267.02346227866104</v>
      </c>
      <c r="DT4" s="59">
        <f ca="1">AVERAGE(OFFSET($DS$3,0,0,'Données projet'!$E$14+1,1))-AVERAGE(OFFSET($H$3,0,0,'Données projet'!$E$14+1,1))</f>
        <v>506.9153247310901</v>
      </c>
      <c r="DU4" s="59">
        <f>$DU$3</f>
        <v>247.31254626788319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4.5262222222222226</v>
      </c>
      <c r="N5" s="13">
        <f>IF('Données projet'!$A$36&gt;35,N4+M5-V4,IF(A5&lt;'Données projet'!$A$36,$K$205^A5,IF(A5='Données projet'!$A$36,'Données projet'!$B$36,N4+M5-V4)))</f>
        <v>9.0524444444444452</v>
      </c>
      <c r="O5" s="13">
        <f>N5*VLOOKUP('Données projet'!$B$9,Paramètres!$A$1:$I$89,3,0)*VLOOKUP('Données projet'!$B$9,Paramètres!$A$1:$I$89,5,0)</f>
        <v>5.4133617777777783</v>
      </c>
      <c r="P5" s="13">
        <f t="shared" ref="P5:P68" si="33">EXP(-1.0587+0.8836*LN(O5)+0.284)</f>
        <v>2.0494793752042901</v>
      </c>
      <c r="Q5" s="20">
        <f t="shared" si="2"/>
        <v>12.997781674777102</v>
      </c>
      <c r="R5" s="59">
        <f t="shared" si="0"/>
        <v>272.10889278588826</v>
      </c>
      <c r="S5" s="59">
        <f ca="1">AVERAGE(OFFSET($R$3,0,0,'Données projet'!$E$9+1,1))-AVERAGE(OFFSET($H$3,0,0,'Données projet'!$E$9+1,1))</f>
        <v>193.8828274189392</v>
      </c>
      <c r="T5" s="59">
        <f t="shared" ref="T5:T68" si="34">$T$3</f>
        <v>179.13381331066427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4.7439999999999998</v>
      </c>
      <c r="AI5" s="13">
        <f>IF('Données projet'!$A$62&gt;35,AI4+AH5-AQ4,IF(A5&lt;'Données projet'!$A$62,$AF$205^A5,IF(A5='Données projet'!$A$62,'Données projet'!$B$62,AI4+AH5-AQ4)))</f>
        <v>1.4653007608766344</v>
      </c>
      <c r="AJ5" s="13">
        <f>AI5*VLOOKUP('Données projet'!$B$10,Paramètres!$A$1:$I$89,3,0)*VLOOKUP('Données projet'!$B$10,Paramètres!$A$1:$I$89,5,0)</f>
        <v>0.87624985500422747</v>
      </c>
      <c r="AK5" s="13">
        <f t="shared" ref="AK5:AK68" si="35">EXP(-1.0587+0.8836*LN(AJ5)+0.284)</f>
        <v>0.41007012398625681</v>
      </c>
      <c r="AL5" s="20">
        <f t="shared" si="4"/>
        <v>2.2403406300750932</v>
      </c>
      <c r="AM5" s="59">
        <f t="shared" si="5"/>
        <v>261.35145174118622</v>
      </c>
      <c r="AN5" s="59">
        <f ca="1">AVERAGE(OFFSET($AM$3,0,0,'Données projet'!$E$10+1,1))-AVERAGE(OFFSET($H$3,0,0,'Données projet'!$E$10+1,1))</f>
        <v>228.36873053496748</v>
      </c>
      <c r="AO5" s="59">
        <f t="shared" ref="AO5:AO68" si="36">$AO$3</f>
        <v>177.73676400313303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7.8831257142857138</v>
      </c>
      <c r="BF5" s="13">
        <f t="shared" ref="BF5:BF68" si="37">EXP(-1.0587+0.8836*LN(BE5)+0.284)</f>
        <v>2.8567669801437421</v>
      </c>
      <c r="BG5" s="20">
        <f t="shared" si="7"/>
        <v>18.705313109464633</v>
      </c>
      <c r="BH5" s="59">
        <f t="shared" si="8"/>
        <v>277.81642422057575</v>
      </c>
      <c r="BI5" s="59">
        <f ca="1">AVERAGE(OFFSET($BH$3,0,0,'Données projet'!$E$11+1,1))-AVERAGE(OFFSET($H$3,0,0,'Données projet'!$E$11+1,1))</f>
        <v>534.59150243554586</v>
      </c>
      <c r="BJ5" s="59">
        <f t="shared" ref="BJ5:BJ68" si="38">$BJ$3</f>
        <v>259.04458689606491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0.6</v>
      </c>
      <c r="BY5" s="12">
        <f>IF('Données projet'!$A$114&gt;35,BY4+BX5-CG4,IF(A5&lt;'Données projet'!$A$114,$BV$205^A5,IF(A5='Données projet'!$A$114,'Données projet'!$B$114,BY4+BX5-CG4)))</f>
        <v>1.340393566225653</v>
      </c>
      <c r="BZ5" s="13">
        <f>BY5*VLOOKUP('Données projet'!$B$12,Paramètres!$A$1:$I$89,3,0)*VLOOKUP('Données projet'!$B$12,Paramètres!$A$1:$I$89,5,0)</f>
        <v>1.1709678194547306</v>
      </c>
      <c r="CA5" s="13">
        <f t="shared" ref="CA5:CA68" si="39">EXP(-1.0587+0.8836*LN(BZ5)+0.284)</f>
        <v>0.52980785325350399</v>
      </c>
      <c r="CB5" s="20">
        <f t="shared" si="10"/>
        <v>2.9621842966335081</v>
      </c>
      <c r="CC5" s="59">
        <f t="shared" si="11"/>
        <v>262.07329540774464</v>
      </c>
      <c r="CD5" s="59">
        <f ca="1">AVERAGE(OFFSET($CC$3,0,0,'Données projet'!$E$12+1,1))-AVERAGE(OFFSET($H$3,0,0,'Données projet'!$E$12+1,1))</f>
        <v>211.91720528436969</v>
      </c>
      <c r="CE5" s="59">
        <f t="shared" ref="CE5:CE68" si="40">$CE$3</f>
        <v>218.88548486038957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3.887142857142857</v>
      </c>
      <c r="CT5" s="12">
        <f>IF('Données projet'!$A$140&gt;35,CT4+CS5-DB4,IF(A5&lt;'Données projet'!$A$140,$CQ$205^A5,IF(A5='Données projet'!$A$140,'Données projet'!$B$140,CT4+CS5-DB4)))</f>
        <v>7.774285714285714</v>
      </c>
      <c r="CU5" s="17">
        <f>CT5*VLOOKUP('Données projet'!$B$13,Paramètres!$A$1:$I$89,3,0)*VLOOKUP('Données projet'!$B$13,Paramètres!$A$1:$I$89,5,0)</f>
        <v>7.0341737142857141</v>
      </c>
      <c r="CV5" s="13">
        <f t="shared" ref="CV5:CV68" si="41">EXP(-1.0587+0.8836*LN(CU5)+0.284)</f>
        <v>2.5831495528484112</v>
      </c>
      <c r="CW5" s="20">
        <f t="shared" si="13"/>
        <v>16.750171356925268</v>
      </c>
      <c r="CX5" s="59">
        <f t="shared" si="14"/>
        <v>275.86128246803639</v>
      </c>
      <c r="CY5" s="59">
        <f ca="1">AVERAGE(OFFSET($CX$3,0,0,'Données projet'!$E$13+1,1))-AVERAGE(OFFSET($H$3,0,0,'Données projet'!$E$13+1,1))</f>
        <v>469.97161976912071</v>
      </c>
      <c r="CZ5" s="59">
        <f t="shared" ref="CZ5:CZ68" si="42">$CZ$3</f>
        <v>231.65013084759306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3.887142857142857</v>
      </c>
      <c r="DO5" s="12">
        <f>IF('Données projet'!$A$166&gt;35,DO4+DN5-DW4,IF(A5&lt;'Données projet'!$A$166,$DL$205^A5,IF(A5='Données projet'!$A$166,'Données projet'!$B$166,DO4+DN5-DW4)))</f>
        <v>7.774285714285714</v>
      </c>
      <c r="DP5" s="17">
        <f>DO5*VLOOKUP('Données projet'!$B$14,Paramètres!$A$1:$I$89,3,0)*VLOOKUP('Données projet'!$B$14,Paramètres!$A$1:$I$89,5,0)</f>
        <v>7.5192891428571427</v>
      </c>
      <c r="DQ5" s="13">
        <f t="shared" ref="DQ5:DQ68" si="43">EXP(-1.0587+0.8836*LN(DP5)+0.284)</f>
        <v>2.7399451716160708</v>
      </c>
      <c r="DR5" s="20">
        <f t="shared" si="16"/>
        <v>17.868166431040844</v>
      </c>
      <c r="DS5" s="59">
        <f t="shared" si="17"/>
        <v>276.97927754215198</v>
      </c>
      <c r="DT5" s="59">
        <f ca="1">AVERAGE(OFFSET($DS$3,0,0,'Données projet'!$E$14+1,1))-AVERAGE(OFFSET($H$3,0,0,'Données projet'!$E$14+1,1))</f>
        <v>506.9153247310901</v>
      </c>
      <c r="DU5" s="59">
        <f t="shared" ref="DU5:DU68" si="44">$DU$3</f>
        <v>247.31254626788319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4.5262222222222226</v>
      </c>
      <c r="N6" s="13">
        <f>IF('Données projet'!$A$36&gt;35,N5+M6-V5,IF(A6&lt;'Données projet'!$A$36,$K$205^A6,IF(A6='Données projet'!$A$36,'Données projet'!$B$36,N5+M6-V5)))</f>
        <v>13.578666666666667</v>
      </c>
      <c r="O6" s="13">
        <f>N6*VLOOKUP('Données projet'!$B$9,Paramètres!$A$1:$I$89,3,0)*VLOOKUP('Données projet'!$B$9,Paramètres!$A$1:$I$89,5,0)</f>
        <v>8.1200426666666683</v>
      </c>
      <c r="P6" s="13">
        <f t="shared" si="33"/>
        <v>2.9324984327553341</v>
      </c>
      <c r="Q6" s="20">
        <f t="shared" si="2"/>
        <v>19.249842414826656</v>
      </c>
      <c r="R6" s="59">
        <f t="shared" si="0"/>
        <v>279.58317574815999</v>
      </c>
      <c r="S6" s="59">
        <f ca="1">AVERAGE(OFFSET($R$3,0,0,'Données projet'!$E$9+1,1))-AVERAGE(OFFSET($H$3,0,0,'Données projet'!$E$9+1,1))</f>
        <v>193.8828274189392</v>
      </c>
      <c r="T6" s="59">
        <f t="shared" si="34"/>
        <v>179.13381331066427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4.7439999999999998</v>
      </c>
      <c r="AI6" s="13">
        <f>IF('Données projet'!$A$62&gt;35,AI5+AH6-AQ5,IF(A6&lt;'Données projet'!$A$62,$AF$205^A6,IF(A6='Données projet'!$A$62,'Données projet'!$B$62,AI5+AH6-AQ5)))</f>
        <v>1.7737408277771434</v>
      </c>
      <c r="AJ6" s="13">
        <f>AI6*VLOOKUP('Données projet'!$B$10,Paramètres!$A$1:$I$89,3,0)*VLOOKUP('Données projet'!$B$10,Paramètres!$A$1:$I$89,5,0)</f>
        <v>1.0606970150107318</v>
      </c>
      <c r="AK6" s="13">
        <f t="shared" si="35"/>
        <v>0.48547243832409476</v>
      </c>
      <c r="AL6" s="20">
        <f t="shared" si="4"/>
        <v>2.6929117978914889</v>
      </c>
      <c r="AM6" s="59">
        <f t="shared" si="5"/>
        <v>263.02624513122481</v>
      </c>
      <c r="AN6" s="59">
        <f ca="1">AVERAGE(OFFSET($AM$3,0,0,'Données projet'!$E$10+1,1))-AVERAGE(OFFSET($H$3,0,0,'Données projet'!$E$10+1,1))</f>
        <v>228.36873053496748</v>
      </c>
      <c r="AO6" s="59">
        <f t="shared" si="36"/>
        <v>177.73676400313303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11.824688571428572</v>
      </c>
      <c r="BF6" s="13">
        <f t="shared" si="37"/>
        <v>4.0876062444803347</v>
      </c>
      <c r="BG6" s="20">
        <f t="shared" si="7"/>
        <v>27.713913471041348</v>
      </c>
      <c r="BH6" s="59">
        <f t="shared" si="8"/>
        <v>288.04724680437465</v>
      </c>
      <c r="BI6" s="59">
        <f ca="1">AVERAGE(OFFSET($BH$3,0,0,'Données projet'!$E$11+1,1))-AVERAGE(OFFSET($H$3,0,0,'Données projet'!$E$11+1,1))</f>
        <v>534.59150243554586</v>
      </c>
      <c r="BJ6" s="59">
        <f t="shared" si="38"/>
        <v>259.04458689606491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0.6</v>
      </c>
      <c r="BY6" s="12">
        <f>IF('Données projet'!$A$114&gt;35,BY5+BX6-CG5,IF(A6&lt;'Données projet'!$A$114,$BV$205^A6,IF(A6='Données projet'!$A$114,'Données projet'!$B$114,BY5+BX6-CG5)))</f>
        <v>1.5518455739153598</v>
      </c>
      <c r="BZ6" s="13">
        <f>BY6*VLOOKUP('Données projet'!$B$12,Paramètres!$A$1:$I$89,3,0)*VLOOKUP('Données projet'!$B$12,Paramètres!$A$1:$I$89,5,0)</f>
        <v>1.3556922933724584</v>
      </c>
      <c r="CA6" s="13">
        <f t="shared" si="39"/>
        <v>0.6030171126730397</v>
      </c>
      <c r="CB6" s="20">
        <f t="shared" si="10"/>
        <v>3.4114188821959091</v>
      </c>
      <c r="CC6" s="59">
        <f t="shared" si="11"/>
        <v>263.74475221552922</v>
      </c>
      <c r="CD6" s="59">
        <f ca="1">AVERAGE(OFFSET($CC$3,0,0,'Données projet'!$E$12+1,1))-AVERAGE(OFFSET($H$3,0,0,'Données projet'!$E$12+1,1))</f>
        <v>211.91720528436969</v>
      </c>
      <c r="CE6" s="59">
        <f t="shared" si="40"/>
        <v>218.88548486038957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3.887142857142857</v>
      </c>
      <c r="CT6" s="12">
        <f>IF('Données projet'!$A$140&gt;35,CT5+CS6-DB5,IF(A6&lt;'Données projet'!$A$140,$CQ$205^A6,IF(A6='Données projet'!$A$140,'Données projet'!$B$140,CT5+CS6-DB5)))</f>
        <v>11.661428571428571</v>
      </c>
      <c r="CU6" s="17">
        <f>CT6*VLOOKUP('Données projet'!$B$13,Paramètres!$A$1:$I$89,3,0)*VLOOKUP('Données projet'!$B$13,Paramètres!$A$1:$I$89,5,0)</f>
        <v>10.551260571428571</v>
      </c>
      <c r="CV6" s="13">
        <f t="shared" si="41"/>
        <v>3.6961006326523931</v>
      </c>
      <c r="CW6" s="20">
        <f t="shared" si="13"/>
        <v>24.814154097107675</v>
      </c>
      <c r="CX6" s="59">
        <f t="shared" si="14"/>
        <v>285.147487430441</v>
      </c>
      <c r="CY6" s="59">
        <f ca="1">AVERAGE(OFFSET($CX$3,0,0,'Données projet'!$E$13+1,1))-AVERAGE(OFFSET($H$3,0,0,'Données projet'!$E$13+1,1))</f>
        <v>469.97161976912071</v>
      </c>
      <c r="CZ6" s="59">
        <f t="shared" si="42"/>
        <v>231.65013084759306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3.887142857142857</v>
      </c>
      <c r="DO6" s="12">
        <f>IF('Données projet'!$A$166&gt;35,DO5+DN6-DW5,IF(A6&lt;'Données projet'!$A$166,$DL$205^A6,IF(A6='Données projet'!$A$166,'Données projet'!$B$166,DO5+DN6-DW5)))</f>
        <v>11.661428571428571</v>
      </c>
      <c r="DP6" s="17">
        <f>DO6*VLOOKUP('Données projet'!$B$14,Paramètres!$A$1:$I$89,3,0)*VLOOKUP('Données projet'!$B$14,Paramètres!$A$1:$I$89,5,0)</f>
        <v>11.278933714285714</v>
      </c>
      <c r="DQ6" s="13">
        <f t="shared" si="43"/>
        <v>3.9204517102294627</v>
      </c>
      <c r="DR6" s="20">
        <f t="shared" si="16"/>
        <v>26.472262947697264</v>
      </c>
      <c r="DS6" s="59">
        <f t="shared" si="17"/>
        <v>286.8055962810306</v>
      </c>
      <c r="DT6" s="59">
        <f ca="1">AVERAGE(OFFSET($DS$3,0,0,'Données projet'!$E$14+1,1))-AVERAGE(OFFSET($H$3,0,0,'Données projet'!$E$14+1,1))</f>
        <v>506.9153247310901</v>
      </c>
      <c r="DU6" s="59">
        <f t="shared" si="44"/>
        <v>247.31254626788319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4.5262222222222226</v>
      </c>
      <c r="N7" s="13">
        <f>IF('Données projet'!$A$36&gt;35,N6+M7-V6,IF(A7&lt;'Données projet'!$A$36,$K$205^A7,IF(A7='Données projet'!$A$36,'Données projet'!$B$36,N6+M7-V6)))</f>
        <v>18.10488888888889</v>
      </c>
      <c r="O7" s="13">
        <f>N7*VLOOKUP('Données projet'!$B$9,Paramètres!$A$1:$I$89,3,0)*VLOOKUP('Données projet'!$B$9,Paramètres!$A$1:$I$89,5,0)</f>
        <v>10.826723555555557</v>
      </c>
      <c r="P7" s="13">
        <f t="shared" si="33"/>
        <v>3.7812348883664604</v>
      </c>
      <c r="Q7" s="20">
        <f t="shared" si="2"/>
        <v>25.442194289830848</v>
      </c>
      <c r="R7" s="59">
        <f t="shared" si="0"/>
        <v>286.99774984538641</v>
      </c>
      <c r="S7" s="59">
        <f ca="1">AVERAGE(OFFSET($R$3,0,0,'Données projet'!$E$9+1,1))-AVERAGE(OFFSET($H$3,0,0,'Données projet'!$E$9+1,1))</f>
        <v>193.8828274189392</v>
      </c>
      <c r="T7" s="59">
        <f t="shared" si="34"/>
        <v>179.13381331066427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4.7439999999999998</v>
      </c>
      <c r="AI7" s="13">
        <f>IF('Données projet'!$A$62&gt;35,AI6+AH7-AQ6,IF(A7&lt;'Données projet'!$A$62,$AF$205^A7,IF(A7='Données projet'!$A$62,'Données projet'!$B$62,AI6+AH7-AQ6)))</f>
        <v>2.1471063198256437</v>
      </c>
      <c r="AJ7" s="13">
        <f>AI7*VLOOKUP('Données projet'!$B$10,Paramètres!$A$1:$I$89,3,0)*VLOOKUP('Données projet'!$B$10,Paramètres!$A$1:$I$89,5,0)</f>
        <v>1.2839695792557351</v>
      </c>
      <c r="AK7" s="13">
        <f t="shared" si="35"/>
        <v>0.5747394764614473</v>
      </c>
      <c r="AL7" s="20">
        <f t="shared" si="4"/>
        <v>3.2372516053740923</v>
      </c>
      <c r="AM7" s="59">
        <f t="shared" si="5"/>
        <v>264.79280716092961</v>
      </c>
      <c r="AN7" s="59">
        <f ca="1">AVERAGE(OFFSET($AM$3,0,0,'Données projet'!$E$10+1,1))-AVERAGE(OFFSET($H$3,0,0,'Données projet'!$E$10+1,1))</f>
        <v>228.36873053496748</v>
      </c>
      <c r="AO7" s="59">
        <f t="shared" si="36"/>
        <v>177.73676400313303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15.766251428571428</v>
      </c>
      <c r="BF7" s="13">
        <f t="shared" si="37"/>
        <v>5.2706590287965538</v>
      </c>
      <c r="BG7" s="20">
        <f t="shared" si="7"/>
        <v>36.63928571324923</v>
      </c>
      <c r="BH7" s="59">
        <f t="shared" si="8"/>
        <v>298.19484126880479</v>
      </c>
      <c r="BI7" s="59">
        <f ca="1">AVERAGE(OFFSET($BH$3,0,0,'Données projet'!$E$11+1,1))-AVERAGE(OFFSET($H$3,0,0,'Données projet'!$E$11+1,1))</f>
        <v>534.59150243554586</v>
      </c>
      <c r="BJ7" s="59">
        <f t="shared" si="38"/>
        <v>259.04458689606491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0.6</v>
      </c>
      <c r="BY7" s="12">
        <f>IF('Données projet'!$A$114&gt;35,BY6+BX7-CG6,IF(A7&lt;'Données projet'!$A$114,$BV$205^A7,IF(A7='Données projet'!$A$114,'Données projet'!$B$114,BY6+BX7-CG6)))</f>
        <v>1.796654912379124</v>
      </c>
      <c r="BZ7" s="13">
        <f>BY7*VLOOKUP('Données projet'!$B$12,Paramètres!$A$1:$I$89,3,0)*VLOOKUP('Données projet'!$B$12,Paramètres!$A$1:$I$89,5,0)</f>
        <v>1.5695577314544029</v>
      </c>
      <c r="CA7" s="13">
        <f t="shared" si="39"/>
        <v>0.68634248424879218</v>
      </c>
      <c r="CB7" s="20">
        <f t="shared" si="10"/>
        <v>3.9290262090163979</v>
      </c>
      <c r="CC7" s="59">
        <f t="shared" si="11"/>
        <v>265.48458176457194</v>
      </c>
      <c r="CD7" s="59">
        <f ca="1">AVERAGE(OFFSET($CC$3,0,0,'Données projet'!$E$12+1,1))-AVERAGE(OFFSET($H$3,0,0,'Données projet'!$E$12+1,1))</f>
        <v>211.91720528436969</v>
      </c>
      <c r="CE7" s="59">
        <f t="shared" si="40"/>
        <v>218.88548486038957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3.887142857142857</v>
      </c>
      <c r="CT7" s="12">
        <f>IF('Données projet'!$A$140&gt;35,CT6+CS7-DB6,IF(A7&lt;'Données projet'!$A$140,$CQ$205^A7,IF(A7='Données projet'!$A$140,'Données projet'!$B$140,CT6+CS7-DB6)))</f>
        <v>15.548571428571428</v>
      </c>
      <c r="CU7" s="17">
        <f>CT7*VLOOKUP('Données projet'!$B$13,Paramètres!$A$1:$I$89,3,0)*VLOOKUP('Données projet'!$B$13,Paramètres!$A$1:$I$89,5,0)</f>
        <v>14.068347428571428</v>
      </c>
      <c r="CV7" s="13">
        <f t="shared" si="41"/>
        <v>4.7658421593654818</v>
      </c>
      <c r="CW7" s="20">
        <f t="shared" si="13"/>
        <v>32.802880198990124</v>
      </c>
      <c r="CX7" s="59">
        <f t="shared" si="14"/>
        <v>294.35843575454567</v>
      </c>
      <c r="CY7" s="59">
        <f ca="1">AVERAGE(OFFSET($CX$3,0,0,'Données projet'!$E$13+1,1))-AVERAGE(OFFSET($H$3,0,0,'Données projet'!$E$13+1,1))</f>
        <v>469.97161976912071</v>
      </c>
      <c r="CZ7" s="59">
        <f t="shared" si="42"/>
        <v>231.65013084759306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3.887142857142857</v>
      </c>
      <c r="DO7" s="12">
        <f>IF('Données projet'!$A$166&gt;35,DO6+DN7-DW6,IF(A7&lt;'Données projet'!$A$166,$DL$205^A7,IF(A7='Données projet'!$A$166,'Données projet'!$B$166,DO6+DN7-DW6)))</f>
        <v>15.548571428571428</v>
      </c>
      <c r="DP7" s="17">
        <f>DO7*VLOOKUP('Données projet'!$B$14,Paramètres!$A$1:$I$89,3,0)*VLOOKUP('Données projet'!$B$14,Paramètres!$A$1:$I$89,5,0)</f>
        <v>15.038578285714285</v>
      </c>
      <c r="DQ7" s="13">
        <f t="shared" si="43"/>
        <v>5.0551259019589807</v>
      </c>
      <c r="DR7" s="20">
        <f t="shared" si="16"/>
        <v>34.996534793530941</v>
      </c>
      <c r="DS7" s="59">
        <f t="shared" si="17"/>
        <v>296.55209034908648</v>
      </c>
      <c r="DT7" s="59">
        <f ca="1">AVERAGE(OFFSET($DS$3,0,0,'Données projet'!$E$14+1,1))-AVERAGE(OFFSET($H$3,0,0,'Données projet'!$E$14+1,1))</f>
        <v>506.9153247310901</v>
      </c>
      <c r="DU7" s="59">
        <f t="shared" si="44"/>
        <v>247.31254626788319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4.5262222222222226</v>
      </c>
      <c r="N8" s="13">
        <f>IF('Données projet'!$A$36&gt;35,N7+M8-V7,IF(A8&lt;'Données projet'!$A$36,$K$205^A8,IF(A8='Données projet'!$A$36,'Données projet'!$B$36,N7+M8-V7)))</f>
        <v>22.631111111111114</v>
      </c>
      <c r="O8" s="13">
        <f>N8*VLOOKUP('Données projet'!$B$9,Paramètres!$A$1:$I$89,3,0)*VLOOKUP('Données projet'!$B$9,Paramètres!$A$1:$I$89,5,0)</f>
        <v>13.533404444444448</v>
      </c>
      <c r="P8" s="13">
        <f t="shared" si="33"/>
        <v>4.605357447331345</v>
      </c>
      <c r="Q8" s="20">
        <f t="shared" si="2"/>
        <v>31.591676961509503</v>
      </c>
      <c r="R8" s="59">
        <f t="shared" si="0"/>
        <v>294.36945473928728</v>
      </c>
      <c r="S8" s="59">
        <f ca="1">AVERAGE(OFFSET($R$3,0,0,'Données projet'!$E$9+1,1))-AVERAGE(OFFSET($H$3,0,0,'Données projet'!$E$9+1,1))</f>
        <v>193.8828274189392</v>
      </c>
      <c r="T8" s="59">
        <f t="shared" si="34"/>
        <v>179.13381331066427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4.7439999999999998</v>
      </c>
      <c r="AI8" s="13">
        <f>IF('Données projet'!$A$62&gt;35,AI7+AH8-AQ7,IF(A8&lt;'Données projet'!$A$62,$AF$205^A8,IF(A8='Données projet'!$A$62,'Données projet'!$B$62,AI7+AH8-AQ7)))</f>
        <v>2.5990637845397995</v>
      </c>
      <c r="AJ8" s="13">
        <f>AI8*VLOOKUP('Données projet'!$B$10,Paramètres!$A$1:$I$89,3,0)*VLOOKUP('Données projet'!$B$10,Paramètres!$A$1:$I$89,5,0)</f>
        <v>1.5542401431548003</v>
      </c>
      <c r="AK8" s="13">
        <f t="shared" si="35"/>
        <v>0.68042063714986378</v>
      </c>
      <c r="AL8" s="20">
        <f t="shared" si="4"/>
        <v>3.8920341923639565</v>
      </c>
      <c r="AM8" s="59">
        <f t="shared" si="5"/>
        <v>266.66981197014172</v>
      </c>
      <c r="AN8" s="59">
        <f ca="1">AVERAGE(OFFSET($AM$3,0,0,'Données projet'!$E$10+1,1))-AVERAGE(OFFSET($H$3,0,0,'Données projet'!$E$10+1,1))</f>
        <v>228.36873053496748</v>
      </c>
      <c r="AO8" s="59">
        <f t="shared" si="36"/>
        <v>177.73676400313303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19.707814285714285</v>
      </c>
      <c r="BF8" s="13">
        <f t="shared" si="37"/>
        <v>6.4194025304518281</v>
      </c>
      <c r="BG8" s="20">
        <f t="shared" si="7"/>
        <v>45.504902621489315</v>
      </c>
      <c r="BH8" s="59">
        <f t="shared" si="8"/>
        <v>308.28268039926706</v>
      </c>
      <c r="BI8" s="59">
        <f ca="1">AVERAGE(OFFSET($BH$3,0,0,'Données projet'!$E$11+1,1))-AVERAGE(OFFSET($H$3,0,0,'Données projet'!$E$11+1,1))</f>
        <v>534.59150243554586</v>
      </c>
      <c r="BJ8" s="59">
        <f t="shared" si="38"/>
        <v>259.04458689606491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0.6</v>
      </c>
      <c r="BY8" s="12">
        <f>IF('Données projet'!$A$114&gt;35,BY7+BX8-CG7,IF(A8&lt;'Données projet'!$A$114,$BV$205^A8,IF(A8='Données projet'!$A$114,'Données projet'!$B$114,BY7+BX8-CG7)))</f>
        <v>2.0800838230519041</v>
      </c>
      <c r="BZ8" s="13">
        <f>BY8*VLOOKUP('Données projet'!$B$12,Paramètres!$A$1:$I$89,3,0)*VLOOKUP('Données projet'!$B$12,Paramètres!$A$1:$I$89,5,0)</f>
        <v>1.8171612278181437</v>
      </c>
      <c r="CA8" s="13">
        <f t="shared" si="39"/>
        <v>0.78118182019192373</v>
      </c>
      <c r="CB8" s="20">
        <f t="shared" si="10"/>
        <v>4.5254474752842002</v>
      </c>
      <c r="CC8" s="59">
        <f t="shared" si="11"/>
        <v>267.30322525306195</v>
      </c>
      <c r="CD8" s="59">
        <f ca="1">AVERAGE(OFFSET($CC$3,0,0,'Données projet'!$E$12+1,1))-AVERAGE(OFFSET($H$3,0,0,'Données projet'!$E$12+1,1))</f>
        <v>211.91720528436969</v>
      </c>
      <c r="CE8" s="59">
        <f t="shared" si="40"/>
        <v>218.88548486038957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3.887142857142857</v>
      </c>
      <c r="CT8" s="12">
        <f>IF('Données projet'!$A$140&gt;35,CT7+CS8-DB7,IF(A8&lt;'Données projet'!$A$140,$CQ$205^A8,IF(A8='Données projet'!$A$140,'Données projet'!$B$140,CT7+CS8-DB7)))</f>
        <v>19.435714285714283</v>
      </c>
      <c r="CU8" s="17">
        <f>CT8*VLOOKUP('Données projet'!$B$13,Paramètres!$A$1:$I$89,3,0)*VLOOKUP('Données projet'!$B$13,Paramètres!$A$1:$I$89,5,0)</f>
        <v>17.585434285714282</v>
      </c>
      <c r="CV8" s="13">
        <f t="shared" si="41"/>
        <v>5.804560501905633</v>
      </c>
      <c r="CW8" s="20">
        <f t="shared" si="13"/>
        <v>40.737574255104683</v>
      </c>
      <c r="CX8" s="59">
        <f t="shared" si="14"/>
        <v>303.51535203288245</v>
      </c>
      <c r="CY8" s="59">
        <f ca="1">AVERAGE(OFFSET($CX$3,0,0,'Données projet'!$E$13+1,1))-AVERAGE(OFFSET($H$3,0,0,'Données projet'!$E$13+1,1))</f>
        <v>469.97161976912071</v>
      </c>
      <c r="CZ8" s="59">
        <f t="shared" si="42"/>
        <v>231.65013084759306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3.887142857142857</v>
      </c>
      <c r="DO8" s="12">
        <f>IF('Données projet'!$A$166&gt;35,DO7+DN8-DW7,IF(A8&lt;'Données projet'!$A$166,$DL$205^A8,IF(A8='Données projet'!$A$166,'Données projet'!$B$166,DO7+DN8-DW7)))</f>
        <v>19.435714285714283</v>
      </c>
      <c r="DP8" s="17">
        <f>DO8*VLOOKUP('Données projet'!$B$14,Paramètres!$A$1:$I$89,3,0)*VLOOKUP('Données projet'!$B$14,Paramètres!$A$1:$I$89,5,0)</f>
        <v>18.798222857142854</v>
      </c>
      <c r="DQ8" s="13">
        <f t="shared" si="43"/>
        <v>6.1568938209606667</v>
      </c>
      <c r="DR8" s="20">
        <f t="shared" si="16"/>
        <v>43.4634948810303</v>
      </c>
      <c r="DS8" s="59">
        <f t="shared" si="17"/>
        <v>306.24127265880804</v>
      </c>
      <c r="DT8" s="59">
        <f ca="1">AVERAGE(OFFSET($DS$3,0,0,'Données projet'!$E$14+1,1))-AVERAGE(OFFSET($H$3,0,0,'Données projet'!$E$14+1,1))</f>
        <v>506.9153247310901</v>
      </c>
      <c r="DU8" s="59">
        <f t="shared" si="44"/>
        <v>247.31254626788319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4.5262222222222226</v>
      </c>
      <c r="N9" s="13">
        <f>IF('Données projet'!$A$36&gt;35,N8+M9-V8,IF(A9&lt;'Données projet'!$A$36,$K$205^A9,IF(A9='Données projet'!$A$36,'Données projet'!$B$36,N8+M9-V8)))</f>
        <v>27.157333333333337</v>
      </c>
      <c r="O9" s="13">
        <f>N9*VLOOKUP('Données projet'!$B$9,Paramètres!$A$1:$I$89,3,0)*VLOOKUP('Données projet'!$B$9,Paramètres!$A$1:$I$89,5,0)</f>
        <v>16.240085333333337</v>
      </c>
      <c r="P9" s="13">
        <f t="shared" si="33"/>
        <v>5.4103815428292119</v>
      </c>
      <c r="Q9" s="20">
        <f t="shared" si="2"/>
        <v>37.707896475983098</v>
      </c>
      <c r="R9" s="59">
        <f t="shared" si="0"/>
        <v>301.70789647598309</v>
      </c>
      <c r="S9" s="59">
        <f ca="1">AVERAGE(OFFSET($R$3,0,0,'Données projet'!$E$9+1,1))-AVERAGE(OFFSET($H$3,0,0,'Données projet'!$E$9+1,1))</f>
        <v>193.8828274189392</v>
      </c>
      <c r="T9" s="59">
        <f t="shared" si="34"/>
        <v>179.13381331066427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4.7439999999999998</v>
      </c>
      <c r="AI9" s="13">
        <f>IF('Données projet'!$A$62&gt;35,AI8+AH9-AQ8,IF(A9&lt;'Données projet'!$A$62,$AF$205^A9,IF(A9='Données projet'!$A$62,'Données projet'!$B$62,AI8+AH9-AQ8)))</f>
        <v>3.1461565241235463</v>
      </c>
      <c r="AJ9" s="13">
        <f>AI9*VLOOKUP('Données projet'!$B$10,Paramètres!$A$1:$I$89,3,0)*VLOOKUP('Données projet'!$B$10,Paramètres!$A$1:$I$89,5,0)</f>
        <v>1.8814016014258808</v>
      </c>
      <c r="AK9" s="13">
        <f t="shared" si="35"/>
        <v>0.80553409400351517</v>
      </c>
      <c r="AL9" s="20">
        <f t="shared" si="4"/>
        <v>4.6797463362061977</v>
      </c>
      <c r="AM9" s="59">
        <f t="shared" si="5"/>
        <v>268.67974633620622</v>
      </c>
      <c r="AN9" s="59">
        <f ca="1">AVERAGE(OFFSET($AM$3,0,0,'Données projet'!$E$10+1,1))-AVERAGE(OFFSET($H$3,0,0,'Données projet'!$E$10+1,1))</f>
        <v>228.36873053496748</v>
      </c>
      <c r="AO9" s="59">
        <f t="shared" si="36"/>
        <v>177.73676400313303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23.649377142857141</v>
      </c>
      <c r="BF9" s="13">
        <f t="shared" si="37"/>
        <v>7.5415247055086745</v>
      </c>
      <c r="BG9" s="20">
        <f t="shared" si="7"/>
        <v>54.324154052570456</v>
      </c>
      <c r="BH9" s="59">
        <f t="shared" si="8"/>
        <v>318.32415405257046</v>
      </c>
      <c r="BI9" s="59">
        <f ca="1">AVERAGE(OFFSET($BH$3,0,0,'Données projet'!$E$11+1,1))-AVERAGE(OFFSET($H$3,0,0,'Données projet'!$E$11+1,1))</f>
        <v>534.59150243554586</v>
      </c>
      <c r="BJ9" s="59">
        <f t="shared" si="38"/>
        <v>259.04458689606491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0.6</v>
      </c>
      <c r="BY9" s="12">
        <f>IF('Données projet'!$A$114&gt;35,BY8+BX9-CG8,IF(A9&lt;'Données projet'!$A$114,$BV$205^A9,IF(A9='Données projet'!$A$114,'Données projet'!$B$114,BY8+BX9-CG8)))</f>
        <v>2.4082246852806919</v>
      </c>
      <c r="BZ9" s="13">
        <f>BY9*VLOOKUP('Données projet'!$B$12,Paramètres!$A$1:$I$89,3,0)*VLOOKUP('Données projet'!$B$12,Paramètres!$A$1:$I$89,5,0)</f>
        <v>2.1038250850612128</v>
      </c>
      <c r="CA9" s="13">
        <f t="shared" si="39"/>
        <v>0.88912612901456256</v>
      </c>
      <c r="CB9" s="20">
        <f t="shared" si="10"/>
        <v>5.2127233645153082</v>
      </c>
      <c r="CC9" s="59">
        <f t="shared" si="11"/>
        <v>269.21272336451528</v>
      </c>
      <c r="CD9" s="59">
        <f ca="1">AVERAGE(OFFSET($CC$3,0,0,'Données projet'!$E$12+1,1))-AVERAGE(OFFSET($H$3,0,0,'Données projet'!$E$12+1,1))</f>
        <v>211.91720528436969</v>
      </c>
      <c r="CE9" s="59">
        <f t="shared" si="40"/>
        <v>218.88548486038957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3.887142857142857</v>
      </c>
      <c r="CT9" s="12">
        <f>IF('Données projet'!$A$140&gt;35,CT8+CS9-DB8,IF(A9&lt;'Données projet'!$A$140,$CQ$205^A9,IF(A9='Données projet'!$A$140,'Données projet'!$B$140,CT8+CS9-DB8)))</f>
        <v>23.322857142857139</v>
      </c>
      <c r="CU9" s="17">
        <f>CT9*VLOOKUP('Données projet'!$B$13,Paramètres!$A$1:$I$89,3,0)*VLOOKUP('Données projet'!$B$13,Paramètres!$A$1:$I$89,5,0)</f>
        <v>21.102521142857139</v>
      </c>
      <c r="CV9" s="13">
        <f t="shared" si="41"/>
        <v>6.8192072738987575</v>
      </c>
      <c r="CW9" s="20">
        <f t="shared" si="13"/>
        <v>48.630343659183183</v>
      </c>
      <c r="CX9" s="59">
        <f t="shared" si="14"/>
        <v>312.63034365918315</v>
      </c>
      <c r="CY9" s="59">
        <f ca="1">AVERAGE(OFFSET($CX$3,0,0,'Données projet'!$E$13+1,1))-AVERAGE(OFFSET($H$3,0,0,'Données projet'!$E$13+1,1))</f>
        <v>469.97161976912071</v>
      </c>
      <c r="CZ9" s="59">
        <f t="shared" si="42"/>
        <v>231.65013084759306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3.887142857142857</v>
      </c>
      <c r="DO9" s="12">
        <f>IF('Données projet'!$A$166&gt;35,DO8+DN9-DW8,IF(A9&lt;'Données projet'!$A$166,$DL$205^A9,IF(A9='Données projet'!$A$166,'Données projet'!$B$166,DO8+DN9-DW8)))</f>
        <v>23.322857142857139</v>
      </c>
      <c r="DP9" s="17">
        <f>DO9*VLOOKUP('Données projet'!$B$14,Paramètres!$A$1:$I$89,3,0)*VLOOKUP('Données projet'!$B$14,Paramètres!$A$1:$I$89,5,0)</f>
        <v>22.557867428571427</v>
      </c>
      <c r="DQ9" s="13">
        <f t="shared" si="43"/>
        <v>7.2331290396118018</v>
      </c>
      <c r="DR9" s="20">
        <f t="shared" si="16"/>
        <v>51.885985515419122</v>
      </c>
      <c r="DS9" s="59">
        <f t="shared" si="17"/>
        <v>315.88598551541912</v>
      </c>
      <c r="DT9" s="59">
        <f ca="1">AVERAGE(OFFSET($DS$3,0,0,'Données projet'!$E$14+1,1))-AVERAGE(OFFSET($H$3,0,0,'Données projet'!$E$14+1,1))</f>
        <v>506.9153247310901</v>
      </c>
      <c r="DU9" s="59">
        <f t="shared" si="44"/>
        <v>247.31254626788319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4.5262222222222226</v>
      </c>
      <c r="N10" s="13">
        <f>IF('Données projet'!$A$36&gt;35,N9+M10-V9,IF(A10&lt;'Données projet'!$A$36,$K$205^A10,IF(A10='Données projet'!$A$36,'Données projet'!$B$36,N9+M10-V9)))</f>
        <v>31.683555555555561</v>
      </c>
      <c r="O10" s="13">
        <f>N10*VLOOKUP('Données projet'!$B$9,Paramètres!$A$1:$I$89,3,0)*VLOOKUP('Données projet'!$B$9,Paramètres!$A$1:$I$89,5,0)</f>
        <v>18.946766222222227</v>
      </c>
      <c r="P10" s="13">
        <f t="shared" si="33"/>
        <v>6.1998627613733861</v>
      </c>
      <c r="Q10" s="20">
        <f t="shared" si="2"/>
        <v>43.797045479762353</v>
      </c>
      <c r="R10" s="59">
        <f t="shared" si="0"/>
        <v>309.01926770198457</v>
      </c>
      <c r="S10" s="59">
        <f ca="1">AVERAGE(OFFSET($R$3,0,0,'Données projet'!$E$9+1,1))-AVERAGE(OFFSET($H$3,0,0,'Données projet'!$E$9+1,1))</f>
        <v>193.8828274189392</v>
      </c>
      <c r="T10" s="59">
        <f t="shared" si="34"/>
        <v>179.13381331066427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4.7439999999999998</v>
      </c>
      <c r="AI10" s="13">
        <f>IF('Données projet'!$A$62&gt;35,AI9+AH10-AQ9,IF(A10&lt;'Données projet'!$A$62,$AF$205^A10,IF(A10='Données projet'!$A$62,'Données projet'!$B$62,AI9+AH10-AQ9)))</f>
        <v>3.8084101410530731</v>
      </c>
      <c r="AJ10" s="13">
        <f>AI10*VLOOKUP('Données projet'!$B$10,Paramètres!$A$1:$I$89,3,0)*VLOOKUP('Données projet'!$B$10,Paramètres!$A$1:$I$89,5,0)</f>
        <v>2.2774292643497378</v>
      </c>
      <c r="AK10" s="13">
        <f t="shared" si="35"/>
        <v>0.95365299224330546</v>
      </c>
      <c r="AL10" s="20">
        <f t="shared" si="4"/>
        <v>5.6274682635662172</v>
      </c>
      <c r="AM10" s="59">
        <f t="shared" si="5"/>
        <v>270.84969048578847</v>
      </c>
      <c r="AN10" s="59">
        <f ca="1">AVERAGE(OFFSET($AM$3,0,0,'Données projet'!$E$10+1,1))-AVERAGE(OFFSET($H$3,0,0,'Données projet'!$E$10+1,1))</f>
        <v>228.36873053496748</v>
      </c>
      <c r="AO10" s="59">
        <f t="shared" si="36"/>
        <v>177.73676400313303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27.590939999999993</v>
      </c>
      <c r="BF10" s="13">
        <f t="shared" si="37"/>
        <v>8.6419816819814557</v>
      </c>
      <c r="BG10" s="20">
        <f t="shared" si="7"/>
        <v>63.105671929451027</v>
      </c>
      <c r="BH10" s="59">
        <f t="shared" si="8"/>
        <v>328.32789415167326</v>
      </c>
      <c r="BI10" s="59">
        <f ca="1">AVERAGE(OFFSET($BH$3,0,0,'Données projet'!$E$11+1,1))-AVERAGE(OFFSET($H$3,0,0,'Données projet'!$E$11+1,1))</f>
        <v>534.59150243554586</v>
      </c>
      <c r="BJ10" s="59">
        <f t="shared" si="38"/>
        <v>259.04458689606491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0.6</v>
      </c>
      <c r="BY10" s="12">
        <f>IF('Données projet'!$A$114&gt;35,BY9+BX10-CG9,IF(A10&lt;'Données projet'!$A$114,$BV$205^A10,IF(A10='Données projet'!$A$114,'Données projet'!$B$114,BY9+BX10-CG9)))</f>
        <v>2.788130973628832</v>
      </c>
      <c r="BZ10" s="13">
        <f>BY10*VLOOKUP('Données projet'!$B$12,Paramètres!$A$1:$I$89,3,0)*VLOOKUP('Données projet'!$B$12,Paramètres!$A$1:$I$89,5,0)</f>
        <v>2.4357112185621479</v>
      </c>
      <c r="CA10" s="13">
        <f t="shared" si="39"/>
        <v>1.0119862660170416</v>
      </c>
      <c r="CB10" s="20">
        <f t="shared" si="10"/>
        <v>6.0047397856420881</v>
      </c>
      <c r="CC10" s="59">
        <f t="shared" si="11"/>
        <v>271.2269620078643</v>
      </c>
      <c r="CD10" s="59">
        <f ca="1">AVERAGE(OFFSET($CC$3,0,0,'Données projet'!$E$12+1,1))-AVERAGE(OFFSET($H$3,0,0,'Données projet'!$E$12+1,1))</f>
        <v>211.91720528436969</v>
      </c>
      <c r="CE10" s="59">
        <f t="shared" si="40"/>
        <v>218.88548486038957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3.887142857142857</v>
      </c>
      <c r="CT10" s="12">
        <f>IF('Données projet'!$A$140&gt;35,CT9+CS10-DB9,IF(A10&lt;'Données projet'!$A$140,$CQ$205^A10,IF(A10='Données projet'!$A$140,'Données projet'!$B$140,CT9+CS10-DB9)))</f>
        <v>27.209999999999994</v>
      </c>
      <c r="CU10" s="17">
        <f>CT10*VLOOKUP('Données projet'!$B$13,Paramètres!$A$1:$I$89,3,0)*VLOOKUP('Données projet'!$B$13,Paramètres!$A$1:$I$89,5,0)</f>
        <v>24.619607999999992</v>
      </c>
      <c r="CV10" s="13">
        <f t="shared" si="41"/>
        <v>7.8142639118614152</v>
      </c>
      <c r="CW10" s="20">
        <f t="shared" si="13"/>
        <v>56.488993579825284</v>
      </c>
      <c r="CX10" s="59">
        <f t="shared" si="14"/>
        <v>321.71121580204749</v>
      </c>
      <c r="CY10" s="59">
        <f ca="1">AVERAGE(OFFSET($CX$3,0,0,'Données projet'!$E$13+1,1))-AVERAGE(OFFSET($H$3,0,0,'Données projet'!$E$13+1,1))</f>
        <v>469.97161976912071</v>
      </c>
      <c r="CZ10" s="59">
        <f t="shared" si="42"/>
        <v>231.65013084759306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3.887142857142857</v>
      </c>
      <c r="DO10" s="12">
        <f>IF('Données projet'!$A$166&gt;35,DO9+DN10-DW9,IF(A10&lt;'Données projet'!$A$166,$DL$205^A10,IF(A10='Données projet'!$A$166,'Données projet'!$B$166,DO9+DN10-DW9)))</f>
        <v>27.209999999999994</v>
      </c>
      <c r="DP10" s="17">
        <f>DO10*VLOOKUP('Données projet'!$B$14,Paramètres!$A$1:$I$89,3,0)*VLOOKUP('Données projet'!$B$14,Paramètres!$A$1:$I$89,5,0)</f>
        <v>26.317511999999997</v>
      </c>
      <c r="DQ10" s="13">
        <f t="shared" si="43"/>
        <v>8.288585014920681</v>
      </c>
      <c r="DR10" s="20">
        <f t="shared" si="16"/>
        <v>60.272285634320177</v>
      </c>
      <c r="DS10" s="59">
        <f t="shared" si="17"/>
        <v>325.49450785654238</v>
      </c>
      <c r="DT10" s="59">
        <f ca="1">AVERAGE(OFFSET($DS$3,0,0,'Données projet'!$E$14+1,1))-AVERAGE(OFFSET($H$3,0,0,'Données projet'!$E$14+1,1))</f>
        <v>506.9153247310901</v>
      </c>
      <c r="DU10" s="59">
        <f t="shared" si="44"/>
        <v>247.31254626788319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4.5262222222222226</v>
      </c>
      <c r="N11" s="13">
        <f>IF('Données projet'!$A$36&gt;35,N10+M11-V10,IF(A11&lt;'Données projet'!$A$36,$K$205^A11,IF(A11='Données projet'!$A$36,'Données projet'!$B$36,N10+M11-V10)))</f>
        <v>36.209777777777781</v>
      </c>
      <c r="O11" s="13">
        <f>N11*VLOOKUP('Données projet'!$B$9,Paramètres!$A$1:$I$89,3,0)*VLOOKUP('Données projet'!$B$9,Paramètres!$A$1:$I$89,5,0)</f>
        <v>21.653447111111113</v>
      </c>
      <c r="P11" s="13">
        <f t="shared" si="33"/>
        <v>6.9762777093448598</v>
      </c>
      <c r="Q11" s="20">
        <f t="shared" si="2"/>
        <v>49.863437395627479</v>
      </c>
      <c r="R11" s="59">
        <f t="shared" si="0"/>
        <v>316.30788184007196</v>
      </c>
      <c r="S11" s="59">
        <f ca="1">AVERAGE(OFFSET($R$3,0,0,'Données projet'!$E$9+1,1))-AVERAGE(OFFSET($H$3,0,0,'Données projet'!$E$9+1,1))</f>
        <v>193.8828274189392</v>
      </c>
      <c r="T11" s="59">
        <f t="shared" si="34"/>
        <v>179.13381331066427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4.7439999999999998</v>
      </c>
      <c r="AI11" s="13">
        <f>IF('Données projet'!$A$62&gt;35,AI10+AH11-AQ10,IF(A11&lt;'Données projet'!$A$62,$AF$205^A11,IF(A11='Données projet'!$A$62,'Données projet'!$B$62,AI10+AH11-AQ10)))</f>
        <v>4.6100655486352196</v>
      </c>
      <c r="AJ11" s="13">
        <f>AI11*VLOOKUP('Données projet'!$B$10,Paramètres!$A$1:$I$89,3,0)*VLOOKUP('Données projet'!$B$10,Paramètres!$A$1:$I$89,5,0)</f>
        <v>2.7568191980838614</v>
      </c>
      <c r="AK11" s="13">
        <f t="shared" si="35"/>
        <v>1.1290074950082019</v>
      </c>
      <c r="AL11" s="20">
        <f t="shared" si="4"/>
        <v>6.7678148238020102</v>
      </c>
      <c r="AM11" s="59">
        <f t="shared" si="5"/>
        <v>273.21225926824644</v>
      </c>
      <c r="AN11" s="59">
        <f ca="1">AVERAGE(OFFSET($AM$3,0,0,'Données projet'!$E$10+1,1))-AVERAGE(OFFSET($H$3,0,0,'Données projet'!$E$10+1,1))</f>
        <v>228.36873053496748</v>
      </c>
      <c r="AO11" s="59">
        <f t="shared" si="36"/>
        <v>177.73676400313303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31.532502857142852</v>
      </c>
      <c r="BF11" s="13">
        <f t="shared" si="37"/>
        <v>9.7242255986999844</v>
      </c>
      <c r="BG11" s="20">
        <f t="shared" si="7"/>
        <v>71.855468727259591</v>
      </c>
      <c r="BH11" s="59">
        <f t="shared" si="8"/>
        <v>338.29991317170402</v>
      </c>
      <c r="BI11" s="59">
        <f ca="1">AVERAGE(OFFSET($BH$3,0,0,'Données projet'!$E$11+1,1))-AVERAGE(OFFSET($H$3,0,0,'Données projet'!$E$11+1,1))</f>
        <v>534.59150243554586</v>
      </c>
      <c r="BJ11" s="59">
        <f t="shared" si="38"/>
        <v>259.04458689606491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0.6</v>
      </c>
      <c r="BY11" s="12">
        <f>IF('Données projet'!$A$114&gt;35,BY10+BX11-CG10,IF(A11&lt;'Données projet'!$A$114,$BV$205^A11,IF(A11='Données projet'!$A$114,'Données projet'!$B$114,BY10+BX11-CG10)))</f>
        <v>3.227968874176038</v>
      </c>
      <c r="BZ11" s="13">
        <f>BY11*VLOOKUP('Données projet'!$B$12,Paramètres!$A$1:$I$89,3,0)*VLOOKUP('Données projet'!$B$12,Paramètres!$A$1:$I$89,5,0)</f>
        <v>2.8199536084801871</v>
      </c>
      <c r="CA11" s="13">
        <f t="shared" si="39"/>
        <v>1.1518233118873293</v>
      </c>
      <c r="CB11" s="20">
        <f t="shared" si="10"/>
        <v>6.9175114696400923</v>
      </c>
      <c r="CC11" s="59">
        <f t="shared" si="11"/>
        <v>273.36195591408455</v>
      </c>
      <c r="CD11" s="59">
        <f ca="1">AVERAGE(OFFSET($CC$3,0,0,'Données projet'!$E$12+1,1))-AVERAGE(OFFSET($H$3,0,0,'Données projet'!$E$12+1,1))</f>
        <v>211.91720528436969</v>
      </c>
      <c r="CE11" s="59">
        <f t="shared" si="40"/>
        <v>218.88548486038957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3.887142857142857</v>
      </c>
      <c r="CT11" s="12">
        <f>IF('Données projet'!$A$140&gt;35,CT10+CS11-DB10,IF(A11&lt;'Données projet'!$A$140,$CQ$205^A11,IF(A11='Données projet'!$A$140,'Données projet'!$B$140,CT10+CS11-DB10)))</f>
        <v>31.097142857142849</v>
      </c>
      <c r="CU11" s="17">
        <f>CT11*VLOOKUP('Données projet'!$B$13,Paramètres!$A$1:$I$89,3,0)*VLOOKUP('Données projet'!$B$13,Paramètres!$A$1:$I$89,5,0)</f>
        <v>28.136694857142849</v>
      </c>
      <c r="CV11" s="13">
        <f t="shared" si="41"/>
        <v>8.792851913254415</v>
      </c>
      <c r="CW11" s="20">
        <f t="shared" si="13"/>
        <v>64.318960625108559</v>
      </c>
      <c r="CX11" s="59">
        <f t="shared" si="14"/>
        <v>330.76340506955302</v>
      </c>
      <c r="CY11" s="59">
        <f ca="1">AVERAGE(OFFSET($CX$3,0,0,'Données projet'!$E$13+1,1))-AVERAGE(OFFSET($H$3,0,0,'Données projet'!$E$13+1,1))</f>
        <v>469.97161976912071</v>
      </c>
      <c r="CZ11" s="59">
        <f t="shared" si="42"/>
        <v>231.65013084759306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3.887142857142857</v>
      </c>
      <c r="DO11" s="12">
        <f>IF('Données projet'!$A$166&gt;35,DO10+DN11-DW10,IF(A11&lt;'Données projet'!$A$166,$DL$205^A11,IF(A11='Données projet'!$A$166,'Données projet'!$B$166,DO10+DN11-DW10)))</f>
        <v>31.097142857142849</v>
      </c>
      <c r="DP11" s="17">
        <f>DO11*VLOOKUP('Données projet'!$B$14,Paramètres!$A$1:$I$89,3,0)*VLOOKUP('Données projet'!$B$14,Paramètres!$A$1:$I$89,5,0)</f>
        <v>30.077156571428564</v>
      </c>
      <c r="DQ11" s="13">
        <f t="shared" si="43"/>
        <v>9.3265727173599551</v>
      </c>
      <c r="DR11" s="20">
        <f t="shared" si="16"/>
        <v>68.62816184463999</v>
      </c>
      <c r="DS11" s="59">
        <f t="shared" si="17"/>
        <v>335.07260628908443</v>
      </c>
      <c r="DT11" s="59">
        <f ca="1">AVERAGE(OFFSET($DS$3,0,0,'Données projet'!$E$14+1,1))-AVERAGE(OFFSET($H$3,0,0,'Données projet'!$E$14+1,1))</f>
        <v>506.9153247310901</v>
      </c>
      <c r="DU11" s="59">
        <f t="shared" si="44"/>
        <v>247.31254626788319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4.5262222222222226</v>
      </c>
      <c r="N12" s="13">
        <f>IF('Données projet'!$A$36&gt;35,N11+M12-V11,IF(A12&lt;'Données projet'!$A$36,$K$205^A12,IF(A12='Données projet'!$A$36,'Données projet'!$B$36,N11+M12-V11)))</f>
        <v>40.736000000000004</v>
      </c>
      <c r="O12" s="13">
        <f>N12*VLOOKUP('Données projet'!$B$9,Paramètres!$A$1:$I$89,3,0)*VLOOKUP('Données projet'!$B$9,Paramètres!$A$1:$I$89,5,0)</f>
        <v>24.360128000000007</v>
      </c>
      <c r="P12" s="13">
        <f t="shared" si="33"/>
        <v>7.7414467239386342</v>
      </c>
      <c r="Q12" s="20">
        <f t="shared" si="2"/>
        <v>55.910242644193126</v>
      </c>
      <c r="R12" s="59">
        <f t="shared" si="0"/>
        <v>323.57690931085983</v>
      </c>
      <c r="S12" s="59">
        <f ca="1">AVERAGE(OFFSET($R$3,0,0,'Données projet'!$E$9+1,1))-AVERAGE(OFFSET($H$3,0,0,'Données projet'!$E$9+1,1))</f>
        <v>193.8828274189392</v>
      </c>
      <c r="T12" s="59">
        <f t="shared" si="34"/>
        <v>179.13381331066427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4.7439999999999998</v>
      </c>
      <c r="AI12" s="13">
        <f>IF('Données projet'!$A$62&gt;35,AI11+AH12-AQ11,IF(A12&lt;'Données projet'!$A$62,$AF$205^A12,IF(A12='Données projet'!$A$62,'Données projet'!$B$62,AI11+AH12-AQ11)))</f>
        <v>5.5804662774153595</v>
      </c>
      <c r="AJ12" s="13">
        <f>AI12*VLOOKUP('Données projet'!$B$10,Paramètres!$A$1:$I$89,3,0)*VLOOKUP('Données projet'!$B$10,Paramètres!$A$1:$I$89,5,0)</f>
        <v>3.3371188338943854</v>
      </c>
      <c r="AK12" s="13">
        <f t="shared" si="35"/>
        <v>1.336605593598863</v>
      </c>
      <c r="AL12" s="20">
        <f t="shared" si="4"/>
        <v>8.1400700445507415</v>
      </c>
      <c r="AM12" s="59">
        <f t="shared" si="5"/>
        <v>275.80673671121741</v>
      </c>
      <c r="AN12" s="59">
        <f ca="1">AVERAGE(OFFSET($AM$3,0,0,'Données projet'!$E$10+1,1))-AVERAGE(OFFSET($H$3,0,0,'Données projet'!$E$10+1,1))</f>
        <v>228.36873053496748</v>
      </c>
      <c r="AO12" s="59">
        <f t="shared" si="36"/>
        <v>177.73676400313303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35.474065714285707</v>
      </c>
      <c r="BF12" s="13">
        <f t="shared" si="37"/>
        <v>10.790793821618898</v>
      </c>
      <c r="BG12" s="20">
        <f t="shared" si="7"/>
        <v>80.577963691700518</v>
      </c>
      <c r="BH12" s="59">
        <f t="shared" si="8"/>
        <v>348.2446303583672</v>
      </c>
      <c r="BI12" s="59">
        <f ca="1">AVERAGE(OFFSET($BH$3,0,0,'Données projet'!$E$11+1,1))-AVERAGE(OFFSET($H$3,0,0,'Données projet'!$E$11+1,1))</f>
        <v>534.59150243554586</v>
      </c>
      <c r="BJ12" s="59">
        <f t="shared" si="38"/>
        <v>259.04458689606491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0.6</v>
      </c>
      <c r="BY12" s="12">
        <f>IF('Données projet'!$A$114&gt;35,BY11+BX12-CG11,IF(A12&lt;'Données projet'!$A$114,$BV$205^A12,IF(A12='Données projet'!$A$114,'Données projet'!$B$114,BY11+BX12-CG11)))</f>
        <v>3.7371928188465526</v>
      </c>
      <c r="BZ12" s="13">
        <f>BY12*VLOOKUP('Données projet'!$B$12,Paramètres!$A$1:$I$89,3,0)*VLOOKUP('Données projet'!$B$12,Paramètres!$A$1:$I$89,5,0)</f>
        <v>3.2648116465443486</v>
      </c>
      <c r="CA12" s="13">
        <f t="shared" si="39"/>
        <v>1.310983149038857</v>
      </c>
      <c r="CB12" s="20">
        <f t="shared" si="10"/>
        <v>7.9695092689740825</v>
      </c>
      <c r="CC12" s="59">
        <f t="shared" si="11"/>
        <v>275.63617593564078</v>
      </c>
      <c r="CD12" s="59">
        <f ca="1">AVERAGE(OFFSET($CC$3,0,0,'Données projet'!$E$12+1,1))-AVERAGE(OFFSET($H$3,0,0,'Données projet'!$E$12+1,1))</f>
        <v>211.91720528436969</v>
      </c>
      <c r="CE12" s="59">
        <f t="shared" si="40"/>
        <v>218.88548486038957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3.887142857142857</v>
      </c>
      <c r="CT12" s="12">
        <f>IF('Données projet'!$A$140&gt;35,CT11+CS12-DB11,IF(A12&lt;'Données projet'!$A$140,$CQ$205^A12,IF(A12='Données projet'!$A$140,'Données projet'!$B$140,CT11+CS12-DB11)))</f>
        <v>34.984285714285704</v>
      </c>
      <c r="CU12" s="17">
        <f>CT12*VLOOKUP('Données projet'!$B$13,Paramètres!$A$1:$I$89,3,0)*VLOOKUP('Données projet'!$B$13,Paramètres!$A$1:$I$89,5,0)</f>
        <v>31.653781714285703</v>
      </c>
      <c r="CV12" s="13">
        <f t="shared" si="41"/>
        <v>9.757265618420071</v>
      </c>
      <c r="CW12" s="20">
        <f t="shared" si="13"/>
        <v>72.124240771129223</v>
      </c>
      <c r="CX12" s="59">
        <f t="shared" si="14"/>
        <v>339.79090743779591</v>
      </c>
      <c r="CY12" s="59">
        <f ca="1">AVERAGE(OFFSET($CX$3,0,0,'Données projet'!$E$13+1,1))-AVERAGE(OFFSET($H$3,0,0,'Données projet'!$E$13+1,1))</f>
        <v>469.97161976912071</v>
      </c>
      <c r="CZ12" s="59">
        <f t="shared" si="42"/>
        <v>231.65013084759306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3.887142857142857</v>
      </c>
      <c r="DO12" s="12">
        <f>IF('Données projet'!$A$166&gt;35,DO11+DN12-DW11,IF(A12&lt;'Données projet'!$A$166,$DL$205^A12,IF(A12='Données projet'!$A$166,'Données projet'!$B$166,DO11+DN12-DW11)))</f>
        <v>34.984285714285704</v>
      </c>
      <c r="DP12" s="17">
        <f>DO12*VLOOKUP('Données projet'!$B$14,Paramètres!$A$1:$I$89,3,0)*VLOOKUP('Données projet'!$B$14,Paramètres!$A$1:$I$89,5,0)</f>
        <v>33.836801142857134</v>
      </c>
      <c r="DQ12" s="13">
        <f t="shared" si="43"/>
        <v>10.349525752345953</v>
      </c>
      <c r="DR12" s="20">
        <f t="shared" si="16"/>
        <v>76.957852675812049</v>
      </c>
      <c r="DS12" s="59">
        <f t="shared" si="17"/>
        <v>344.62451934247872</v>
      </c>
      <c r="DT12" s="59">
        <f ca="1">AVERAGE(OFFSET($DS$3,0,0,'Données projet'!$E$14+1,1))-AVERAGE(OFFSET($H$3,0,0,'Données projet'!$E$14+1,1))</f>
        <v>506.9153247310901</v>
      </c>
      <c r="DU12" s="59">
        <f t="shared" si="44"/>
        <v>247.31254626788319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4.5262222222222226</v>
      </c>
      <c r="N13" s="13">
        <f>IF('Données projet'!$A$36&gt;35,N12+M13-V12,IF(A13&lt;'Données projet'!$A$36,$K$205^A13,IF(A13='Données projet'!$A$36,'Données projet'!$B$36,N12+M13-V12)))</f>
        <v>45.262222222222228</v>
      </c>
      <c r="O13" s="13">
        <f>N13*VLOOKUP('Données projet'!$B$9,Paramètres!$A$1:$I$89,3,0)*VLOOKUP('Données projet'!$B$9,Paramètres!$A$1:$I$89,5,0)</f>
        <v>27.066808888888897</v>
      </c>
      <c r="P13" s="13">
        <f t="shared" si="33"/>
        <v>8.4967618917910688</v>
      </c>
      <c r="Q13" s="20">
        <f t="shared" si="2"/>
        <v>61.939885776350934</v>
      </c>
      <c r="R13" s="59">
        <f t="shared" si="0"/>
        <v>330.82877466523979</v>
      </c>
      <c r="S13" s="59">
        <f ca="1">AVERAGE(OFFSET($R$3,0,0,'Données projet'!$E$9+1,1))-AVERAGE(OFFSET($H$3,0,0,'Données projet'!$E$9+1,1))</f>
        <v>193.8828274189392</v>
      </c>
      <c r="T13" s="59">
        <f t="shared" si="34"/>
        <v>179.13381331066427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4.7439999999999998</v>
      </c>
      <c r="AI13" s="13">
        <f>IF('Données projet'!$A$62&gt;35,AI12+AH13-AQ12,IF(A13&lt;'Données projet'!$A$62,$AF$205^A13,IF(A13='Données projet'!$A$62,'Données projet'!$B$62,AI12+AH13-AQ12)))</f>
        <v>6.7551325561063464</v>
      </c>
      <c r="AJ13" s="13">
        <f>AI13*VLOOKUP('Données projet'!$B$10,Paramètres!$A$1:$I$89,3,0)*VLOOKUP('Données projet'!$B$10,Paramètres!$A$1:$I$89,5,0)</f>
        <v>4.0395692685515954</v>
      </c>
      <c r="AK13" s="13">
        <f t="shared" si="35"/>
        <v>1.5823761319022867</v>
      </c>
      <c r="AL13" s="20">
        <f t="shared" si="4"/>
        <v>9.7915549057905107</v>
      </c>
      <c r="AM13" s="59">
        <f t="shared" si="5"/>
        <v>278.68044379467938</v>
      </c>
      <c r="AN13" s="59">
        <f ca="1">AVERAGE(OFFSET($AM$3,0,0,'Données projet'!$E$10+1,1))-AVERAGE(OFFSET($H$3,0,0,'Données projet'!$E$10+1,1))</f>
        <v>228.36873053496748</v>
      </c>
      <c r="AO13" s="59">
        <f t="shared" si="36"/>
        <v>177.73676400313303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39.415628571428563</v>
      </c>
      <c r="BF13" s="13">
        <f t="shared" si="37"/>
        <v>11.843626778724154</v>
      </c>
      <c r="BG13" s="20">
        <f t="shared" si="7"/>
        <v>89.276536401515969</v>
      </c>
      <c r="BH13" s="59">
        <f t="shared" si="8"/>
        <v>358.16542529040481</v>
      </c>
      <c r="BI13" s="59">
        <f ca="1">AVERAGE(OFFSET($BH$3,0,0,'Données projet'!$E$11+1,1))-AVERAGE(OFFSET($H$3,0,0,'Données projet'!$E$11+1,1))</f>
        <v>534.59150243554586</v>
      </c>
      <c r="BJ13" s="59">
        <f t="shared" si="38"/>
        <v>259.04458689606491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0.6</v>
      </c>
      <c r="BY13" s="12">
        <f>IF('Données projet'!$A$114&gt;35,BY12+BX13-CG12,IF(A13&lt;'Données projet'!$A$114,$BV$205^A13,IF(A13='Données projet'!$A$114,'Données projet'!$B$114,BY12+BX13-CG12)))</f>
        <v>4.3267487109222253</v>
      </c>
      <c r="BZ13" s="13">
        <f>BY13*VLOOKUP('Données projet'!$B$12,Paramètres!$A$1:$I$89,3,0)*VLOOKUP('Données projet'!$B$12,Paramètres!$A$1:$I$89,5,0)</f>
        <v>3.7798476738616569</v>
      </c>
      <c r="CA13" s="13">
        <f t="shared" si="39"/>
        <v>1.4921358157334794</v>
      </c>
      <c r="CB13" s="20">
        <f t="shared" si="10"/>
        <v>9.182037911044862</v>
      </c>
      <c r="CC13" s="59">
        <f t="shared" si="11"/>
        <v>278.07092679993372</v>
      </c>
      <c r="CD13" s="59">
        <f ca="1">AVERAGE(OFFSET($CC$3,0,0,'Données projet'!$E$12+1,1))-AVERAGE(OFFSET($H$3,0,0,'Données projet'!$E$12+1,1))</f>
        <v>211.91720528436969</v>
      </c>
      <c r="CE13" s="59">
        <f t="shared" si="40"/>
        <v>218.88548486038957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3.887142857142857</v>
      </c>
      <c r="CT13" s="12">
        <f>IF('Données projet'!$A$140&gt;35,CT12+CS13-DB12,IF(A13&lt;'Données projet'!$A$140,$CQ$205^A13,IF(A13='Données projet'!$A$140,'Données projet'!$B$140,CT12+CS13-DB12)))</f>
        <v>38.871428571428559</v>
      </c>
      <c r="CU13" s="17">
        <f>CT13*VLOOKUP('Données projet'!$B$13,Paramètres!$A$1:$I$89,3,0)*VLOOKUP('Données projet'!$B$13,Paramètres!$A$1:$I$89,5,0)</f>
        <v>35.170868571428556</v>
      </c>
      <c r="CV13" s="13">
        <f t="shared" si="41"/>
        <v>10.709259603674569</v>
      </c>
      <c r="CW13" s="20">
        <f t="shared" si="13"/>
        <v>79.90788990497127</v>
      </c>
      <c r="CX13" s="59">
        <f t="shared" si="14"/>
        <v>348.79677879386014</v>
      </c>
      <c r="CY13" s="59">
        <f ca="1">AVERAGE(OFFSET($CX$3,0,0,'Données projet'!$E$13+1,1))-AVERAGE(OFFSET($H$3,0,0,'Données projet'!$E$13+1,1))</f>
        <v>469.97161976912071</v>
      </c>
      <c r="CZ13" s="59">
        <f t="shared" si="42"/>
        <v>231.65013084759306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3.887142857142857</v>
      </c>
      <c r="DO13" s="12">
        <f>IF('Données projet'!$A$166&gt;35,DO12+DN13-DW12,IF(A13&lt;'Données projet'!$A$166,$DL$205^A13,IF(A13='Données projet'!$A$166,'Données projet'!$B$166,DO12+DN13-DW12)))</f>
        <v>38.871428571428559</v>
      </c>
      <c r="DP13" s="17">
        <f>DO13*VLOOKUP('Données projet'!$B$14,Paramètres!$A$1:$I$89,3,0)*VLOOKUP('Données projet'!$B$14,Paramètres!$A$1:$I$89,5,0)</f>
        <v>37.596445714285707</v>
      </c>
      <c r="DQ13" s="13">
        <f t="shared" si="43"/>
        <v>11.359305197918257</v>
      </c>
      <c r="DR13" s="20">
        <f t="shared" si="16"/>
        <v>85.264599505421899</v>
      </c>
      <c r="DS13" s="59">
        <f t="shared" si="17"/>
        <v>354.15348839431078</v>
      </c>
      <c r="DT13" s="59">
        <f ca="1">AVERAGE(OFFSET($DS$3,0,0,'Données projet'!$E$14+1,1))-AVERAGE(OFFSET($H$3,0,0,'Données projet'!$E$14+1,1))</f>
        <v>506.9153247310901</v>
      </c>
      <c r="DU13" s="59">
        <f t="shared" si="44"/>
        <v>247.31254626788319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4.5262222222222226</v>
      </c>
      <c r="N14" s="13">
        <f>IF('Données projet'!$A$36&gt;35,N13+M14-V13,IF(A14&lt;'Données projet'!$A$36,$K$205^A14,IF(A14='Données projet'!$A$36,'Données projet'!$B$36,N13+M14-V13)))</f>
        <v>49.788444444444451</v>
      </c>
      <c r="O14" s="13">
        <f>N14*VLOOKUP('Données projet'!$B$9,Paramètres!$A$1:$I$89,3,0)*VLOOKUP('Données projet'!$B$9,Paramètres!$A$1:$I$89,5,0)</f>
        <v>29.773489777777787</v>
      </c>
      <c r="P14" s="13">
        <f t="shared" si="33"/>
        <v>9.2433207709446492</v>
      </c>
      <c r="Q14" s="20">
        <f t="shared" si="2"/>
        <v>67.954278372358246</v>
      </c>
      <c r="R14" s="59">
        <f t="shared" si="0"/>
        <v>338.0653894834694</v>
      </c>
      <c r="S14" s="59">
        <f ca="1">AVERAGE(OFFSET($R$3,0,0,'Données projet'!$E$9+1,1))-AVERAGE(OFFSET($H$3,0,0,'Données projet'!$E$9+1,1))</f>
        <v>193.8828274189392</v>
      </c>
      <c r="T14" s="59">
        <f t="shared" si="34"/>
        <v>179.13381331066427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4.7439999999999998</v>
      </c>
      <c r="AI14" s="13">
        <f>IF('Données projet'!$A$62&gt;35,AI13+AH14-AQ13,IF(A14&lt;'Données projet'!$A$62,$AF$205^A14,IF(A14='Données projet'!$A$62,'Données projet'!$B$62,AI13+AH14-AQ13)))</f>
        <v>8.1770614823431256</v>
      </c>
      <c r="AJ14" s="13">
        <f>AI14*VLOOKUP('Données projet'!$B$10,Paramètres!$A$1:$I$89,3,0)*VLOOKUP('Données projet'!$B$10,Paramètres!$A$1:$I$89,5,0)</f>
        <v>4.8898827664411897</v>
      </c>
      <c r="AK14" s="13">
        <f t="shared" si="35"/>
        <v>1.8733381296663256</v>
      </c>
      <c r="AL14" s="20">
        <f t="shared" si="4"/>
        <v>11.779276394053923</v>
      </c>
      <c r="AM14" s="59">
        <f t="shared" si="5"/>
        <v>281.89038750516505</v>
      </c>
      <c r="AN14" s="59">
        <f ca="1">AVERAGE(OFFSET($AM$3,0,0,'Données projet'!$E$10+1,1))-AVERAGE(OFFSET($H$3,0,0,'Données projet'!$E$10+1,1))</f>
        <v>228.36873053496748</v>
      </c>
      <c r="AO14" s="59">
        <f t="shared" si="36"/>
        <v>177.73676400313303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43.357191428571419</v>
      </c>
      <c r="BF14" s="13">
        <f t="shared" si="37"/>
        <v>12.884254354928219</v>
      </c>
      <c r="BG14" s="20">
        <f t="shared" si="7"/>
        <v>97.953851406261848</v>
      </c>
      <c r="BH14" s="59">
        <f t="shared" si="8"/>
        <v>368.06496251737298</v>
      </c>
      <c r="BI14" s="59">
        <f ca="1">AVERAGE(OFFSET($BH$3,0,0,'Données projet'!$E$11+1,1))-AVERAGE(OFFSET($H$3,0,0,'Données projet'!$E$11+1,1))</f>
        <v>534.59150243554586</v>
      </c>
      <c r="BJ14" s="59">
        <f t="shared" si="38"/>
        <v>259.04458689606491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0.6</v>
      </c>
      <c r="BY14" s="12">
        <f>IF('Données projet'!$A$114&gt;35,BY13+BX14-CG13,IF(A14&lt;'Données projet'!$A$114,$BV$205^A14,IF(A14='Données projet'!$A$114,'Données projet'!$B$114,BY13+BX14-CG13)))</f>
        <v>5.0093092101266317</v>
      </c>
      <c r="BZ14" s="13">
        <f>BY14*VLOOKUP('Données projet'!$B$12,Paramètres!$A$1:$I$89,3,0)*VLOOKUP('Données projet'!$B$12,Paramètres!$A$1:$I$89,5,0)</f>
        <v>4.3761325259666259</v>
      </c>
      <c r="CA14" s="13">
        <f t="shared" si="39"/>
        <v>1.69832029818762</v>
      </c>
      <c r="CB14" s="20">
        <f t="shared" si="10"/>
        <v>10.579672002068646</v>
      </c>
      <c r="CC14" s="59">
        <f t="shared" si="11"/>
        <v>280.6907831131798</v>
      </c>
      <c r="CD14" s="59">
        <f ca="1">AVERAGE(OFFSET($CC$3,0,0,'Données projet'!$E$12+1,1))-AVERAGE(OFFSET($H$3,0,0,'Données projet'!$E$12+1,1))</f>
        <v>211.91720528436969</v>
      </c>
      <c r="CE14" s="59">
        <f t="shared" si="40"/>
        <v>218.88548486038957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3.887142857142857</v>
      </c>
      <c r="CT14" s="12">
        <f>IF('Données projet'!$A$140&gt;35,CT13+CS14-DB13,IF(A14&lt;'Données projet'!$A$140,$CQ$205^A14,IF(A14='Données projet'!$A$140,'Données projet'!$B$140,CT13+CS14-DB13)))</f>
        <v>42.758571428571415</v>
      </c>
      <c r="CU14" s="17">
        <f>CT14*VLOOKUP('Données projet'!$B$13,Paramètres!$A$1:$I$89,3,0)*VLOOKUP('Données projet'!$B$13,Paramètres!$A$1:$I$89,5,0)</f>
        <v>38.687955428571414</v>
      </c>
      <c r="CV14" s="13">
        <f t="shared" si="41"/>
        <v>11.650217223542473</v>
      </c>
      <c r="CW14" s="20">
        <f t="shared" si="13"/>
        <v>87.672317369098337</v>
      </c>
      <c r="CX14" s="59">
        <f t="shared" si="14"/>
        <v>357.78342848020947</v>
      </c>
      <c r="CY14" s="59">
        <f ca="1">AVERAGE(OFFSET($CX$3,0,0,'Données projet'!$E$13+1,1))-AVERAGE(OFFSET($H$3,0,0,'Données projet'!$E$13+1,1))</f>
        <v>469.97161976912071</v>
      </c>
      <c r="CZ14" s="59">
        <f t="shared" si="42"/>
        <v>231.65013084759306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3.887142857142857</v>
      </c>
      <c r="DO14" s="12">
        <f>IF('Données projet'!$A$166&gt;35,DO13+DN14-DW13,IF(A14&lt;'Données projet'!$A$166,$DL$205^A14,IF(A14='Données projet'!$A$166,'Données projet'!$B$166,DO13+DN14-DW13)))</f>
        <v>42.758571428571415</v>
      </c>
      <c r="DP14" s="17">
        <f>DO14*VLOOKUP('Données projet'!$B$14,Paramètres!$A$1:$I$89,3,0)*VLOOKUP('Données projet'!$B$14,Paramètres!$A$1:$I$89,5,0)</f>
        <v>41.356090285714274</v>
      </c>
      <c r="DQ14" s="13">
        <f t="shared" si="43"/>
        <v>12.357378377386118</v>
      </c>
      <c r="DR14" s="20">
        <f t="shared" si="16"/>
        <v>93.550957921566507</v>
      </c>
      <c r="DS14" s="59">
        <f t="shared" si="17"/>
        <v>363.66206903267766</v>
      </c>
      <c r="DT14" s="59">
        <f ca="1">AVERAGE(OFFSET($DS$3,0,0,'Données projet'!$E$14+1,1))-AVERAGE(OFFSET($H$3,0,0,'Données projet'!$E$14+1,1))</f>
        <v>506.9153247310901</v>
      </c>
      <c r="DU14" s="59">
        <f t="shared" si="44"/>
        <v>247.31254626788319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4.5262222222222226</v>
      </c>
      <c r="N15" s="13">
        <f>IF('Données projet'!$A$36&gt;35,N14+M15-V14,IF(A15&lt;'Données projet'!$A$36,$K$205^A15,IF(A15='Données projet'!$A$36,'Données projet'!$B$36,N14+M15-V14)))</f>
        <v>54.314666666666675</v>
      </c>
      <c r="O15" s="13">
        <f>N15*VLOOKUP('Données projet'!$B$9,Paramètres!$A$1:$I$89,3,0)*VLOOKUP('Données projet'!$B$9,Paramètres!$A$1:$I$89,5,0)</f>
        <v>32.480170666666673</v>
      </c>
      <c r="P15" s="13">
        <f t="shared" si="33"/>
        <v>9.9820099175579866</v>
      </c>
      <c r="Q15" s="20">
        <f t="shared" si="2"/>
        <v>73.954964517524616</v>
      </c>
      <c r="R15" s="59">
        <f t="shared" si="0"/>
        <v>345.28829785085793</v>
      </c>
      <c r="S15" s="59">
        <f ca="1">AVERAGE(OFFSET($R$3,0,0,'Données projet'!$E$9+1,1))-AVERAGE(OFFSET($H$3,0,0,'Données projet'!$E$9+1,1))</f>
        <v>193.8828274189392</v>
      </c>
      <c r="T15" s="59">
        <f t="shared" si="34"/>
        <v>179.13381331066427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4.7439999999999998</v>
      </c>
      <c r="AI15" s="13">
        <f>IF('Données projet'!$A$62&gt;35,AI14+AH15-AQ14,IF(A15&lt;'Données projet'!$A$62,$AF$205^A15,IF(A15='Données projet'!$A$62,'Données projet'!$B$62,AI14+AH15-AQ14)))</f>
        <v>9.8983008742851535</v>
      </c>
      <c r="AJ15" s="13">
        <f>AI15*VLOOKUP('Données projet'!$B$10,Paramètres!$A$1:$I$89,3,0)*VLOOKUP('Données projet'!$B$10,Paramètres!$A$1:$I$89,5,0)</f>
        <v>5.9191839228225227</v>
      </c>
      <c r="AK15" s="13">
        <f t="shared" si="35"/>
        <v>2.217801240368074</v>
      </c>
      <c r="AL15" s="20">
        <f t="shared" si="4"/>
        <v>14.171915825890288</v>
      </c>
      <c r="AM15" s="59">
        <f t="shared" si="5"/>
        <v>285.50524915922358</v>
      </c>
      <c r="AN15" s="59">
        <f ca="1">AVERAGE(OFFSET($AM$3,0,0,'Données projet'!$E$10+1,1))-AVERAGE(OFFSET($H$3,0,0,'Données projet'!$E$10+1,1))</f>
        <v>228.36873053496748</v>
      </c>
      <c r="AO15" s="59">
        <f t="shared" si="36"/>
        <v>177.73676400313303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47.298754285714274</v>
      </c>
      <c r="BF15" s="13">
        <f t="shared" si="37"/>
        <v>13.913912319856609</v>
      </c>
      <c r="BG15" s="20">
        <f t="shared" si="7"/>
        <v>106.6120610047026</v>
      </c>
      <c r="BH15" s="59">
        <f t="shared" si="8"/>
        <v>377.9453943380359</v>
      </c>
      <c r="BI15" s="59">
        <f ca="1">AVERAGE(OFFSET($BH$3,0,0,'Données projet'!$E$11+1,1))-AVERAGE(OFFSET($H$3,0,0,'Données projet'!$E$11+1,1))</f>
        <v>534.59150243554586</v>
      </c>
      <c r="BJ15" s="59">
        <f t="shared" si="38"/>
        <v>259.04458689606491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0.6</v>
      </c>
      <c r="BY15" s="12">
        <f>IF('Données projet'!$A$114&gt;35,BY14+BX15-CG14,IF(A15&lt;'Données projet'!$A$114,$BV$205^A15,IF(A15='Données projet'!$A$114,'Données projet'!$B$114,BY14+BX15-CG14)))</f>
        <v>5.799546134795289</v>
      </c>
      <c r="BZ15" s="13">
        <f>BY15*VLOOKUP('Données projet'!$B$12,Paramètres!$A$1:$I$89,3,0)*VLOOKUP('Données projet'!$B$12,Paramètres!$A$1:$I$89,5,0)</f>
        <v>5.0664835033571656</v>
      </c>
      <c r="CA15" s="13">
        <f t="shared" si="39"/>
        <v>1.9329955120863267</v>
      </c>
      <c r="CB15" s="20">
        <f t="shared" si="10"/>
        <v>12.190759285230749</v>
      </c>
      <c r="CC15" s="59">
        <f t="shared" si="11"/>
        <v>283.52409261856405</v>
      </c>
      <c r="CD15" s="59">
        <f ca="1">AVERAGE(OFFSET($CC$3,0,0,'Données projet'!$E$12+1,1))-AVERAGE(OFFSET($H$3,0,0,'Données projet'!$E$12+1,1))</f>
        <v>211.91720528436969</v>
      </c>
      <c r="CE15" s="59">
        <f t="shared" si="40"/>
        <v>218.88548486038957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3.887142857142857</v>
      </c>
      <c r="CT15" s="12">
        <f>IF('Données projet'!$A$140&gt;35,CT14+CS15-DB14,IF(A15&lt;'Données projet'!$A$140,$CQ$205^A15,IF(A15='Données projet'!$A$140,'Données projet'!$B$140,CT14+CS15-DB14)))</f>
        <v>46.64571428571427</v>
      </c>
      <c r="CU15" s="17">
        <f>CT15*VLOOKUP('Données projet'!$B$13,Paramètres!$A$1:$I$89,3,0)*VLOOKUP('Données projet'!$B$13,Paramètres!$A$1:$I$89,5,0)</f>
        <v>42.205042285714271</v>
      </c>
      <c r="CV15" s="13">
        <f t="shared" si="41"/>
        <v>12.581255887241159</v>
      </c>
      <c r="CW15" s="20">
        <f t="shared" si="13"/>
        <v>95.419469317897367</v>
      </c>
      <c r="CX15" s="59">
        <f t="shared" si="14"/>
        <v>366.7528026512307</v>
      </c>
      <c r="CY15" s="59">
        <f ca="1">AVERAGE(OFFSET($CX$3,0,0,'Données projet'!$E$13+1,1))-AVERAGE(OFFSET($H$3,0,0,'Données projet'!$E$13+1,1))</f>
        <v>469.97161976912071</v>
      </c>
      <c r="CZ15" s="59">
        <f t="shared" si="42"/>
        <v>231.65013084759306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3.887142857142857</v>
      </c>
      <c r="DO15" s="12">
        <f>IF('Données projet'!$A$166&gt;35,DO14+DN15-DW14,IF(A15&lt;'Données projet'!$A$166,$DL$205^A15,IF(A15='Données projet'!$A$166,'Données projet'!$B$166,DO14+DN15-DW14)))</f>
        <v>46.64571428571427</v>
      </c>
      <c r="DP15" s="17">
        <f>DO15*VLOOKUP('Données projet'!$B$14,Paramètres!$A$1:$I$89,3,0)*VLOOKUP('Données projet'!$B$14,Paramètres!$A$1:$I$89,5,0)</f>
        <v>45.115734857142847</v>
      </c>
      <c r="DQ15" s="13">
        <f t="shared" si="43"/>
        <v>13.344930526032003</v>
      </c>
      <c r="DR15" s="20">
        <f t="shared" si="16"/>
        <v>101.81899220902953</v>
      </c>
      <c r="DS15" s="59">
        <f t="shared" si="17"/>
        <v>373.15232554236286</v>
      </c>
      <c r="DT15" s="59">
        <f ca="1">AVERAGE(OFFSET($DS$3,0,0,'Données projet'!$E$14+1,1))-AVERAGE(OFFSET($H$3,0,0,'Données projet'!$E$14+1,1))</f>
        <v>506.9153247310901</v>
      </c>
      <c r="DU15" s="59">
        <f t="shared" si="44"/>
        <v>247.31254626788319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4.5262222222222226</v>
      </c>
      <c r="N16" s="13">
        <f>IF('Données projet'!$A$36&gt;35,N15+M16-V15,IF(A16&lt;'Données projet'!$A$36,$K$205^A16,IF(A16='Données projet'!$A$36,'Données projet'!$B$36,N15+M16-V15)))</f>
        <v>58.840888888888898</v>
      </c>
      <c r="O16" s="13">
        <f>N16*VLOOKUP('Données projet'!$B$9,Paramètres!$A$1:$I$89,3,0)*VLOOKUP('Données projet'!$B$9,Paramètres!$A$1:$I$89,5,0)</f>
        <v>35.186851555555563</v>
      </c>
      <c r="P16" s="13">
        <f t="shared" si="33"/>
        <v>10.713559702567803</v>
      </c>
      <c r="Q16" s="20">
        <f t="shared" si="2"/>
        <v>79.943216274564875</v>
      </c>
      <c r="R16" s="59">
        <f t="shared" si="0"/>
        <v>352.4987718301204</v>
      </c>
      <c r="S16" s="59">
        <f ca="1">AVERAGE(OFFSET($R$3,0,0,'Données projet'!$E$9+1,1))-AVERAGE(OFFSET($H$3,0,0,'Données projet'!$E$9+1,1))</f>
        <v>193.8828274189392</v>
      </c>
      <c r="T16" s="59">
        <f t="shared" si="34"/>
        <v>179.13381331066427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4.7439999999999998</v>
      </c>
      <c r="AI16" s="13">
        <f>IF('Données projet'!$A$62&gt;35,AI15+AH16-AQ15,IF(A16&lt;'Données projet'!$A$62,$AF$205^A16,IF(A16='Données projet'!$A$62,'Données projet'!$B$62,AI15+AH16-AQ15)))</f>
        <v>11.981854411812401</v>
      </c>
      <c r="AJ16" s="13">
        <f>AI16*VLOOKUP('Données projet'!$B$10,Paramètres!$A$1:$I$89,3,0)*VLOOKUP('Données projet'!$B$10,Paramètres!$A$1:$I$89,5,0)</f>
        <v>7.1651489382638172</v>
      </c>
      <c r="AK16" s="13">
        <f t="shared" si="35"/>
        <v>2.6256030686004697</v>
      </c>
      <c r="AL16" s="20">
        <f t="shared" si="4"/>
        <v>17.052226411955296</v>
      </c>
      <c r="AM16" s="59">
        <f t="shared" si="5"/>
        <v>289.60778196751085</v>
      </c>
      <c r="AN16" s="59">
        <f ca="1">AVERAGE(OFFSET($AM$3,0,0,'Données projet'!$E$10+1,1))-AVERAGE(OFFSET($H$3,0,0,'Données projet'!$E$10+1,1))</f>
        <v>228.36873053496748</v>
      </c>
      <c r="AO16" s="59">
        <f t="shared" si="36"/>
        <v>177.73676400313303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51.240317142857123</v>
      </c>
      <c r="BF16" s="13">
        <f t="shared" si="37"/>
        <v>14.933618736730883</v>
      </c>
      <c r="BG16" s="20">
        <f t="shared" si="7"/>
        <v>115.25293832361577</v>
      </c>
      <c r="BH16" s="59">
        <f t="shared" si="8"/>
        <v>387.80849387917129</v>
      </c>
      <c r="BI16" s="59">
        <f ca="1">AVERAGE(OFFSET($BH$3,0,0,'Données projet'!$E$11+1,1))-AVERAGE(OFFSET($H$3,0,0,'Données projet'!$E$11+1,1))</f>
        <v>534.59150243554586</v>
      </c>
      <c r="BJ16" s="59">
        <f t="shared" si="38"/>
        <v>259.04458689606491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0.6</v>
      </c>
      <c r="BY16" s="12">
        <f>IF('Données projet'!$A$114&gt;35,BY15+BX16-CG15,IF(A16&lt;'Données projet'!$A$114,$BV$205^A16,IF(A16='Données projet'!$A$114,'Données projet'!$B$114,BY15+BX16-CG15)))</f>
        <v>6.7144458364886441</v>
      </c>
      <c r="BZ16" s="13">
        <f>BY16*VLOOKUP('Données projet'!$B$12,Paramètres!$A$1:$I$89,3,0)*VLOOKUP('Données projet'!$B$12,Paramètres!$A$1:$I$89,5,0)</f>
        <v>5.86573988275648</v>
      </c>
      <c r="CA16" s="13">
        <f t="shared" si="39"/>
        <v>2.2000983287624218</v>
      </c>
      <c r="CB16" s="20">
        <f t="shared" si="10"/>
        <v>14.048001551728753</v>
      </c>
      <c r="CC16" s="59">
        <f t="shared" si="11"/>
        <v>286.6035571072843</v>
      </c>
      <c r="CD16" s="59">
        <f ca="1">AVERAGE(OFFSET($CC$3,0,0,'Données projet'!$E$12+1,1))-AVERAGE(OFFSET($H$3,0,0,'Données projet'!$E$12+1,1))</f>
        <v>211.91720528436969</v>
      </c>
      <c r="CE16" s="59">
        <f t="shared" si="40"/>
        <v>218.88548486038957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3.887142857142857</v>
      </c>
      <c r="CT16" s="12">
        <f>IF('Données projet'!$A$140&gt;35,CT15+CS16-DB15,IF(A16&lt;'Données projet'!$A$140,$CQ$205^A16,IF(A16='Données projet'!$A$140,'Données projet'!$B$140,CT15+CS16-DB15)))</f>
        <v>50.532857142857125</v>
      </c>
      <c r="CU16" s="17">
        <f>CT16*VLOOKUP('Données projet'!$B$13,Paramètres!$A$1:$I$89,3,0)*VLOOKUP('Données projet'!$B$13,Paramètres!$A$1:$I$89,5,0)</f>
        <v>45.722129142857128</v>
      </c>
      <c r="CV16" s="13">
        <f t="shared" si="41"/>
        <v>13.50329614922042</v>
      </c>
      <c r="CW16" s="20">
        <f t="shared" si="13"/>
        <v>103.1509490503684</v>
      </c>
      <c r="CX16" s="59">
        <f t="shared" si="14"/>
        <v>375.70650460592395</v>
      </c>
      <c r="CY16" s="59">
        <f ca="1">AVERAGE(OFFSET($CX$3,0,0,'Données projet'!$E$13+1,1))-AVERAGE(OFFSET($H$3,0,0,'Données projet'!$E$13+1,1))</f>
        <v>469.97161976912071</v>
      </c>
      <c r="CZ16" s="59">
        <f t="shared" si="42"/>
        <v>231.65013084759306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3.887142857142857</v>
      </c>
      <c r="DO16" s="12">
        <f>IF('Données projet'!$A$166&gt;35,DO15+DN16-DW15,IF(A16&lt;'Données projet'!$A$166,$DL$205^A16,IF(A16='Données projet'!$A$166,'Données projet'!$B$166,DO15+DN16-DW15)))</f>
        <v>50.532857142857125</v>
      </c>
      <c r="DP16" s="17">
        <f>DO16*VLOOKUP('Données projet'!$B$14,Paramètres!$A$1:$I$89,3,0)*VLOOKUP('Données projet'!$B$14,Paramètres!$A$1:$I$89,5,0)</f>
        <v>48.875379428571414</v>
      </c>
      <c r="DQ16" s="13">
        <f t="shared" si="43"/>
        <v>14.322938075405181</v>
      </c>
      <c r="DR16" s="20">
        <f t="shared" si="16"/>
        <v>110.07040298609256</v>
      </c>
      <c r="DS16" s="59">
        <f t="shared" si="17"/>
        <v>382.62595854164812</v>
      </c>
      <c r="DT16" s="59">
        <f ca="1">AVERAGE(OFFSET($DS$3,0,0,'Données projet'!$E$14+1,1))-AVERAGE(OFFSET($H$3,0,0,'Données projet'!$E$14+1,1))</f>
        <v>506.9153247310901</v>
      </c>
      <c r="DU16" s="59">
        <f t="shared" si="44"/>
        <v>247.31254626788319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4.5262222222222226</v>
      </c>
      <c r="N17" s="13">
        <f>IF('Données projet'!$A$36&gt;35,N16+M17-V16,IF(A17&lt;'Données projet'!$A$36,$K$205^A17,IF(A17='Données projet'!$A$36,'Données projet'!$B$36,N16+M17-V16)))</f>
        <v>63.367111111111122</v>
      </c>
      <c r="O17" s="13">
        <f>N17*VLOOKUP('Données projet'!$B$9,Paramètres!$A$1:$I$89,3,0)*VLOOKUP('Données projet'!$B$9,Paramètres!$A$1:$I$89,5,0)</f>
        <v>37.893532444444453</v>
      </c>
      <c r="P17" s="13">
        <f t="shared" si="33"/>
        <v>11.43858174910995</v>
      </c>
      <c r="Q17" s="20">
        <f t="shared" si="2"/>
        <v>85.920098887107244</v>
      </c>
      <c r="R17" s="59">
        <f t="shared" si="0"/>
        <v>359.69787666488503</v>
      </c>
      <c r="S17" s="59">
        <f ca="1">AVERAGE(OFFSET($R$3,0,0,'Données projet'!$E$9+1,1))-AVERAGE(OFFSET($H$3,0,0,'Données projet'!$E$9+1,1))</f>
        <v>193.8828274189392</v>
      </c>
      <c r="T17" s="59">
        <f t="shared" si="34"/>
        <v>179.13381331066427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4.7439999999999998</v>
      </c>
      <c r="AI17" s="13">
        <f>IF('Données projet'!$A$62&gt;35,AI16+AH17-AQ16,IF(A17&lt;'Données projet'!$A$62,$AF$205^A17,IF(A17='Données projet'!$A$62,'Données projet'!$B$62,AI16+AH17-AQ16)))</f>
        <v>14.503987802475892</v>
      </c>
      <c r="AJ17" s="13">
        <f>AI17*VLOOKUP('Données projet'!$B$10,Paramètres!$A$1:$I$89,3,0)*VLOOKUP('Données projet'!$B$10,Paramètres!$A$1:$I$89,5,0)</f>
        <v>8.6733847058805846</v>
      </c>
      <c r="AK17" s="13">
        <f t="shared" si="35"/>
        <v>3.1083901245812644</v>
      </c>
      <c r="AL17" s="20">
        <f t="shared" si="4"/>
        <v>20.51992449638772</v>
      </c>
      <c r="AM17" s="59">
        <f t="shared" si="5"/>
        <v>294.29770227416549</v>
      </c>
      <c r="AN17" s="59">
        <f ca="1">AVERAGE(OFFSET($AM$3,0,0,'Données projet'!$E$10+1,1))-AVERAGE(OFFSET($H$3,0,0,'Données projet'!$E$10+1,1))</f>
        <v>228.36873053496748</v>
      </c>
      <c r="AO17" s="59">
        <f t="shared" si="36"/>
        <v>177.73676400313303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55.181879999999985</v>
      </c>
      <c r="BF17" s="13">
        <f t="shared" si="37"/>
        <v>15.944226146347479</v>
      </c>
      <c r="BG17" s="20">
        <f t="shared" si="7"/>
        <v>123.87796820488852</v>
      </c>
      <c r="BH17" s="59">
        <f t="shared" si="8"/>
        <v>397.6557459826663</v>
      </c>
      <c r="BI17" s="59">
        <f ca="1">AVERAGE(OFFSET($BH$3,0,0,'Données projet'!$E$11+1,1))-AVERAGE(OFFSET($H$3,0,0,'Données projet'!$E$11+1,1))</f>
        <v>534.59150243554586</v>
      </c>
      <c r="BJ17" s="59">
        <f t="shared" si="38"/>
        <v>259.04458689606491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0.6</v>
      </c>
      <c r="BY17" s="12">
        <f>IF('Données projet'!$A$114&gt;35,BY16+BX17-CG16,IF(A17&lt;'Données projet'!$A$114,$BV$205^A17,IF(A17='Données projet'!$A$114,'Données projet'!$B$114,BY16+BX17-CG16)))</f>
        <v>7.7736743261084582</v>
      </c>
      <c r="BZ17" s="13">
        <f>BY17*VLOOKUP('Données projet'!$B$12,Paramètres!$A$1:$I$89,3,0)*VLOOKUP('Données projet'!$B$12,Paramètres!$A$1:$I$89,5,0)</f>
        <v>6.7910818912883508</v>
      </c>
      <c r="CA17" s="13">
        <f t="shared" si="39"/>
        <v>2.5041096194780144</v>
      </c>
      <c r="CB17" s="20">
        <f t="shared" si="10"/>
        <v>16.189125214584752</v>
      </c>
      <c r="CC17" s="59">
        <f t="shared" si="11"/>
        <v>289.96690299236252</v>
      </c>
      <c r="CD17" s="59">
        <f ca="1">AVERAGE(OFFSET($CC$3,0,0,'Données projet'!$E$12+1,1))-AVERAGE(OFFSET($H$3,0,0,'Données projet'!$E$12+1,1))</f>
        <v>211.91720528436969</v>
      </c>
      <c r="CE17" s="59">
        <f t="shared" si="40"/>
        <v>218.88548486038957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3.887142857142857</v>
      </c>
      <c r="CT17" s="12">
        <f>IF('Données projet'!$A$140&gt;35,CT16+CS17-DB16,IF(A17&lt;'Données projet'!$A$140,$CQ$205^A17,IF(A17='Données projet'!$A$140,'Données projet'!$B$140,CT16+CS17-DB16)))</f>
        <v>54.41999999999998</v>
      </c>
      <c r="CU17" s="17">
        <f>CT17*VLOOKUP('Données projet'!$B$13,Paramètres!$A$1:$I$89,3,0)*VLOOKUP('Données projet'!$B$13,Paramètres!$A$1:$I$89,5,0)</f>
        <v>49.239215999999978</v>
      </c>
      <c r="CV17" s="13">
        <f t="shared" si="41"/>
        <v>14.417108895027585</v>
      </c>
      <c r="CW17" s="20">
        <f t="shared" si="13"/>
        <v>110.86809919217301</v>
      </c>
      <c r="CX17" s="59">
        <f t="shared" si="14"/>
        <v>384.64587696995079</v>
      </c>
      <c r="CY17" s="59">
        <f ca="1">AVERAGE(OFFSET($CX$3,0,0,'Données projet'!$E$13+1,1))-AVERAGE(OFFSET($H$3,0,0,'Données projet'!$E$13+1,1))</f>
        <v>469.97161976912071</v>
      </c>
      <c r="CZ17" s="59">
        <f t="shared" si="42"/>
        <v>231.65013084759306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3.887142857142857</v>
      </c>
      <c r="DO17" s="12">
        <f>IF('Données projet'!$A$166&gt;35,DO16+DN17-DW16,IF(A17&lt;'Données projet'!$A$166,$DL$205^A17,IF(A17='Données projet'!$A$166,'Données projet'!$B$166,DO16+DN17-DW16)))</f>
        <v>54.41999999999998</v>
      </c>
      <c r="DP17" s="17">
        <f>DO17*VLOOKUP('Données projet'!$B$14,Paramètres!$A$1:$I$89,3,0)*VLOOKUP('Données projet'!$B$14,Paramètres!$A$1:$I$89,5,0)</f>
        <v>52.63502399999998</v>
      </c>
      <c r="DQ17" s="13">
        <f t="shared" si="43"/>
        <v>15.292218703340431</v>
      </c>
      <c r="DR17" s="20">
        <f t="shared" si="16"/>
        <v>118.30661437498453</v>
      </c>
      <c r="DS17" s="59">
        <f t="shared" si="17"/>
        <v>392.08439215276229</v>
      </c>
      <c r="DT17" s="59">
        <f ca="1">AVERAGE(OFFSET($DS$3,0,0,'Données projet'!$E$14+1,1))-AVERAGE(OFFSET($H$3,0,0,'Données projet'!$E$14+1,1))</f>
        <v>506.9153247310901</v>
      </c>
      <c r="DU17" s="59">
        <f t="shared" si="44"/>
        <v>247.31254626788319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4.5262222222222226</v>
      </c>
      <c r="N18" s="13">
        <f>IF('Données projet'!$A$36&gt;35,N17+M18-V17,IF(A18&lt;'Données projet'!$A$36,$K$205^A18,IF(A18='Données projet'!$A$36,'Données projet'!$B$36,N17+M18-V17)))</f>
        <v>67.893333333333345</v>
      </c>
      <c r="O18" s="13">
        <f>N18*VLOOKUP('Données projet'!$B$9,Paramètres!$A$1:$I$89,3,0)*VLOOKUP('Données projet'!$B$9,Paramètres!$A$1:$I$89,5,0)</f>
        <v>40.600213333333343</v>
      </c>
      <c r="P18" s="13">
        <f t="shared" si="33"/>
        <v>12.157595354522108</v>
      </c>
      <c r="Q18" s="20">
        <f t="shared" si="2"/>
        <v>91.88651679801491</v>
      </c>
      <c r="R18" s="59">
        <f t="shared" si="0"/>
        <v>366.8865167980149</v>
      </c>
      <c r="S18" s="59">
        <f ca="1">AVERAGE(OFFSET($R$3,0,0,'Données projet'!$E$9+1,1))-AVERAGE(OFFSET($H$3,0,0,'Données projet'!$E$9+1,1))</f>
        <v>193.8828274189392</v>
      </c>
      <c r="T18" s="59">
        <f t="shared" si="34"/>
        <v>179.13381331066427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4.7439999999999998</v>
      </c>
      <c r="AI18" s="13">
        <f>IF('Données projet'!$A$62&gt;35,AI17+AH18-AQ17,IF(A18&lt;'Données projet'!$A$62,$AF$205^A18,IF(A18='Données projet'!$A$62,'Données projet'!$B$62,AI17+AH18-AQ17)))</f>
        <v>17.557020386341769</v>
      </c>
      <c r="AJ18" s="13">
        <f>AI18*VLOOKUP('Données projet'!$B$10,Paramètres!$A$1:$I$89,3,0)*VLOOKUP('Données projet'!$B$10,Paramètres!$A$1:$I$89,5,0)</f>
        <v>10.499098191032378</v>
      </c>
      <c r="AK18" s="13">
        <f t="shared" si="35"/>
        <v>3.6799504396315821</v>
      </c>
      <c r="AL18" s="20">
        <f t="shared" si="4"/>
        <v>24.695176365073063</v>
      </c>
      <c r="AM18" s="59">
        <f t="shared" si="5"/>
        <v>299.69517636507305</v>
      </c>
      <c r="AN18" s="59">
        <f ca="1">AVERAGE(OFFSET($AM$3,0,0,'Données projet'!$E$10+1,1))-AVERAGE(OFFSET($H$3,0,0,'Données projet'!$E$10+1,1))</f>
        <v>228.36873053496748</v>
      </c>
      <c r="AO18" s="59">
        <f t="shared" si="36"/>
        <v>177.73676400313303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59.123442857142841</v>
      </c>
      <c r="BF18" s="13">
        <f t="shared" si="37"/>
        <v>16.946458396677293</v>
      </c>
      <c r="BG18" s="20">
        <f t="shared" si="7"/>
        <v>132.4884113504034</v>
      </c>
      <c r="BH18" s="59">
        <f t="shared" si="8"/>
        <v>407.4884113504034</v>
      </c>
      <c r="BI18" s="59">
        <f ca="1">AVERAGE(OFFSET($BH$3,0,0,'Données projet'!$E$11+1,1))-AVERAGE(OFFSET($H$3,0,0,'Données projet'!$E$11+1,1))</f>
        <v>534.59150243554586</v>
      </c>
      <c r="BJ18" s="59">
        <f t="shared" si="38"/>
        <v>259.04458689606491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9</v>
      </c>
      <c r="BW18" s="12">
        <f>VLOOKUP(A18,'Données projet'!$A$113:$I$133,9,0)</f>
        <v>0.6</v>
      </c>
      <c r="BX18" s="12">
        <f t="array" ref="BX18">INDEX(BW:BW,MIN(IF(ISNUMBER(BW18:BW214),ROW(BW18:BW214),"")))</f>
        <v>0.6</v>
      </c>
      <c r="BY18" s="12">
        <f>IF('Données projet'!$A$114&gt;35,BY17+BX18-CG17,IF(A18&lt;'Données projet'!$A$114,$BV$205^A18,IF(A18='Données projet'!$A$114,'Données projet'!$B$114,BY17+BX18-CG17)))</f>
        <v>9</v>
      </c>
      <c r="BZ18" s="13">
        <f>BY18*VLOOKUP('Données projet'!$B$12,Paramètres!$A$1:$I$89,3,0)*VLOOKUP('Données projet'!$B$12,Paramètres!$A$1:$I$89,5,0)</f>
        <v>7.8624000000000018</v>
      </c>
      <c r="CA18" s="13">
        <f t="shared" si="39"/>
        <v>2.8501294257559766</v>
      </c>
      <c r="CB18" s="20">
        <f t="shared" si="10"/>
        <v>18.657655416524996</v>
      </c>
      <c r="CC18" s="59">
        <f t="shared" si="11"/>
        <v>293.65765541652502</v>
      </c>
      <c r="CD18" s="59">
        <f ca="1">AVERAGE(OFFSET($CC$3,0,0,'Données projet'!$E$12+1,1))-AVERAGE(OFFSET($H$3,0,0,'Données projet'!$E$12+1,1))</f>
        <v>211.91720528436969</v>
      </c>
      <c r="CE18" s="59">
        <f t="shared" si="40"/>
        <v>218.88548486038957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3.887142857142857</v>
      </c>
      <c r="CT18" s="12">
        <f>IF('Données projet'!$A$140&gt;35,CT17+CS18-DB17,IF(A18&lt;'Données projet'!$A$140,$CQ$205^A18,IF(A18='Données projet'!$A$140,'Données projet'!$B$140,CT17+CS18-DB17)))</f>
        <v>58.307142857142836</v>
      </c>
      <c r="CU18" s="17">
        <f>CT18*VLOOKUP('Données projet'!$B$13,Paramètres!$A$1:$I$89,3,0)*VLOOKUP('Données projet'!$B$13,Paramètres!$A$1:$I$89,5,0)</f>
        <v>52.756302857142842</v>
      </c>
      <c r="CV18" s="13">
        <f t="shared" si="41"/>
        <v>15.323348643415981</v>
      </c>
      <c r="CW18" s="20">
        <f t="shared" si="13"/>
        <v>118.57205969680662</v>
      </c>
      <c r="CX18" s="59">
        <f t="shared" si="14"/>
        <v>393.5720596968066</v>
      </c>
      <c r="CY18" s="59">
        <f ca="1">AVERAGE(OFFSET($CX$3,0,0,'Données projet'!$E$13+1,1))-AVERAGE(OFFSET($H$3,0,0,'Données projet'!$E$13+1,1))</f>
        <v>469.97161976912071</v>
      </c>
      <c r="CZ18" s="59">
        <f t="shared" si="42"/>
        <v>231.65013084759306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3.887142857142857</v>
      </c>
      <c r="DO18" s="12">
        <f>IF('Données projet'!$A$166&gt;35,DO17+DN18-DW17,IF(A18&lt;'Données projet'!$A$166,$DL$205^A18,IF(A18='Données projet'!$A$166,'Données projet'!$B$166,DO17+DN18-DW17)))</f>
        <v>58.307142857142836</v>
      </c>
      <c r="DP18" s="17">
        <f>DO18*VLOOKUP('Données projet'!$B$14,Paramètres!$A$1:$I$89,3,0)*VLOOKUP('Données projet'!$B$14,Paramètres!$A$1:$I$89,5,0)</f>
        <v>56.394668571428546</v>
      </c>
      <c r="DQ18" s="13">
        <f t="shared" si="43"/>
        <v>16.253466657484363</v>
      </c>
      <c r="DR18" s="20">
        <f t="shared" si="16"/>
        <v>126.52883552368996</v>
      </c>
      <c r="DS18" s="59">
        <f t="shared" si="17"/>
        <v>401.52883552368996</v>
      </c>
      <c r="DT18" s="59">
        <f ca="1">AVERAGE(OFFSET($DS$3,0,0,'Données projet'!$E$14+1,1))-AVERAGE(OFFSET($H$3,0,0,'Données projet'!$E$14+1,1))</f>
        <v>506.9153247310901</v>
      </c>
      <c r="DU18" s="59">
        <f t="shared" si="44"/>
        <v>247.31254626788319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4.5262222222222226</v>
      </c>
      <c r="N19" s="13">
        <f>IF('Données projet'!$A$36&gt;35,N18+M19-V18,IF(A19&lt;'Données projet'!$A$36,$K$205^A19,IF(A19='Données projet'!$A$36,'Données projet'!$B$36,N18+M19-V18)))</f>
        <v>72.419555555555561</v>
      </c>
      <c r="O19" s="13">
        <f>N19*VLOOKUP('Données projet'!$B$9,Paramètres!$A$1:$I$89,3,0)*VLOOKUP('Données projet'!$B$9,Paramètres!$A$1:$I$89,5,0)</f>
        <v>43.306894222222226</v>
      </c>
      <c r="P19" s="13">
        <f t="shared" si="33"/>
        <v>12.871046659290542</v>
      </c>
      <c r="Q19" s="20">
        <f t="shared" si="2"/>
        <v>97.843247035301388</v>
      </c>
      <c r="R19" s="59">
        <f t="shared" si="0"/>
        <v>374.0654692575236</v>
      </c>
      <c r="S19" s="59">
        <f ca="1">AVERAGE(OFFSET($R$3,0,0,'Données projet'!$E$9+1,1))-AVERAGE(OFFSET($H$3,0,0,'Données projet'!$E$9+1,1))</f>
        <v>193.8828274189392</v>
      </c>
      <c r="T19" s="59">
        <f t="shared" si="34"/>
        <v>179.13381331066427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4.7439999999999998</v>
      </c>
      <c r="AI19" s="13">
        <f>IF('Données projet'!$A$62&gt;35,AI18+AH19-AQ18,IF(A19&lt;'Données projet'!$A$62,$AF$205^A19,IF(A19='Données projet'!$A$62,'Données projet'!$B$62,AI18+AH19-AQ18)))</f>
        <v>21.252704362713349</v>
      </c>
      <c r="AJ19" s="13">
        <f>AI19*VLOOKUP('Données projet'!$B$10,Paramètres!$A$1:$I$89,3,0)*VLOOKUP('Données projet'!$B$10,Paramètres!$A$1:$I$89,5,0)</f>
        <v>12.709117208902583</v>
      </c>
      <c r="AK19" s="13">
        <f t="shared" si="35"/>
        <v>4.3566073418692719</v>
      </c>
      <c r="AL19" s="20">
        <f t="shared" si="4"/>
        <v>29.722803592594314</v>
      </c>
      <c r="AM19" s="59">
        <f t="shared" si="5"/>
        <v>305.94502581481652</v>
      </c>
      <c r="AN19" s="59">
        <f ca="1">AVERAGE(OFFSET($AM$3,0,0,'Données projet'!$E$10+1,1))-AVERAGE(OFFSET($H$3,0,0,'Données projet'!$E$10+1,1))</f>
        <v>228.36873053496748</v>
      </c>
      <c r="AO19" s="59">
        <f t="shared" si="36"/>
        <v>177.73676400313303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63.065005714285689</v>
      </c>
      <c r="BF19" s="13">
        <f t="shared" si="37"/>
        <v>17.940937362438909</v>
      </c>
      <c r="BG19" s="20">
        <f t="shared" si="7"/>
        <v>141.08535085862869</v>
      </c>
      <c r="BH19" s="59">
        <f t="shared" si="8"/>
        <v>417.30757308085094</v>
      </c>
      <c r="BI19" s="59">
        <f ca="1">AVERAGE(OFFSET($BH$3,0,0,'Données projet'!$E$11+1,1))-AVERAGE(OFFSET($H$3,0,0,'Données projet'!$E$11+1,1))</f>
        <v>534.59150243554586</v>
      </c>
      <c r="BJ19" s="59">
        <f t="shared" si="38"/>
        <v>259.04458689606491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18.600000000000001</v>
      </c>
      <c r="BZ19" s="13">
        <f>BY19*VLOOKUP('Données projet'!$B$12,Paramètres!$A$1:$I$89,3,0)*VLOOKUP('Données projet'!$B$12,Paramètres!$A$1:$I$89,5,0)</f>
        <v>16.248960000000004</v>
      </c>
      <c r="CA19" s="13">
        <f t="shared" si="39"/>
        <v>5.4129939058841199</v>
      </c>
      <c r="CB19" s="20">
        <f t="shared" si="10"/>
        <v>37.727903052748182</v>
      </c>
      <c r="CC19" s="59">
        <f t="shared" si="11"/>
        <v>313.95012527497039</v>
      </c>
      <c r="CD19" s="59">
        <f ca="1">AVERAGE(OFFSET($CC$3,0,0,'Données projet'!$E$12+1,1))-AVERAGE(OFFSET($H$3,0,0,'Données projet'!$E$12+1,1))</f>
        <v>211.91720528436969</v>
      </c>
      <c r="CE19" s="59">
        <f t="shared" si="40"/>
        <v>218.88548486038957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3.887142857142857</v>
      </c>
      <c r="CT19" s="12">
        <f>IF('Données projet'!$A$140&gt;35,CT18+CS19-DB18,IF(A19&lt;'Données projet'!$A$140,$CQ$205^A19,IF(A19='Données projet'!$A$140,'Données projet'!$B$140,CT18+CS19-DB18)))</f>
        <v>62.194285714285691</v>
      </c>
      <c r="CU19" s="17">
        <f>CT19*VLOOKUP('Données projet'!$B$13,Paramètres!$A$1:$I$89,3,0)*VLOOKUP('Données projet'!$B$13,Paramètres!$A$1:$I$89,5,0)</f>
        <v>56.273389714285692</v>
      </c>
      <c r="CV19" s="13">
        <f t="shared" si="41"/>
        <v>16.222577706752112</v>
      </c>
      <c r="CW19" s="20">
        <f t="shared" si="13"/>
        <v>126.26380992497417</v>
      </c>
      <c r="CX19" s="59">
        <f t="shared" si="14"/>
        <v>402.4860321471964</v>
      </c>
      <c r="CY19" s="59">
        <f ca="1">AVERAGE(OFFSET($CX$3,0,0,'Données projet'!$E$13+1,1))-AVERAGE(OFFSET($H$3,0,0,'Données projet'!$E$13+1,1))</f>
        <v>469.97161976912071</v>
      </c>
      <c r="CZ19" s="59">
        <f t="shared" si="42"/>
        <v>231.65013084759306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3.887142857142857</v>
      </c>
      <c r="DO19" s="12">
        <f>IF('Données projet'!$A$166&gt;35,DO18+DN19-DW18,IF(A19&lt;'Données projet'!$A$166,$DL$205^A19,IF(A19='Données projet'!$A$166,'Données projet'!$B$166,DO18+DN19-DW18)))</f>
        <v>62.194285714285691</v>
      </c>
      <c r="DP19" s="17">
        <f>DO19*VLOOKUP('Données projet'!$B$14,Paramètres!$A$1:$I$89,3,0)*VLOOKUP('Données projet'!$B$14,Paramètres!$A$1:$I$89,5,0)</f>
        <v>60.15431314285712</v>
      </c>
      <c r="DQ19" s="13">
        <f t="shared" si="43"/>
        <v>17.207278382224739</v>
      </c>
      <c r="DR19" s="20">
        <f t="shared" si="16"/>
        <v>134.73810523951758</v>
      </c>
      <c r="DS19" s="59">
        <f t="shared" si="17"/>
        <v>410.96032746173978</v>
      </c>
      <c r="DT19" s="59">
        <f ca="1">AVERAGE(OFFSET($DS$3,0,0,'Données projet'!$E$14+1,1))-AVERAGE(OFFSET($H$3,0,0,'Données projet'!$E$14+1,1))</f>
        <v>506.9153247310901</v>
      </c>
      <c r="DU19" s="59">
        <f t="shared" si="44"/>
        <v>247.31254626788319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4.5262222222222226</v>
      </c>
      <c r="N20" s="13">
        <f>IF('Données projet'!$A$36&gt;35,N19+M20-V19,IF(A20&lt;'Données projet'!$A$36,$K$205^A20,IF(A20='Données projet'!$A$36,'Données projet'!$B$36,N19+M20-V19)))</f>
        <v>76.945777777777778</v>
      </c>
      <c r="O20" s="13">
        <f>N20*VLOOKUP('Données projet'!$B$9,Paramètres!$A$1:$I$89,3,0)*VLOOKUP('Données projet'!$B$9,Paramètres!$A$1:$I$89,5,0)</f>
        <v>46.013575111111116</v>
      </c>
      <c r="P20" s="13">
        <f t="shared" si="33"/>
        <v>13.579322884348041</v>
      </c>
      <c r="Q20" s="20">
        <f t="shared" si="2"/>
        <v>103.79096400875802</v>
      </c>
      <c r="R20" s="59">
        <f t="shared" si="0"/>
        <v>381.23540845320247</v>
      </c>
      <c r="S20" s="59">
        <f ca="1">AVERAGE(OFFSET($R$3,0,0,'Données projet'!$E$9+1,1))-AVERAGE(OFFSET($H$3,0,0,'Données projet'!$E$9+1,1))</f>
        <v>193.8828274189392</v>
      </c>
      <c r="T20" s="59">
        <f t="shared" si="34"/>
        <v>179.13381331066427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4.7439999999999998</v>
      </c>
      <c r="AI20" s="13">
        <f>IF('Données projet'!$A$62&gt;35,AI19+AH20-AQ19,IF(A20&lt;'Données projet'!$A$62,$AF$205^A20,IF(A20='Données projet'!$A$62,'Données projet'!$B$62,AI19+AH20-AQ19)))</f>
        <v>25.726315330833181</v>
      </c>
      <c r="AJ20" s="13">
        <f>AI20*VLOOKUP('Données projet'!$B$10,Paramètres!$A$1:$I$89,3,0)*VLOOKUP('Données projet'!$B$10,Paramètres!$A$1:$I$89,5,0)</f>
        <v>15.384336567838243</v>
      </c>
      <c r="AK20" s="13">
        <f t="shared" si="35"/>
        <v>5.1576856380515324</v>
      </c>
      <c r="AL20" s="20">
        <f t="shared" si="4"/>
        <v>35.777355341924697</v>
      </c>
      <c r="AM20" s="59">
        <f t="shared" si="5"/>
        <v>313.22179978636916</v>
      </c>
      <c r="AN20" s="59">
        <f ca="1">AVERAGE(OFFSET($AM$3,0,0,'Données projet'!$E$10+1,1))-AVERAGE(OFFSET($H$3,0,0,'Données projet'!$E$10+1,1))</f>
        <v>228.36873053496748</v>
      </c>
      <c r="AO20" s="59">
        <f t="shared" si="36"/>
        <v>177.73676400313303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67.006568571428559</v>
      </c>
      <c r="BF20" s="13">
        <f t="shared" si="37"/>
        <v>18.928202790452044</v>
      </c>
      <c r="BG20" s="20">
        <f t="shared" si="7"/>
        <v>149.66972678860873</v>
      </c>
      <c r="BH20" s="59">
        <f t="shared" si="8"/>
        <v>427.11417123305318</v>
      </c>
      <c r="BI20" s="59">
        <f ca="1">AVERAGE(OFFSET($BH$3,0,0,'Données projet'!$E$11+1,1))-AVERAGE(OFFSET($H$3,0,0,'Données projet'!$E$11+1,1))</f>
        <v>534.59150243554586</v>
      </c>
      <c r="BJ20" s="59">
        <f t="shared" si="38"/>
        <v>259.04458689606491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28.200000000000003</v>
      </c>
      <c r="BZ20" s="13">
        <f>BY20*VLOOKUP('Données projet'!$B$12,Paramètres!$A$1:$I$89,3,0)*VLOOKUP('Données projet'!$B$12,Paramètres!$A$1:$I$89,5,0)</f>
        <v>24.635520000000007</v>
      </c>
      <c r="CA20" s="13">
        <f t="shared" si="39"/>
        <v>7.8187263384607988</v>
      </c>
      <c r="CB20" s="20">
        <f t="shared" si="10"/>
        <v>56.524479039485897</v>
      </c>
      <c r="CC20" s="59">
        <f t="shared" si="11"/>
        <v>333.96892348393033</v>
      </c>
      <c r="CD20" s="59">
        <f ca="1">AVERAGE(OFFSET($CC$3,0,0,'Données projet'!$E$12+1,1))-AVERAGE(OFFSET($H$3,0,0,'Données projet'!$E$12+1,1))</f>
        <v>211.91720528436969</v>
      </c>
      <c r="CE20" s="59">
        <f t="shared" si="40"/>
        <v>218.88548486038957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3.887142857142857</v>
      </c>
      <c r="CT20" s="12">
        <f>IF('Données projet'!$A$140&gt;35,CT19+CS20-DB19,IF(A20&lt;'Données projet'!$A$140,$CQ$205^A20,IF(A20='Données projet'!$A$140,'Données projet'!$B$140,CT19+CS20-DB19)))</f>
        <v>66.081428571428546</v>
      </c>
      <c r="CU20" s="17">
        <f>CT20*VLOOKUP('Données projet'!$B$13,Paramètres!$A$1:$I$89,3,0)*VLOOKUP('Données projet'!$B$13,Paramètres!$A$1:$I$89,5,0)</f>
        <v>59.790476571428549</v>
      </c>
      <c r="CV20" s="13">
        <f t="shared" si="41"/>
        <v>17.115284135607041</v>
      </c>
      <c r="CW20" s="20">
        <f t="shared" si="13"/>
        <v>133.94419989808699</v>
      </c>
      <c r="CX20" s="59">
        <f t="shared" si="14"/>
        <v>411.38864434253145</v>
      </c>
      <c r="CY20" s="59">
        <f ca="1">AVERAGE(OFFSET($CX$3,0,0,'Données projet'!$E$13+1,1))-AVERAGE(OFFSET($H$3,0,0,'Données projet'!$E$13+1,1))</f>
        <v>469.97161976912071</v>
      </c>
      <c r="CZ20" s="59">
        <f t="shared" si="42"/>
        <v>231.65013084759306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3.887142857142857</v>
      </c>
      <c r="DO20" s="12">
        <f>IF('Données projet'!$A$166&gt;35,DO19+DN20-DW19,IF(A20&lt;'Données projet'!$A$166,$DL$205^A20,IF(A20='Données projet'!$A$166,'Données projet'!$B$166,DO19+DN20-DW19)))</f>
        <v>66.081428571428546</v>
      </c>
      <c r="DP20" s="17">
        <f>DO20*VLOOKUP('Données projet'!$B$14,Paramètres!$A$1:$I$89,3,0)*VLOOKUP('Données projet'!$B$14,Paramètres!$A$1:$I$89,5,0)</f>
        <v>63.913957714285694</v>
      </c>
      <c r="DQ20" s="13">
        <f t="shared" si="43"/>
        <v>18.154171552507719</v>
      </c>
      <c r="DR20" s="20">
        <f t="shared" si="16"/>
        <v>142.9353251396652</v>
      </c>
      <c r="DS20" s="59">
        <f t="shared" si="17"/>
        <v>420.37976958410968</v>
      </c>
      <c r="DT20" s="59">
        <f ca="1">AVERAGE(OFFSET($DS$3,0,0,'Données projet'!$E$14+1,1))-AVERAGE(OFFSET($H$3,0,0,'Données projet'!$E$14+1,1))</f>
        <v>506.9153247310901</v>
      </c>
      <c r="DU20" s="59">
        <f t="shared" si="44"/>
        <v>247.31254626788319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4.5262222222222226</v>
      </c>
      <c r="N21" s="13">
        <f>IF('Données projet'!$A$36&gt;35,N20+M21-V20,IF(A21&lt;'Données projet'!$A$36,$K$205^A21,IF(A21='Données projet'!$A$36,'Données projet'!$B$36,N20+M21-V20)))</f>
        <v>81.471999999999994</v>
      </c>
      <c r="O21" s="13">
        <f>N21*VLOOKUP('Données projet'!$B$9,Paramètres!$A$1:$I$89,3,0)*VLOOKUP('Données projet'!$B$9,Paramètres!$A$1:$I$89,5,0)</f>
        <v>48.720255999999999</v>
      </c>
      <c r="P21" s="13">
        <f t="shared" si="33"/>
        <v>14.282763121765576</v>
      </c>
      <c r="Q21" s="20">
        <f t="shared" si="2"/>
        <v>109.73025830374171</v>
      </c>
      <c r="R21" s="59">
        <f t="shared" si="0"/>
        <v>388.39692497040841</v>
      </c>
      <c r="S21" s="59">
        <f ca="1">AVERAGE(OFFSET($R$3,0,0,'Données projet'!$E$9+1,1))-AVERAGE(OFFSET($H$3,0,0,'Données projet'!$E$9+1,1))</f>
        <v>193.8828274189392</v>
      </c>
      <c r="T21" s="59">
        <f t="shared" si="34"/>
        <v>179.13381331066427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4.7439999999999998</v>
      </c>
      <c r="AI21" s="13">
        <f>IF('Données projet'!$A$62&gt;35,AI20+AH21-AQ20,IF(A21&lt;'Données projet'!$A$62,$AF$205^A21,IF(A21='Données projet'!$A$62,'Données projet'!$B$62,AI20+AH21-AQ20)))</f>
        <v>31.141603873370038</v>
      </c>
      <c r="AJ21" s="13">
        <f>AI21*VLOOKUP('Données projet'!$B$10,Paramètres!$A$1:$I$89,3,0)*VLOOKUP('Données projet'!$B$10,Paramètres!$A$1:$I$89,5,0)</f>
        <v>18.622679116275282</v>
      </c>
      <c r="AK21" s="13">
        <f t="shared" si="35"/>
        <v>6.1060635153658716</v>
      </c>
      <c r="AL21" s="20">
        <f t="shared" si="4"/>
        <v>43.069226750108349</v>
      </c>
      <c r="AM21" s="59">
        <f t="shared" si="5"/>
        <v>321.73589341677501</v>
      </c>
      <c r="AN21" s="59">
        <f ca="1">AVERAGE(OFFSET($AM$3,0,0,'Données projet'!$E$10+1,1))-AVERAGE(OFFSET($H$3,0,0,'Données projet'!$E$10+1,1))</f>
        <v>228.36873053496748</v>
      </c>
      <c r="AO21" s="59">
        <f t="shared" si="36"/>
        <v>177.73676400313303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70.948131428571415</v>
      </c>
      <c r="BF21" s="13">
        <f t="shared" si="37"/>
        <v>19.908727340770373</v>
      </c>
      <c r="BG21" s="20">
        <f t="shared" si="7"/>
        <v>158.24236235660359</v>
      </c>
      <c r="BH21" s="59">
        <f t="shared" si="8"/>
        <v>436.90902902327025</v>
      </c>
      <c r="BI21" s="59">
        <f ca="1">AVERAGE(OFFSET($BH$3,0,0,'Données projet'!$E$11+1,1))-AVERAGE(OFFSET($H$3,0,0,'Données projet'!$E$11+1,1))</f>
        <v>534.59150243554586</v>
      </c>
      <c r="BJ21" s="59">
        <f t="shared" si="38"/>
        <v>259.04458689606491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37.800000000000004</v>
      </c>
      <c r="BZ21" s="13">
        <f>BY21*VLOOKUP('Données projet'!$B$12,Paramètres!$A$1:$I$89,3,0)*VLOOKUP('Données projet'!$B$12,Paramètres!$A$1:$I$89,5,0)</f>
        <v>33.022080000000003</v>
      </c>
      <c r="CA21" s="13">
        <f t="shared" si="39"/>
        <v>10.129025278332465</v>
      </c>
      <c r="CB21" s="20">
        <f t="shared" si="10"/>
        <v>75.154841693095705</v>
      </c>
      <c r="CC21" s="59">
        <f t="shared" si="11"/>
        <v>353.82150835976239</v>
      </c>
      <c r="CD21" s="59">
        <f ca="1">AVERAGE(OFFSET($CC$3,0,0,'Données projet'!$E$12+1,1))-AVERAGE(OFFSET($H$3,0,0,'Données projet'!$E$12+1,1))</f>
        <v>211.91720528436969</v>
      </c>
      <c r="CE21" s="59">
        <f t="shared" si="40"/>
        <v>218.88548486038957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3.887142857142857</v>
      </c>
      <c r="CT21" s="12">
        <f>IF('Données projet'!$A$140&gt;35,CT20+CS21-DB20,IF(A21&lt;'Données projet'!$A$140,$CQ$205^A21,IF(A21='Données projet'!$A$140,'Données projet'!$B$140,CT20+CS21-DB20)))</f>
        <v>69.968571428571408</v>
      </c>
      <c r="CU21" s="17">
        <f>CT21*VLOOKUP('Données projet'!$B$13,Paramètres!$A$1:$I$89,3,0)*VLOOKUP('Données projet'!$B$13,Paramètres!$A$1:$I$89,5,0)</f>
        <v>63.307563428571406</v>
      </c>
      <c r="CV21" s="13">
        <f t="shared" si="41"/>
        <v>18.001895319269028</v>
      </c>
      <c r="CW21" s="20">
        <f t="shared" si="13"/>
        <v>141.61397398582207</v>
      </c>
      <c r="CX21" s="59">
        <f t="shared" si="14"/>
        <v>420.28064065248873</v>
      </c>
      <c r="CY21" s="59">
        <f ca="1">AVERAGE(OFFSET($CX$3,0,0,'Données projet'!$E$13+1,1))-AVERAGE(OFFSET($H$3,0,0,'Données projet'!$E$13+1,1))</f>
        <v>469.97161976912071</v>
      </c>
      <c r="CZ21" s="59">
        <f t="shared" si="42"/>
        <v>231.65013084759306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3.887142857142857</v>
      </c>
      <c r="DO21" s="12">
        <f>IF('Données projet'!$A$166&gt;35,DO20+DN21-DW20,IF(A21&lt;'Données projet'!$A$166,$DL$205^A21,IF(A21='Données projet'!$A$166,'Données projet'!$B$166,DO20+DN21-DW20)))</f>
        <v>69.968571428571408</v>
      </c>
      <c r="DP21" s="17">
        <f>DO21*VLOOKUP('Données projet'!$B$14,Paramètres!$A$1:$I$89,3,0)*VLOOKUP('Données projet'!$B$14,Paramètres!$A$1:$I$89,5,0)</f>
        <v>67.673602285714267</v>
      </c>
      <c r="DQ21" s="13">
        <f t="shared" si="43"/>
        <v>19.094599499893381</v>
      </c>
      <c r="DR21" s="20">
        <f t="shared" si="16"/>
        <v>151.12128477659996</v>
      </c>
      <c r="DS21" s="59">
        <f t="shared" si="17"/>
        <v>429.78795144326665</v>
      </c>
      <c r="DT21" s="59">
        <f ca="1">AVERAGE(OFFSET($DS$3,0,0,'Données projet'!$E$14+1,1))-AVERAGE(OFFSET($H$3,0,0,'Données projet'!$E$14+1,1))</f>
        <v>506.9153247310901</v>
      </c>
      <c r="DU21" s="59">
        <f t="shared" si="44"/>
        <v>247.31254626788319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4.5262222222222226</v>
      </c>
      <c r="N22" s="13">
        <f>IF('Données projet'!$A$36&gt;35,N21+M22-V21,IF(A22&lt;'Données projet'!$A$36,$K$205^A22,IF(A22='Données projet'!$A$36,'Données projet'!$B$36,N21+M22-V21)))</f>
        <v>85.998222222222211</v>
      </c>
      <c r="O22" s="13">
        <f>N22*VLOOKUP('Données projet'!$B$9,Paramètres!$A$1:$I$89,3,0)*VLOOKUP('Données projet'!$B$9,Paramètres!$A$1:$I$89,5,0)</f>
        <v>51.426936888888889</v>
      </c>
      <c r="P22" s="13">
        <f t="shared" si="33"/>
        <v>14.981666658765917</v>
      </c>
      <c r="Q22" s="20">
        <f t="shared" si="2"/>
        <v>115.66165117883212</v>
      </c>
      <c r="R22" s="59">
        <f t="shared" si="0"/>
        <v>395.55054006772099</v>
      </c>
      <c r="S22" s="59">
        <f ca="1">AVERAGE(OFFSET($R$3,0,0,'Données projet'!$E$9+1,1))-AVERAGE(OFFSET($H$3,0,0,'Données projet'!$E$9+1,1))</f>
        <v>193.8828274189392</v>
      </c>
      <c r="T22" s="59">
        <f t="shared" si="34"/>
        <v>179.13381331066427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4.7439999999999998</v>
      </c>
      <c r="AI22" s="13">
        <f>IF('Données projet'!$A$62&gt;35,AI21+AH22-AQ21,IF(A22&lt;'Données projet'!$A$62,$AF$205^A22,IF(A22='Données projet'!$A$62,'Données projet'!$B$62,AI21+AH22-AQ21)))</f>
        <v>37.696789428822079</v>
      </c>
      <c r="AJ22" s="13">
        <f>AI22*VLOOKUP('Données projet'!$B$10,Paramètres!$A$1:$I$89,3,0)*VLOOKUP('Données projet'!$B$10,Paramètres!$A$1:$I$89,5,0)</f>
        <v>22.542680078435605</v>
      </c>
      <c r="AK22" s="13">
        <f t="shared" si="35"/>
        <v>7.2288259250649807</v>
      </c>
      <c r="AL22" s="20">
        <f t="shared" si="4"/>
        <v>51.85203962276352</v>
      </c>
      <c r="AM22" s="59">
        <f t="shared" si="5"/>
        <v>331.74092851165238</v>
      </c>
      <c r="AN22" s="59">
        <f ca="1">AVERAGE(OFFSET($AM$3,0,0,'Données projet'!$E$10+1,1))-AVERAGE(OFFSET($H$3,0,0,'Données projet'!$E$10+1,1))</f>
        <v>228.36873053496748</v>
      </c>
      <c r="AO22" s="59">
        <f t="shared" si="36"/>
        <v>177.73676400313303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74.889694285714285</v>
      </c>
      <c r="BF22" s="13">
        <f t="shared" si="37"/>
        <v>20.882928189514811</v>
      </c>
      <c r="BG22" s="20">
        <f t="shared" si="7"/>
        <v>166.80398414435732</v>
      </c>
      <c r="BH22" s="59">
        <f t="shared" si="8"/>
        <v>446.6928730332462</v>
      </c>
      <c r="BI22" s="59">
        <f ca="1">AVERAGE(OFFSET($BH$3,0,0,'Données projet'!$E$11+1,1))-AVERAGE(OFFSET($H$3,0,0,'Données projet'!$E$11+1,1))</f>
        <v>534.59150243554586</v>
      </c>
      <c r="BJ22" s="59">
        <f t="shared" si="38"/>
        <v>259.04458689606491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47.400000000000006</v>
      </c>
      <c r="BZ22" s="13">
        <f>BY22*VLOOKUP('Données projet'!$B$12,Paramètres!$A$1:$I$89,3,0)*VLOOKUP('Données projet'!$B$12,Paramètres!$A$1:$I$89,5,0)</f>
        <v>41.408640000000005</v>
      </c>
      <c r="CA22" s="13">
        <f t="shared" si="39"/>
        <v>12.371251711099637</v>
      </c>
      <c r="CB22" s="20">
        <f t="shared" si="10"/>
        <v>93.666644730165203</v>
      </c>
      <c r="CC22" s="59">
        <f t="shared" si="11"/>
        <v>373.55553361905407</v>
      </c>
      <c r="CD22" s="59">
        <f ca="1">AVERAGE(OFFSET($CC$3,0,0,'Données projet'!$E$12+1,1))-AVERAGE(OFFSET($H$3,0,0,'Données projet'!$E$12+1,1))</f>
        <v>211.91720528436969</v>
      </c>
      <c r="CE22" s="59">
        <f t="shared" si="40"/>
        <v>218.88548486038957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3.887142857142857</v>
      </c>
      <c r="CT22" s="12">
        <f>IF('Données projet'!$A$140&gt;35,CT21+CS22-DB21,IF(A22&lt;'Données projet'!$A$140,$CQ$205^A22,IF(A22='Données projet'!$A$140,'Données projet'!$B$140,CT21+CS22-DB21)))</f>
        <v>73.855714285714271</v>
      </c>
      <c r="CU22" s="17">
        <f>CT22*VLOOKUP('Données projet'!$B$13,Paramètres!$A$1:$I$89,3,0)*VLOOKUP('Données projet'!$B$13,Paramètres!$A$1:$I$89,5,0)</f>
        <v>66.82465028571427</v>
      </c>
      <c r="CV22" s="13">
        <f t="shared" si="41"/>
        <v>18.882788477272459</v>
      </c>
      <c r="CW22" s="20">
        <f t="shared" si="13"/>
        <v>149.27378917886855</v>
      </c>
      <c r="CX22" s="59">
        <f t="shared" si="14"/>
        <v>429.16267806775738</v>
      </c>
      <c r="CY22" s="59">
        <f ca="1">AVERAGE(OFFSET($CX$3,0,0,'Données projet'!$E$13+1,1))-AVERAGE(OFFSET($H$3,0,0,'Données projet'!$E$13+1,1))</f>
        <v>469.97161976912071</v>
      </c>
      <c r="CZ22" s="59">
        <f t="shared" si="42"/>
        <v>231.65013084759306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3.887142857142857</v>
      </c>
      <c r="DO22" s="12">
        <f>IF('Données projet'!$A$166&gt;35,DO21+DN22-DW21,IF(A22&lt;'Données projet'!$A$166,$DL$205^A22,IF(A22='Données projet'!$A$166,'Données projet'!$B$166,DO21+DN22-DW21)))</f>
        <v>73.855714285714271</v>
      </c>
      <c r="DP22" s="17">
        <f>DO22*VLOOKUP('Données projet'!$B$14,Paramètres!$A$1:$I$89,3,0)*VLOOKUP('Données projet'!$B$14,Paramètres!$A$1:$I$89,5,0)</f>
        <v>71.433246857142848</v>
      </c>
      <c r="DQ22" s="13">
        <f t="shared" si="43"/>
        <v>20.02896234091423</v>
      </c>
      <c r="DR22" s="20">
        <f t="shared" si="16"/>
        <v>159.2966810199494</v>
      </c>
      <c r="DS22" s="59">
        <f t="shared" si="17"/>
        <v>439.18556990883826</v>
      </c>
      <c r="DT22" s="59">
        <f ca="1">AVERAGE(OFFSET($DS$3,0,0,'Données projet'!$E$14+1,1))-AVERAGE(OFFSET($H$3,0,0,'Données projet'!$E$14+1,1))</f>
        <v>506.9153247310901</v>
      </c>
      <c r="DU22" s="59">
        <f t="shared" si="44"/>
        <v>247.31254626788319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4.5262222222222226</v>
      </c>
      <c r="N23" s="13">
        <f>IF('Données projet'!$A$36&gt;35,N22+M23-V22,IF(A23&lt;'Données projet'!$A$36,$K$205^A23,IF(A23='Données projet'!$A$36,'Données projet'!$B$36,N22+M23-V22)))</f>
        <v>90.524444444444427</v>
      </c>
      <c r="O23" s="13">
        <f>N23*VLOOKUP('Données projet'!$B$9,Paramètres!$A$1:$I$89,3,0)*VLOOKUP('Données projet'!$B$9,Paramètres!$A$1:$I$89,5,0)</f>
        <v>54.133617777777772</v>
      </c>
      <c r="P23" s="13">
        <f t="shared" si="33"/>
        <v>15.676299499320631</v>
      </c>
      <c r="Q23" s="20">
        <f t="shared" si="2"/>
        <v>121.58560592427973</v>
      </c>
      <c r="R23" s="59">
        <f t="shared" si="0"/>
        <v>402.69671703539086</v>
      </c>
      <c r="S23" s="59">
        <f ca="1">AVERAGE(OFFSET($R$3,0,0,'Données projet'!$E$9+1,1))-AVERAGE(OFFSET($H$3,0,0,'Données projet'!$E$9+1,1))</f>
        <v>193.8828274189392</v>
      </c>
      <c r="T23" s="59">
        <f t="shared" si="34"/>
        <v>179.13381331066427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4.7439999999999998</v>
      </c>
      <c r="AI23" s="13">
        <f>IF('Données projet'!$A$62&gt;35,AI22+AH23-AQ22,IF(A23&lt;'Données projet'!$A$62,$AF$205^A23,IF(A23='Données projet'!$A$62,'Données projet'!$B$62,AI22+AH23-AQ22)))</f>
        <v>45.631815850567861</v>
      </c>
      <c r="AJ23" s="13">
        <f>AI23*VLOOKUP('Données projet'!$B$10,Paramètres!$A$1:$I$89,3,0)*VLOOKUP('Données projet'!$B$10,Paramètres!$A$1:$I$89,5,0)</f>
        <v>27.287825878639584</v>
      </c>
      <c r="AK23" s="13">
        <f t="shared" si="35"/>
        <v>8.5580381080854853</v>
      </c>
      <c r="AL23" s="20">
        <f t="shared" si="4"/>
        <v>62.431546443546161</v>
      </c>
      <c r="AM23" s="59">
        <f t="shared" si="5"/>
        <v>343.5426575546573</v>
      </c>
      <c r="AN23" s="59">
        <f ca="1">AVERAGE(OFFSET($AM$3,0,0,'Données projet'!$E$10+1,1))-AVERAGE(OFFSET($H$3,0,0,'Données projet'!$E$10+1,1))</f>
        <v>228.36873053496748</v>
      </c>
      <c r="AO23" s="59">
        <f t="shared" si="36"/>
        <v>177.73676400313303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78.83125714285714</v>
      </c>
      <c r="BF23" s="13">
        <f t="shared" si="37"/>
        <v>21.851176119320101</v>
      </c>
      <c r="BG23" s="20">
        <f t="shared" si="7"/>
        <v>175.35523793162534</v>
      </c>
      <c r="BH23" s="59">
        <f t="shared" si="8"/>
        <v>456.46634904273651</v>
      </c>
      <c r="BI23" s="59">
        <f ca="1">AVERAGE(OFFSET($BH$3,0,0,'Données projet'!$E$11+1,1))-AVERAGE(OFFSET($H$3,0,0,'Données projet'!$E$11+1,1))</f>
        <v>534.59150243554586</v>
      </c>
      <c r="BJ23" s="59">
        <f t="shared" si="38"/>
        <v>259.04458689606491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57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57.000000000000007</v>
      </c>
      <c r="BZ23" s="13">
        <f>BY23*VLOOKUP('Données projet'!$B$12,Paramètres!$A$1:$I$89,3,0)*VLOOKUP('Données projet'!$B$12,Paramètres!$A$1:$I$89,5,0)</f>
        <v>49.795200000000008</v>
      </c>
      <c r="CA23" s="13">
        <f t="shared" si="39"/>
        <v>14.560856542690781</v>
      </c>
      <c r="CB23" s="20">
        <f t="shared" si="10"/>
        <v>112.08679847851981</v>
      </c>
      <c r="CC23" s="59">
        <f t="shared" si="11"/>
        <v>393.19790958963097</v>
      </c>
      <c r="CD23" s="59">
        <f ca="1">AVERAGE(OFFSET($CC$3,0,0,'Données projet'!$E$12+1,1))-AVERAGE(OFFSET($H$3,0,0,'Données projet'!$E$12+1,1))</f>
        <v>211.91720528436969</v>
      </c>
      <c r="CE23" s="59">
        <f t="shared" si="40"/>
        <v>218.88548486038957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21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3.887142857142857</v>
      </c>
      <c r="CT23" s="12">
        <f>IF('Données projet'!$A$140&gt;35,CT22+CS23-DB22,IF(A23&lt;'Données projet'!$A$140,$CQ$205^A23,IF(A23='Données projet'!$A$140,'Données projet'!$B$140,CT22+CS23-DB22)))</f>
        <v>77.742857142857133</v>
      </c>
      <c r="CU23" s="17">
        <f>CT23*VLOOKUP('Données projet'!$B$13,Paramètres!$A$1:$I$89,3,0)*VLOOKUP('Données projet'!$B$13,Paramètres!$A$1:$I$89,5,0)</f>
        <v>70.341737142857127</v>
      </c>
      <c r="CV23" s="13">
        <f t="shared" si="41"/>
        <v>19.758298879173367</v>
      </c>
      <c r="CW23" s="20">
        <f t="shared" si="13"/>
        <v>156.92422940503644</v>
      </c>
      <c r="CX23" s="59">
        <f t="shared" si="14"/>
        <v>438.03534051614758</v>
      </c>
      <c r="CY23" s="59">
        <f ca="1">AVERAGE(OFFSET($CX$3,0,0,'Données projet'!$E$13+1,1))-AVERAGE(OFFSET($H$3,0,0,'Données projet'!$E$13+1,1))</f>
        <v>469.97161976912071</v>
      </c>
      <c r="CZ23" s="59">
        <f t="shared" si="42"/>
        <v>231.65013084759306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3.887142857142857</v>
      </c>
      <c r="DO23" s="12">
        <f>IF('Données projet'!$A$166&gt;35,DO22+DN23-DW22,IF(A23&lt;'Données projet'!$A$166,$DL$205^A23,IF(A23='Données projet'!$A$166,'Données projet'!$B$166,DO22+DN23-DW22)))</f>
        <v>77.742857142857133</v>
      </c>
      <c r="DP23" s="17">
        <f>DO23*VLOOKUP('Données projet'!$B$14,Paramètres!$A$1:$I$89,3,0)*VLOOKUP('Données projet'!$B$14,Paramètres!$A$1:$I$89,5,0)</f>
        <v>75.192891428571414</v>
      </c>
      <c r="DQ23" s="13">
        <f t="shared" si="43"/>
        <v>20.957615695785943</v>
      </c>
      <c r="DR23" s="20">
        <f t="shared" si="16"/>
        <v>167.46213324158907</v>
      </c>
      <c r="DS23" s="59">
        <f t="shared" si="17"/>
        <v>448.57324435270021</v>
      </c>
      <c r="DT23" s="59">
        <f ca="1">AVERAGE(OFFSET($DS$3,0,0,'Données projet'!$E$14+1,1))-AVERAGE(OFFSET($H$3,0,0,'Données projet'!$E$14+1,1))</f>
        <v>506.9153247310901</v>
      </c>
      <c r="DU23" s="59">
        <f t="shared" si="44"/>
        <v>247.31254626788319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4.5262222222222226</v>
      </c>
      <c r="N24" s="13">
        <f>IF('Données projet'!$A$36&gt;35,N23+M24-V23,IF(A24&lt;'Données projet'!$A$36,$K$205^A24,IF(A24='Données projet'!$A$36,'Données projet'!$B$36,N23+M24-V23)))</f>
        <v>95.050666666666643</v>
      </c>
      <c r="O24" s="13">
        <f>N24*VLOOKUP('Données projet'!$B$9,Paramètres!$A$1:$I$89,3,0)*VLOOKUP('Données projet'!$B$9,Paramètres!$A$1:$I$89,5,0)</f>
        <v>56.840298666666655</v>
      </c>
      <c r="P24" s="13">
        <f t="shared" si="33"/>
        <v>16.366899544361157</v>
      </c>
      <c r="Q24" s="20">
        <f t="shared" si="2"/>
        <v>127.50253688420678</v>
      </c>
      <c r="R24" s="59">
        <f t="shared" si="0"/>
        <v>409.8358702175401</v>
      </c>
      <c r="S24" s="59">
        <f ca="1">AVERAGE(OFFSET($R$3,0,0,'Données projet'!$E$9+1,1))-AVERAGE(OFFSET($H$3,0,0,'Données projet'!$E$9+1,1))</f>
        <v>193.8828274189392</v>
      </c>
      <c r="T24" s="59">
        <f t="shared" si="34"/>
        <v>179.13381331066427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4.7439999999999998</v>
      </c>
      <c r="AI24" s="13">
        <f>IF('Données projet'!$A$62&gt;35,AI23+AH24-AQ23,IF(A24&lt;'Données projet'!$A$62,$AF$205^A24,IF(A24='Données projet'!$A$62,'Données projet'!$B$62,AI23+AH24-AQ23)))</f>
        <v>55.237134232659265</v>
      </c>
      <c r="AJ24" s="13">
        <f>AI24*VLOOKUP('Données projet'!$B$10,Paramètres!$A$1:$I$89,3,0)*VLOOKUP('Données projet'!$B$10,Paramètres!$A$1:$I$89,5,0)</f>
        <v>33.031806271130243</v>
      </c>
      <c r="AK24" s="13">
        <f t="shared" si="35"/>
        <v>10.131661353954241</v>
      </c>
      <c r="AL24" s="20">
        <f t="shared" si="4"/>
        <v>75.176372780355464</v>
      </c>
      <c r="AM24" s="59">
        <f t="shared" si="5"/>
        <v>357.50970611368876</v>
      </c>
      <c r="AN24" s="59">
        <f ca="1">AVERAGE(OFFSET($AM$3,0,0,'Données projet'!$E$10+1,1))-AVERAGE(OFFSET($H$3,0,0,'Données projet'!$E$10+1,1))</f>
        <v>228.36873053496748</v>
      </c>
      <c r="AO24" s="59">
        <f t="shared" si="36"/>
        <v>177.73676400313303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82.772819999999996</v>
      </c>
      <c r="BF24" s="13">
        <f t="shared" si="37"/>
        <v>22.813802740025121</v>
      </c>
      <c r="BG24" s="20">
        <f t="shared" si="7"/>
        <v>183.89670127221041</v>
      </c>
      <c r="BH24" s="59">
        <f t="shared" si="8"/>
        <v>466.23003460554372</v>
      </c>
      <c r="BI24" s="59">
        <f ca="1">AVERAGE(OFFSET($BH$3,0,0,'Données projet'!$E$11+1,1))-AVERAGE(OFFSET($H$3,0,0,'Données projet'!$E$11+1,1))</f>
        <v>534.59150243554586</v>
      </c>
      <c r="BJ24" s="59">
        <f t="shared" si="38"/>
        <v>259.04458689606491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</v>
      </c>
      <c r="BY24" s="12">
        <f>IF('Données projet'!$A$114&gt;35,BY23+BX24-CG23,IF(A24&lt;'Données projet'!$A$114,$BV$205^A24,IF(A24='Données projet'!$A$114,'Données projet'!$B$114,BY23+BX24-CG23)))</f>
        <v>46</v>
      </c>
      <c r="BZ24" s="13">
        <f>BY24*VLOOKUP('Données projet'!$B$12,Paramètres!$A$1:$I$89,3,0)*VLOOKUP('Données projet'!$B$12,Paramètres!$A$1:$I$89,5,0)</f>
        <v>40.185600000000001</v>
      </c>
      <c r="CA24" s="13">
        <f t="shared" si="39"/>
        <v>12.047826945473735</v>
      </c>
      <c r="CB24" s="20">
        <f t="shared" si="10"/>
        <v>90.973218596700079</v>
      </c>
      <c r="CC24" s="59">
        <f t="shared" si="11"/>
        <v>373.30655193003338</v>
      </c>
      <c r="CD24" s="59">
        <f ca="1">AVERAGE(OFFSET($CC$3,0,0,'Données projet'!$E$12+1,1))-AVERAGE(OFFSET($H$3,0,0,'Données projet'!$E$12+1,1))</f>
        <v>211.91720528436969</v>
      </c>
      <c r="CE24" s="59">
        <f t="shared" si="40"/>
        <v>218.88548486038957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3.887142857142857</v>
      </c>
      <c r="CT24" s="12">
        <f>IF('Données projet'!$A$140&gt;35,CT23+CS24-DB23,IF(A24&lt;'Données projet'!$A$140,$CQ$205^A24,IF(A24='Données projet'!$A$140,'Données projet'!$B$140,CT23+CS24-DB23)))</f>
        <v>81.63</v>
      </c>
      <c r="CU24" s="17">
        <f>CT24*VLOOKUP('Données projet'!$B$13,Paramètres!$A$1:$I$89,3,0)*VLOOKUP('Données projet'!$B$13,Paramètres!$A$1:$I$89,5,0)</f>
        <v>73.858823999999984</v>
      </c>
      <c r="CV24" s="13">
        <f t="shared" si="41"/>
        <v>20.628726373651425</v>
      </c>
      <c r="CW24" s="20">
        <f t="shared" si="13"/>
        <v>164.56581690077618</v>
      </c>
      <c r="CX24" s="59">
        <f t="shared" si="14"/>
        <v>446.89915023410947</v>
      </c>
      <c r="CY24" s="59">
        <f ca="1">AVERAGE(OFFSET($CX$3,0,0,'Données projet'!$E$13+1,1))-AVERAGE(OFFSET($H$3,0,0,'Données projet'!$E$13+1,1))</f>
        <v>469.97161976912071</v>
      </c>
      <c r="CZ24" s="59">
        <f t="shared" si="42"/>
        <v>231.65013084759306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3.887142857142857</v>
      </c>
      <c r="DO24" s="12">
        <f>IF('Données projet'!$A$166&gt;35,DO23+DN24-DW23,IF(A24&lt;'Données projet'!$A$166,$DL$205^A24,IF(A24='Données projet'!$A$166,'Données projet'!$B$166,DO23+DN24-DW23)))</f>
        <v>81.63</v>
      </c>
      <c r="DP24" s="17">
        <f>DO24*VLOOKUP('Données projet'!$B$14,Paramètres!$A$1:$I$89,3,0)*VLOOKUP('Données projet'!$B$14,Paramètres!$A$1:$I$89,5,0)</f>
        <v>78.952535999999995</v>
      </c>
      <c r="DQ24" s="13">
        <f t="shared" si="43"/>
        <v>21.880877613822086</v>
      </c>
      <c r="DR24" s="20">
        <f t="shared" si="16"/>
        <v>175.61819537740678</v>
      </c>
      <c r="DS24" s="59">
        <f t="shared" si="17"/>
        <v>457.95152871074009</v>
      </c>
      <c r="DT24" s="59">
        <f ca="1">AVERAGE(OFFSET($DS$3,0,0,'Données projet'!$E$14+1,1))-AVERAGE(OFFSET($H$3,0,0,'Données projet'!$E$14+1,1))</f>
        <v>506.9153247310901</v>
      </c>
      <c r="DU24" s="59">
        <f t="shared" si="44"/>
        <v>247.31254626788319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4.5262222222222226</v>
      </c>
      <c r="N25" s="13">
        <f>IF('Données projet'!$A$36&gt;35,N24+M25-V24,IF(A25&lt;'Données projet'!$A$36,$K$205^A25,IF(A25='Données projet'!$A$36,'Données projet'!$B$36,N24+M25-V24)))</f>
        <v>99.57688888888886</v>
      </c>
      <c r="O25" s="13">
        <f>N25*VLOOKUP('Données projet'!$B$9,Paramètres!$A$1:$I$89,3,0)*VLOOKUP('Données projet'!$B$9,Paramètres!$A$1:$I$89,5,0)</f>
        <v>59.546979555555545</v>
      </c>
      <c r="P25" s="13">
        <f t="shared" si="33"/>
        <v>17.053680757326159</v>
      </c>
      <c r="Q25" s="20">
        <f t="shared" si="2"/>
        <v>133.41281671160229</v>
      </c>
      <c r="R25" s="59">
        <f t="shared" si="0"/>
        <v>416.96837226715786</v>
      </c>
      <c r="S25" s="59">
        <f ca="1">AVERAGE(OFFSET($R$3,0,0,'Données projet'!$E$9+1,1))-AVERAGE(OFFSET($H$3,0,0,'Données projet'!$E$9+1,1))</f>
        <v>193.8828274189392</v>
      </c>
      <c r="T25" s="59">
        <f t="shared" si="34"/>
        <v>179.13381331066427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4.7439999999999998</v>
      </c>
      <c r="AI25" s="13">
        <f>IF('Données projet'!$A$62&gt;35,AI24+AH25-AQ24,IF(A25&lt;'Données projet'!$A$62,$AF$205^A25,IF(A25='Données projet'!$A$62,'Données projet'!$B$62,AI24+AH25-AQ24)))</f>
        <v>66.864334486019558</v>
      </c>
      <c r="AJ25" s="13">
        <f>AI25*VLOOKUP('Données projet'!$B$10,Paramètres!$A$1:$I$89,3,0)*VLOOKUP('Données projet'!$B$10,Paramètres!$A$1:$I$89,5,0)</f>
        <v>39.984872022639699</v>
      </c>
      <c r="AK25" s="13">
        <f t="shared" si="35"/>
        <v>11.994637146360388</v>
      </c>
      <c r="AL25" s="20">
        <f t="shared" si="4"/>
        <v>90.530978469341832</v>
      </c>
      <c r="AM25" s="59">
        <f t="shared" si="5"/>
        <v>374.08653402489739</v>
      </c>
      <c r="AN25" s="59">
        <f ca="1">AVERAGE(OFFSET($AM$3,0,0,'Données projet'!$E$10+1,1))-AVERAGE(OFFSET($H$3,0,0,'Données projet'!$E$10+1,1))</f>
        <v>228.36873053496748</v>
      </c>
      <c r="AO25" s="59">
        <f t="shared" si="36"/>
        <v>177.73676400313303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86.714382857142866</v>
      </c>
      <c r="BF25" s="13">
        <f t="shared" si="37"/>
        <v>23.771106295024762</v>
      </c>
      <c r="BG25" s="20">
        <f t="shared" si="7"/>
        <v>192.42889360669196</v>
      </c>
      <c r="BH25" s="59">
        <f t="shared" si="8"/>
        <v>475.98444916224753</v>
      </c>
      <c r="BI25" s="59">
        <f ca="1">AVERAGE(OFFSET($BH$3,0,0,'Données projet'!$E$11+1,1))-AVERAGE(OFFSET($H$3,0,0,'Données projet'!$E$11+1,1))</f>
        <v>534.59150243554586</v>
      </c>
      <c r="BJ25" s="59">
        <f t="shared" si="38"/>
        <v>259.04458689606491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</v>
      </c>
      <c r="BY25" s="12">
        <f>IF('Données projet'!$A$114&gt;35,BY24+BX25-CG24,IF(A25&lt;'Données projet'!$A$114,$BV$205^A25,IF(A25='Données projet'!$A$114,'Données projet'!$B$114,BY24+BX25-CG24)))</f>
        <v>56</v>
      </c>
      <c r="BZ25" s="13">
        <f>BY25*VLOOKUP('Données projet'!$B$12,Paramètres!$A$1:$I$89,3,0)*VLOOKUP('Données projet'!$B$12,Paramètres!$A$1:$I$89,5,0)</f>
        <v>48.921600000000005</v>
      </c>
      <c r="CA25" s="13">
        <f t="shared" si="39"/>
        <v>14.334905731333867</v>
      </c>
      <c r="CB25" s="20">
        <f t="shared" si="10"/>
        <v>110.17174748207316</v>
      </c>
      <c r="CC25" s="59">
        <f t="shared" si="11"/>
        <v>393.7273030376287</v>
      </c>
      <c r="CD25" s="59">
        <f ca="1">AVERAGE(OFFSET($CC$3,0,0,'Données projet'!$E$12+1,1))-AVERAGE(OFFSET($H$3,0,0,'Données projet'!$E$12+1,1))</f>
        <v>211.91720528436969</v>
      </c>
      <c r="CE25" s="59">
        <f t="shared" si="40"/>
        <v>218.88548486038957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3.887142857142857</v>
      </c>
      <c r="CT25" s="12">
        <f>IF('Données projet'!$A$140&gt;35,CT24+CS25-DB24,IF(A25&lt;'Données projet'!$A$140,$CQ$205^A25,IF(A25='Données projet'!$A$140,'Données projet'!$B$140,CT24+CS25-DB24)))</f>
        <v>85.517142857142858</v>
      </c>
      <c r="CU25" s="17">
        <f>CT25*VLOOKUP('Données projet'!$B$13,Paramètres!$A$1:$I$89,3,0)*VLOOKUP('Données projet'!$B$13,Paramètres!$A$1:$I$89,5,0)</f>
        <v>77.375910857142856</v>
      </c>
      <c r="CV25" s="13">
        <f t="shared" si="41"/>
        <v>21.49434063873689</v>
      </c>
      <c r="CW25" s="20">
        <f t="shared" si="13"/>
        <v>172.19902135532388</v>
      </c>
      <c r="CX25" s="59">
        <f t="shared" si="14"/>
        <v>455.75457691087945</v>
      </c>
      <c r="CY25" s="59">
        <f ca="1">AVERAGE(OFFSET($CX$3,0,0,'Données projet'!$E$13+1,1))-AVERAGE(OFFSET($H$3,0,0,'Données projet'!$E$13+1,1))</f>
        <v>469.97161976912071</v>
      </c>
      <c r="CZ25" s="59">
        <f t="shared" si="42"/>
        <v>231.65013084759306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3.887142857142857</v>
      </c>
      <c r="DO25" s="12">
        <f>IF('Données projet'!$A$166&gt;35,DO24+DN25-DW24,IF(A25&lt;'Données projet'!$A$166,$DL$205^A25,IF(A25='Données projet'!$A$166,'Données projet'!$B$166,DO24+DN25-DW24)))</f>
        <v>85.517142857142858</v>
      </c>
      <c r="DP25" s="17">
        <f>DO25*VLOOKUP('Données projet'!$B$14,Paramètres!$A$1:$I$89,3,0)*VLOOKUP('Données projet'!$B$14,Paramètres!$A$1:$I$89,5,0)</f>
        <v>82.712180571428576</v>
      </c>
      <c r="DQ25" s="13">
        <f t="shared" si="43"/>
        <v>22.799034142346564</v>
      </c>
      <c r="DR25" s="20">
        <f t="shared" si="16"/>
        <v>183.76536562649167</v>
      </c>
      <c r="DS25" s="59">
        <f t="shared" si="17"/>
        <v>467.32092118204719</v>
      </c>
      <c r="DT25" s="59">
        <f ca="1">AVERAGE(OFFSET($DS$3,0,0,'Données projet'!$E$14+1,1))-AVERAGE(OFFSET($H$3,0,0,'Données projet'!$E$14+1,1))</f>
        <v>506.9153247310901</v>
      </c>
      <c r="DU25" s="59">
        <f t="shared" si="44"/>
        <v>247.31254626788319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4.5262222222222226</v>
      </c>
      <c r="N26" s="13">
        <f>IF('Données projet'!$A$36&gt;35,N25+M26-V25,IF(A26&lt;'Données projet'!$A$36,$K$205^A26,IF(A26='Données projet'!$A$36,'Données projet'!$B$36,N25+M26-V25)))</f>
        <v>104.10311111111108</v>
      </c>
      <c r="O26" s="13">
        <f>N26*VLOOKUP('Données projet'!$B$9,Paramètres!$A$1:$I$89,3,0)*VLOOKUP('Données projet'!$B$9,Paramètres!$A$1:$I$89,5,0)</f>
        <v>62.253660444444428</v>
      </c>
      <c r="P26" s="13">
        <f t="shared" si="33"/>
        <v>17.736836550927574</v>
      </c>
      <c r="Q26" s="20">
        <f t="shared" si="2"/>
        <v>139.31678226693955</v>
      </c>
      <c r="R26" s="59">
        <f t="shared" si="0"/>
        <v>424.09456004471735</v>
      </c>
      <c r="S26" s="59">
        <f ca="1">AVERAGE(OFFSET($R$3,0,0,'Données projet'!$E$9+1,1))-AVERAGE(OFFSET($H$3,0,0,'Données projet'!$E$9+1,1))</f>
        <v>193.8828274189392</v>
      </c>
      <c r="T26" s="59">
        <f t="shared" si="34"/>
        <v>179.13381331066427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4.7439999999999998</v>
      </c>
      <c r="AI26" s="13">
        <f>IF('Données projet'!$A$62&gt;35,AI25+AH26-AQ25,IF(A26&lt;'Données projet'!$A$62,$AF$205^A26,IF(A26='Données projet'!$A$62,'Données projet'!$B$62,AI25+AH26-AQ25)))</f>
        <v>80.939014819760402</v>
      </c>
      <c r="AJ26" s="13">
        <f>AI26*VLOOKUP('Données projet'!$B$10,Paramètres!$A$1:$I$89,3,0)*VLOOKUP('Données projet'!$B$10,Paramètres!$A$1:$I$89,5,0)</f>
        <v>48.401530862216724</v>
      </c>
      <c r="AK26" s="13">
        <f t="shared" si="35"/>
        <v>14.200170657766563</v>
      </c>
      <c r="AL26" s="20">
        <f t="shared" si="4"/>
        <v>109.03129681397088</v>
      </c>
      <c r="AM26" s="59">
        <f t="shared" si="5"/>
        <v>393.80907459174864</v>
      </c>
      <c r="AN26" s="59">
        <f ca="1">AVERAGE(OFFSET($AM$3,0,0,'Données projet'!$E$10+1,1))-AVERAGE(OFFSET($H$3,0,0,'Données projet'!$E$10+1,1))</f>
        <v>228.36873053496748</v>
      </c>
      <c r="AO26" s="59">
        <f t="shared" si="36"/>
        <v>177.73676400313303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90.655945714285721</v>
      </c>
      <c r="BF26" s="13">
        <f t="shared" si="37"/>
        <v>24.723356382079128</v>
      </c>
      <c r="BG26" s="20">
        <f t="shared" si="7"/>
        <v>200.95228448450212</v>
      </c>
      <c r="BH26" s="59">
        <f t="shared" si="8"/>
        <v>485.73006226227989</v>
      </c>
      <c r="BI26" s="59">
        <f ca="1">AVERAGE(OFFSET($BH$3,0,0,'Données projet'!$E$11+1,1))-AVERAGE(OFFSET($H$3,0,0,'Données projet'!$E$11+1,1))</f>
        <v>534.59150243554586</v>
      </c>
      <c r="BJ26" s="59">
        <f t="shared" si="38"/>
        <v>259.04458689606491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</v>
      </c>
      <c r="BY26" s="12">
        <f>IF('Données projet'!$A$114&gt;35,BY25+BX26-CG25,IF(A26&lt;'Données projet'!$A$114,$BV$205^A26,IF(A26='Données projet'!$A$114,'Données projet'!$B$114,BY25+BX26-CG25)))</f>
        <v>66</v>
      </c>
      <c r="BZ26" s="13">
        <f>BY26*VLOOKUP('Données projet'!$B$12,Paramètres!$A$1:$I$89,3,0)*VLOOKUP('Données projet'!$B$12,Paramètres!$A$1:$I$89,5,0)</f>
        <v>57.657600000000002</v>
      </c>
      <c r="CA26" s="13">
        <f t="shared" si="39"/>
        <v>16.574671209026025</v>
      </c>
      <c r="CB26" s="20">
        <f t="shared" si="10"/>
        <v>129.28787235572034</v>
      </c>
      <c r="CC26" s="59">
        <f t="shared" si="11"/>
        <v>414.06565013349814</v>
      </c>
      <c r="CD26" s="59">
        <f ca="1">AVERAGE(OFFSET($CC$3,0,0,'Données projet'!$E$12+1,1))-AVERAGE(OFFSET($H$3,0,0,'Données projet'!$E$12+1,1))</f>
        <v>211.91720528436969</v>
      </c>
      <c r="CE26" s="59">
        <f t="shared" si="40"/>
        <v>218.88548486038957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3.887142857142857</v>
      </c>
      <c r="CT26" s="12">
        <f>IF('Données projet'!$A$140&gt;35,CT25+CS26-DB25,IF(A26&lt;'Données projet'!$A$140,$CQ$205^A26,IF(A26='Données projet'!$A$140,'Données projet'!$B$140,CT25+CS26-DB25)))</f>
        <v>89.40428571428572</v>
      </c>
      <c r="CU26" s="17">
        <f>CT26*VLOOKUP('Données projet'!$B$13,Paramètres!$A$1:$I$89,3,0)*VLOOKUP('Données projet'!$B$13,Paramètres!$A$1:$I$89,5,0)</f>
        <v>80.892997714285713</v>
      </c>
      <c r="CV26" s="13">
        <f t="shared" si="41"/>
        <v>22.355385450466887</v>
      </c>
      <c r="CW26" s="20">
        <f t="shared" si="13"/>
        <v>179.82426734527743</v>
      </c>
      <c r="CX26" s="59">
        <f t="shared" si="14"/>
        <v>464.60204512305518</v>
      </c>
      <c r="CY26" s="59">
        <f ca="1">AVERAGE(OFFSET($CX$3,0,0,'Données projet'!$E$13+1,1))-AVERAGE(OFFSET($H$3,0,0,'Données projet'!$E$13+1,1))</f>
        <v>469.97161976912071</v>
      </c>
      <c r="CZ26" s="59">
        <f t="shared" si="42"/>
        <v>231.65013084759306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3.887142857142857</v>
      </c>
      <c r="DO26" s="12">
        <f>IF('Données projet'!$A$166&gt;35,DO25+DN26-DW25,IF(A26&lt;'Données projet'!$A$166,$DL$205^A26,IF(A26='Données projet'!$A$166,'Données projet'!$B$166,DO25+DN26-DW25)))</f>
        <v>89.40428571428572</v>
      </c>
      <c r="DP26" s="17">
        <f>DO26*VLOOKUP('Données projet'!$B$14,Paramètres!$A$1:$I$89,3,0)*VLOOKUP('Données projet'!$B$14,Paramètres!$A$1:$I$89,5,0)</f>
        <v>86.471825142857142</v>
      </c>
      <c r="DQ26" s="13">
        <f t="shared" si="43"/>
        <v>23.71234385445489</v>
      </c>
      <c r="DR26" s="20">
        <f t="shared" si="16"/>
        <v>191.90409433698508</v>
      </c>
      <c r="DS26" s="59">
        <f t="shared" si="17"/>
        <v>476.68187211476288</v>
      </c>
      <c r="DT26" s="59">
        <f ca="1">AVERAGE(OFFSET($DS$3,0,0,'Données projet'!$E$14+1,1))-AVERAGE(OFFSET($H$3,0,0,'Données projet'!$E$14+1,1))</f>
        <v>506.9153247310901</v>
      </c>
      <c r="DU26" s="59">
        <f t="shared" si="44"/>
        <v>247.31254626788319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4.5262222222222226</v>
      </c>
      <c r="N27" s="13">
        <f>IF('Données projet'!$A$36&gt;35,N26+M27-V26,IF(A27&lt;'Données projet'!$A$36,$K$205^A27,IF(A27='Données projet'!$A$36,'Données projet'!$B$36,N26+M27-V26)))</f>
        <v>108.62933333333329</v>
      </c>
      <c r="O27" s="13">
        <f>N27*VLOOKUP('Données projet'!$B$9,Paramètres!$A$1:$I$89,3,0)*VLOOKUP('Données projet'!$B$9,Paramètres!$A$1:$I$89,5,0)</f>
        <v>64.960341333333318</v>
      </c>
      <c r="P27" s="13">
        <f t="shared" si="33"/>
        <v>18.416542568293934</v>
      </c>
      <c r="Q27" s="20">
        <f t="shared" si="2"/>
        <v>145.21473946200081</v>
      </c>
      <c r="R27" s="59">
        <f t="shared" si="0"/>
        <v>431.21473946200081</v>
      </c>
      <c r="S27" s="59">
        <f ca="1">AVERAGE(OFFSET($R$3,0,0,'Données projet'!$E$9+1,1))-AVERAGE(OFFSET($H$3,0,0,'Données projet'!$E$9+1,1))</f>
        <v>193.8828274189392</v>
      </c>
      <c r="T27" s="59">
        <f t="shared" si="34"/>
        <v>179.13381331066427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4.7439999999999998</v>
      </c>
      <c r="AI27" s="13">
        <f>IF('Données projet'!$A$62&gt;35,AI26+AH27-AQ26,IF(A27&lt;'Données projet'!$A$62,$AF$205^A27,IF(A27='Données projet'!$A$62,'Données projet'!$B$62,AI26+AH27-AQ26)))</f>
        <v>97.976360197874243</v>
      </c>
      <c r="AJ27" s="13">
        <f>AI27*VLOOKUP('Données projet'!$B$10,Paramètres!$A$1:$I$89,3,0)*VLOOKUP('Données projet'!$B$10,Paramètres!$A$1:$I$89,5,0)</f>
        <v>58.589863398328795</v>
      </c>
      <c r="AK27" s="13">
        <f t="shared" si="35"/>
        <v>16.811250248689749</v>
      </c>
      <c r="AL27" s="20">
        <f t="shared" si="4"/>
        <v>131.32360626855731</v>
      </c>
      <c r="AM27" s="59">
        <f t="shared" si="5"/>
        <v>417.32360626855734</v>
      </c>
      <c r="AN27" s="59">
        <f ca="1">AVERAGE(OFFSET($AM$3,0,0,'Données projet'!$E$10+1,1))-AVERAGE(OFFSET($H$3,0,0,'Données projet'!$E$10+1,1))</f>
        <v>228.36873053496748</v>
      </c>
      <c r="AO27" s="59">
        <f t="shared" si="36"/>
        <v>177.73676400313303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94.597508571428591</v>
      </c>
      <c r="BF27" s="13">
        <f t="shared" si="37"/>
        <v>25.670797829946185</v>
      </c>
      <c r="BG27" s="20">
        <f t="shared" si="7"/>
        <v>209.4673003157277</v>
      </c>
      <c r="BH27" s="59">
        <f t="shared" si="8"/>
        <v>495.4673003157277</v>
      </c>
      <c r="BI27" s="59">
        <f ca="1">AVERAGE(OFFSET($BH$3,0,0,'Données projet'!$E$11+1,1))-AVERAGE(OFFSET($H$3,0,0,'Données projet'!$E$11+1,1))</f>
        <v>534.59150243554586</v>
      </c>
      <c r="BJ27" s="59">
        <f t="shared" si="38"/>
        <v>259.04458689606491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</v>
      </c>
      <c r="BY27" s="12">
        <f>IF('Données projet'!$A$114&gt;35,BY26+BX27-CG26,IF(A27&lt;'Données projet'!$A$114,$BV$205^A27,IF(A27='Données projet'!$A$114,'Données projet'!$B$114,BY26+BX27-CG26)))</f>
        <v>76</v>
      </c>
      <c r="BZ27" s="13">
        <f>BY27*VLOOKUP('Données projet'!$B$12,Paramètres!$A$1:$I$89,3,0)*VLOOKUP('Données projet'!$B$12,Paramètres!$A$1:$I$89,5,0)</f>
        <v>66.393600000000006</v>
      </c>
      <c r="CA27" s="13">
        <f t="shared" si="39"/>
        <v>18.775122997078544</v>
      </c>
      <c r="CB27" s="20">
        <f t="shared" si="10"/>
        <v>148.33552588657844</v>
      </c>
      <c r="CC27" s="59">
        <f t="shared" si="11"/>
        <v>434.33552588657847</v>
      </c>
      <c r="CD27" s="59">
        <f ca="1">AVERAGE(OFFSET($CC$3,0,0,'Données projet'!$E$12+1,1))-AVERAGE(OFFSET($H$3,0,0,'Données projet'!$E$12+1,1))</f>
        <v>211.91720528436969</v>
      </c>
      <c r="CE27" s="59">
        <f t="shared" si="40"/>
        <v>218.88548486038957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3.887142857142857</v>
      </c>
      <c r="CT27" s="12">
        <f>IF('Données projet'!$A$140&gt;35,CT26+CS27-DB26,IF(A27&lt;'Données projet'!$A$140,$CQ$205^A27,IF(A27='Données projet'!$A$140,'Données projet'!$B$140,CT26+CS27-DB26)))</f>
        <v>93.291428571428582</v>
      </c>
      <c r="CU27" s="17">
        <f>CT27*VLOOKUP('Données projet'!$B$13,Paramètres!$A$1:$I$89,3,0)*VLOOKUP('Données projet'!$B$13,Paramètres!$A$1:$I$89,5,0)</f>
        <v>84.410084571428584</v>
      </c>
      <c r="CV27" s="13">
        <f t="shared" si="41"/>
        <v>23.212082188219242</v>
      </c>
      <c r="CW27" s="20">
        <f t="shared" si="13"/>
        <v>187.44194043971996</v>
      </c>
      <c r="CX27" s="59">
        <f t="shared" si="14"/>
        <v>473.44194043971993</v>
      </c>
      <c r="CY27" s="59">
        <f ca="1">AVERAGE(OFFSET($CX$3,0,0,'Données projet'!$E$13+1,1))-AVERAGE(OFFSET($H$3,0,0,'Données projet'!$E$13+1,1))</f>
        <v>469.97161976912071</v>
      </c>
      <c r="CZ27" s="59">
        <f t="shared" si="42"/>
        <v>231.65013084759306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3.887142857142857</v>
      </c>
      <c r="DO27" s="12">
        <f>IF('Données projet'!$A$166&gt;35,DO26+DN27-DW26,IF(A27&lt;'Données projet'!$A$166,$DL$205^A27,IF(A27='Données projet'!$A$166,'Données projet'!$B$166,DO26+DN27-DW26)))</f>
        <v>93.291428571428582</v>
      </c>
      <c r="DP27" s="17">
        <f>DO27*VLOOKUP('Données projet'!$B$14,Paramètres!$A$1:$I$89,3,0)*VLOOKUP('Données projet'!$B$14,Paramètres!$A$1:$I$89,5,0)</f>
        <v>90.231469714285723</v>
      </c>
      <c r="DQ27" s="13">
        <f t="shared" si="43"/>
        <v>24.621041567119438</v>
      </c>
      <c r="DR27" s="20">
        <f t="shared" si="16"/>
        <v>200.03479048178065</v>
      </c>
      <c r="DS27" s="59">
        <f t="shared" si="17"/>
        <v>486.03479048178065</v>
      </c>
      <c r="DT27" s="59">
        <f ca="1">AVERAGE(OFFSET($DS$3,0,0,'Données projet'!$E$14+1,1))-AVERAGE(OFFSET($H$3,0,0,'Données projet'!$E$14+1,1))</f>
        <v>506.9153247310901</v>
      </c>
      <c r="DU27" s="59">
        <f t="shared" si="44"/>
        <v>247.31254626788319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4.5262222222222226</v>
      </c>
      <c r="N28" s="13">
        <f>IF('Données projet'!$A$36&gt;35,N27+M28-V27,IF(A28&lt;'Données projet'!$A$36,$K$205^A28,IF(A28='Données projet'!$A$36,'Données projet'!$B$36,N27+M28-V27)))</f>
        <v>113.15555555555551</v>
      </c>
      <c r="O28" s="13">
        <f>N28*VLOOKUP('Données projet'!$B$9,Paramètres!$A$1:$I$89,3,0)*VLOOKUP('Données projet'!$B$9,Paramètres!$A$1:$I$89,5,0)</f>
        <v>67.667022222222201</v>
      </c>
      <c r="P28" s="13">
        <f t="shared" si="33"/>
        <v>19.092958987528537</v>
      </c>
      <c r="Q28" s="20">
        <f t="shared" si="2"/>
        <v>151.10696727364919</v>
      </c>
      <c r="R28" s="59">
        <f t="shared" si="0"/>
        <v>438.32918949587145</v>
      </c>
      <c r="S28" s="59">
        <f ca="1">AVERAGE(OFFSET($R$3,0,0,'Données projet'!$E$9+1,1))-AVERAGE(OFFSET($H$3,0,0,'Données projet'!$E$9+1,1))</f>
        <v>193.8828274189392</v>
      </c>
      <c r="T28" s="59">
        <f t="shared" si="34"/>
        <v>179.13381331066427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118.6</v>
      </c>
      <c r="AG28" s="12">
        <f>VLOOKUP(A28,'Données projet'!$A$61:$I$81,9,0)</f>
        <v>4.7439999999999998</v>
      </c>
      <c r="AH28" s="12">
        <f t="array" ref="AH28">INDEX(AG:AG,MIN(IF(ISNUMBER(AG28:AG224),ROW(AG28:AG224),"")))</f>
        <v>4.7439999999999998</v>
      </c>
      <c r="AI28" s="13">
        <f>IF('Données projet'!$A$62&gt;35,AI27+AH28-AQ27,IF(A28&lt;'Données projet'!$A$62,$AF$205^A28,IF(A28='Données projet'!$A$62,'Données projet'!$B$62,AI27+AH28-AQ27)))</f>
        <v>118.6</v>
      </c>
      <c r="AJ28" s="13">
        <f>AI28*VLOOKUP('Données projet'!$B$10,Paramètres!$A$1:$I$89,3,0)*VLOOKUP('Données projet'!$B$10,Paramètres!$A$1:$I$89,5,0)</f>
        <v>70.922799999999995</v>
      </c>
      <c r="AK28" s="13">
        <f t="shared" si="35"/>
        <v>19.902446367396117</v>
      </c>
      <c r="AL28" s="20">
        <f t="shared" si="4"/>
        <v>158.18730408988156</v>
      </c>
      <c r="AM28" s="59">
        <f t="shared" si="5"/>
        <v>445.40952631210382</v>
      </c>
      <c r="AN28" s="59">
        <f ca="1">AVERAGE(OFFSET($AM$3,0,0,'Données projet'!$E$10+1,1))-AVERAGE(OFFSET($H$3,0,0,'Données projet'!$E$10+1,1))</f>
        <v>228.36873053496748</v>
      </c>
      <c r="AO28" s="59">
        <f t="shared" si="36"/>
        <v>177.73676400313303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50.02</v>
      </c>
      <c r="AR28" s="16">
        <f>IF(ISNA(VLOOKUP(A28,'Données projet'!$A$61:$I$81,5,0)),0%,VLOOKUP(A28,'Données projet'!$A$61:$I$81,5,0)*VLOOKUP('Données projet'!$B$10,Paramètres!$A$1:$I$89,7,0))</f>
        <v>4.5000000000000005E-2</v>
      </c>
      <c r="AS28" s="16">
        <f>IF(ISNA(VLOOKUP(A28,'Données projet'!$A$61:$I$81,6,0)),0%,VLOOKUP(A28,'Données projet'!$A$61:$I$81,6,0)*VLOOKUP('Données projet'!$B$10,Paramètres!$A$1:$I$89,7,0))</f>
        <v>0.36000000000000004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1.7856064317838189</v>
      </c>
      <c r="AV28" s="21">
        <f>EXP(-LN(2)/25)*AV27+(1-EXP(-LN(2)/25))/(LN(2)/25)*Calculateur!AQ28*Calculateur!AS28*VLOOKUP('Données projet'!$B$10,Paramètres!$A$1:$I$89,3,0)*0.475*44/12</f>
        <v>14.228606551139967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16.014212982923787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98.539071428571447</v>
      </c>
      <c r="BF28" s="13">
        <f t="shared" si="37"/>
        <v>26.613653910702727</v>
      </c>
      <c r="BG28" s="20">
        <f t="shared" si="7"/>
        <v>217.97432996590248</v>
      </c>
      <c r="BH28" s="59">
        <f t="shared" si="8"/>
        <v>505.19655218812471</v>
      </c>
      <c r="BI28" s="59">
        <f ca="1">AVERAGE(OFFSET($BH$3,0,0,'Données projet'!$E$11+1,1))-AVERAGE(OFFSET($H$3,0,0,'Données projet'!$E$11+1,1))</f>
        <v>534.59150243554586</v>
      </c>
      <c r="BJ28" s="59">
        <f t="shared" si="38"/>
        <v>259.04458689606491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86</v>
      </c>
      <c r="BW28" s="12">
        <f>VLOOKUP(A28,'Données projet'!$A$113:$I$133,9,0)</f>
        <v>10</v>
      </c>
      <c r="BX28" s="12">
        <f t="array" ref="BX28">INDEX(BW:BW,MIN(IF(ISNUMBER(BW28:BW224),ROW(BW28:BW224),"")))</f>
        <v>10</v>
      </c>
      <c r="BY28" s="12">
        <f>IF('Données projet'!$A$114&gt;35,BY27+BX28-CG27,IF(A28&lt;'Données projet'!$A$114,$BV$205^A28,IF(A28='Données projet'!$A$114,'Données projet'!$B$114,BY27+BX28-CG27)))</f>
        <v>86</v>
      </c>
      <c r="BZ28" s="13">
        <f>BY28*VLOOKUP('Données projet'!$B$12,Paramètres!$A$1:$I$89,3,0)*VLOOKUP('Données projet'!$B$12,Paramètres!$A$1:$I$89,5,0)</f>
        <v>75.129600000000011</v>
      </c>
      <c r="CA28" s="13">
        <f t="shared" si="39"/>
        <v>20.942027818647581</v>
      </c>
      <c r="CB28" s="20">
        <f t="shared" si="10"/>
        <v>167.32475178414452</v>
      </c>
      <c r="CC28" s="59">
        <f t="shared" si="11"/>
        <v>454.54697400636678</v>
      </c>
      <c r="CD28" s="59">
        <f ca="1">AVERAGE(OFFSET($CC$3,0,0,'Données projet'!$E$12+1,1))-AVERAGE(OFFSET($H$3,0,0,'Données projet'!$E$12+1,1))</f>
        <v>211.91720528436969</v>
      </c>
      <c r="CE28" s="59">
        <f t="shared" si="40"/>
        <v>218.88548486038957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21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3.887142857142857</v>
      </c>
      <c r="CT28" s="12">
        <f>IF('Données projet'!$A$140&gt;35,CT27+CS28-DB27,IF(A28&lt;'Données projet'!$A$140,$CQ$205^A28,IF(A28='Données projet'!$A$140,'Données projet'!$B$140,CT27+CS28-DB27)))</f>
        <v>97.178571428571445</v>
      </c>
      <c r="CU28" s="17">
        <f>CT28*VLOOKUP('Données projet'!$B$13,Paramètres!$A$1:$I$89,3,0)*VLOOKUP('Données projet'!$B$13,Paramètres!$A$1:$I$89,5,0)</f>
        <v>87.927171428571441</v>
      </c>
      <c r="CV28" s="13">
        <f t="shared" si="41"/>
        <v>24.06463273936156</v>
      </c>
      <c r="CW28" s="20">
        <f t="shared" si="13"/>
        <v>195.05239225914997</v>
      </c>
      <c r="CX28" s="59">
        <f t="shared" si="14"/>
        <v>482.27461448137217</v>
      </c>
      <c r="CY28" s="59">
        <f ca="1">AVERAGE(OFFSET($CX$3,0,0,'Données projet'!$E$13+1,1))-AVERAGE(OFFSET($H$3,0,0,'Données projet'!$E$13+1,1))</f>
        <v>469.97161976912071</v>
      </c>
      <c r="CZ28" s="59">
        <f t="shared" si="42"/>
        <v>231.65013084759306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3.887142857142857</v>
      </c>
      <c r="DO28" s="12">
        <f>IF('Données projet'!$A$166&gt;35,DO27+DN28-DW27,IF(A28&lt;'Données projet'!$A$166,$DL$205^A28,IF(A28='Données projet'!$A$166,'Données projet'!$B$166,DO27+DN28-DW27)))</f>
        <v>97.178571428571445</v>
      </c>
      <c r="DP28" s="17">
        <f>DO28*VLOOKUP('Données projet'!$B$14,Paramètres!$A$1:$I$89,3,0)*VLOOKUP('Données projet'!$B$14,Paramètres!$A$1:$I$89,5,0)</f>
        <v>93.991114285714303</v>
      </c>
      <c r="DQ28" s="13">
        <f t="shared" si="43"/>
        <v>25.525341422149168</v>
      </c>
      <c r="DR28" s="20">
        <f t="shared" si="16"/>
        <v>208.15782702452887</v>
      </c>
      <c r="DS28" s="59">
        <f t="shared" si="17"/>
        <v>495.38004924675113</v>
      </c>
      <c r="DT28" s="59">
        <f ca="1">AVERAGE(OFFSET($DS$3,0,0,'Données projet'!$E$14+1,1))-AVERAGE(OFFSET($H$3,0,0,'Données projet'!$E$14+1,1))</f>
        <v>506.9153247310901</v>
      </c>
      <c r="DU28" s="59">
        <f t="shared" si="44"/>
        <v>247.31254626788319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4.5262222222222226</v>
      </c>
      <c r="N29" s="13">
        <f>IF('Données projet'!$A$36&gt;35,N28+M29-V28,IF(A29&lt;'Données projet'!$A$36,$K$205^A29,IF(A29='Données projet'!$A$36,'Données projet'!$B$36,N28+M29-V28)))</f>
        <v>117.68177777777773</v>
      </c>
      <c r="O29" s="13">
        <f>N29*VLOOKUP('Données projet'!$B$9,Paramètres!$A$1:$I$89,3,0)*VLOOKUP('Données projet'!$B$9,Paramètres!$A$1:$I$89,5,0)</f>
        <v>70.373703111111084</v>
      </c>
      <c r="P29" s="13">
        <f t="shared" si="33"/>
        <v>19.766232447159091</v>
      </c>
      <c r="Q29" s="20">
        <f t="shared" si="2"/>
        <v>156.99372109732053</v>
      </c>
      <c r="R29" s="59">
        <f t="shared" si="0"/>
        <v>445.43816554176499</v>
      </c>
      <c r="S29" s="59">
        <f ca="1">AVERAGE(OFFSET($R$3,0,0,'Données projet'!$E$9+1,1))-AVERAGE(OFFSET($H$3,0,0,'Données projet'!$E$9+1,1))</f>
        <v>193.8828274189392</v>
      </c>
      <c r="T29" s="59">
        <f t="shared" si="34"/>
        <v>179.13381331066427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13.225714285714288</v>
      </c>
      <c r="AI29" s="13">
        <f>IF('Données projet'!$A$62&gt;35,AI28+AH29-AQ28,IF(A29&lt;'Données projet'!$A$62,$AF$205^A29,IF(A29='Données projet'!$A$62,'Données projet'!$B$62,AI28+AH29-AQ28)))</f>
        <v>81.805714285714259</v>
      </c>
      <c r="AJ29" s="13">
        <f>AI29*VLOOKUP('Données projet'!$B$10,Paramètres!$A$1:$I$89,3,0)*VLOOKUP('Données projet'!$B$10,Paramètres!$A$1:$I$89,5,0)</f>
        <v>48.919817142857127</v>
      </c>
      <c r="AK29" s="13">
        <f t="shared" si="35"/>
        <v>14.334444129673157</v>
      </c>
      <c r="AL29" s="20">
        <f t="shared" si="4"/>
        <v>110.16783838299024</v>
      </c>
      <c r="AM29" s="59">
        <f t="shared" si="5"/>
        <v>398.61228282743468</v>
      </c>
      <c r="AN29" s="59">
        <f ca="1">AVERAGE(OFFSET($AM$3,0,0,'Données projet'!$E$10+1,1))-AVERAGE(OFFSET($H$3,0,0,'Données projet'!$E$10+1,1))</f>
        <v>228.36873053496748</v>
      </c>
      <c r="AO29" s="59">
        <f t="shared" si="36"/>
        <v>177.73676400313303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1.7505917787689207</v>
      </c>
      <c r="AV29" s="21">
        <f>EXP(-LN(2)/25)*AV28+(1-EXP(-LN(2)/25))/(LN(2)/25)*Calculateur!AQ29*Calculateur!AS29*VLOOKUP('Données projet'!$B$10,Paramètres!$A$1:$I$89,3,0)*0.475*44/12</f>
        <v>13.839524556749145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15.590116335518067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102.48063428571432</v>
      </c>
      <c r="BF29" s="13">
        <f t="shared" si="37"/>
        <v>27.552129023626446</v>
      </c>
      <c r="BG29" s="20">
        <f t="shared" si="7"/>
        <v>226.47372943043516</v>
      </c>
      <c r="BH29" s="59">
        <f t="shared" si="8"/>
        <v>514.91817387487959</v>
      </c>
      <c r="BI29" s="59">
        <f ca="1">AVERAGE(OFFSET($BH$3,0,0,'Données projet'!$E$11+1,1))-AVERAGE(OFFSET($H$3,0,0,'Données projet'!$E$11+1,1))</f>
        <v>534.59150243554586</v>
      </c>
      <c r="BJ29" s="59">
        <f t="shared" si="38"/>
        <v>259.04458689606491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74.8</v>
      </c>
      <c r="BZ29" s="13">
        <f>BY29*VLOOKUP('Données projet'!$B$12,Paramètres!$A$1:$I$89,3,0)*VLOOKUP('Données projet'!$B$12,Paramètres!$A$1:$I$89,5,0)</f>
        <v>65.345280000000017</v>
      </c>
      <c r="CA29" s="13">
        <f t="shared" si="39"/>
        <v>18.512938248561991</v>
      </c>
      <c r="CB29" s="20">
        <f t="shared" si="10"/>
        <v>146.05306344957884</v>
      </c>
      <c r="CC29" s="59">
        <f t="shared" si="11"/>
        <v>434.49750789402333</v>
      </c>
      <c r="CD29" s="59">
        <f ca="1">AVERAGE(OFFSET($CC$3,0,0,'Données projet'!$E$12+1,1))-AVERAGE(OFFSET($H$3,0,0,'Données projet'!$E$12+1,1))</f>
        <v>211.91720528436969</v>
      </c>
      <c r="CE29" s="59">
        <f t="shared" si="40"/>
        <v>218.88548486038957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3.887142857142857</v>
      </c>
      <c r="CT29" s="12">
        <f>IF('Données projet'!$A$140&gt;35,CT28+CS29-DB28,IF(A29&lt;'Données projet'!$A$140,$CQ$205^A29,IF(A29='Données projet'!$A$140,'Données projet'!$B$140,CT28+CS29-DB28)))</f>
        <v>101.06571428571431</v>
      </c>
      <c r="CU29" s="17">
        <f>CT29*VLOOKUP('Données projet'!$B$13,Paramètres!$A$1:$I$89,3,0)*VLOOKUP('Données projet'!$B$13,Paramètres!$A$1:$I$89,5,0)</f>
        <v>91.444258285714298</v>
      </c>
      <c r="CV29" s="13">
        <f t="shared" si="41"/>
        <v>24.913221926074399</v>
      </c>
      <c r="CW29" s="20">
        <f t="shared" si="13"/>
        <v>202.65594470219867</v>
      </c>
      <c r="CX29" s="59">
        <f t="shared" si="14"/>
        <v>491.10038914664312</v>
      </c>
      <c r="CY29" s="59">
        <f ca="1">AVERAGE(OFFSET($CX$3,0,0,'Données projet'!$E$13+1,1))-AVERAGE(OFFSET($H$3,0,0,'Données projet'!$E$13+1,1))</f>
        <v>469.97161976912071</v>
      </c>
      <c r="CZ29" s="59">
        <f t="shared" si="42"/>
        <v>231.65013084759306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3.887142857142857</v>
      </c>
      <c r="DO29" s="12">
        <f>IF('Données projet'!$A$166&gt;35,DO28+DN29-DW28,IF(A29&lt;'Données projet'!$A$166,$DL$205^A29,IF(A29='Données projet'!$A$166,'Données projet'!$B$166,DO28+DN29-DW28)))</f>
        <v>101.06571428571431</v>
      </c>
      <c r="DP29" s="17">
        <f>DO29*VLOOKUP('Données projet'!$B$14,Paramètres!$A$1:$I$89,3,0)*VLOOKUP('Données projet'!$B$14,Paramètres!$A$1:$I$89,5,0)</f>
        <v>97.750758857142884</v>
      </c>
      <c r="DQ29" s="13">
        <f t="shared" si="43"/>
        <v>26.425439460319531</v>
      </c>
      <c r="DR29" s="20">
        <f t="shared" si="16"/>
        <v>216.2735454029137</v>
      </c>
      <c r="DS29" s="59">
        <f t="shared" si="17"/>
        <v>504.71798984735813</v>
      </c>
      <c r="DT29" s="59">
        <f ca="1">AVERAGE(OFFSET($DS$3,0,0,'Données projet'!$E$14+1,1))-AVERAGE(OFFSET($H$3,0,0,'Données projet'!$E$14+1,1))</f>
        <v>506.9153247310901</v>
      </c>
      <c r="DU29" s="59">
        <f t="shared" si="44"/>
        <v>247.31254626788319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4.5262222222222226</v>
      </c>
      <c r="N30" s="13">
        <f>IF('Données projet'!$A$36&gt;35,N29+M30-V29,IF(A30&lt;'Données projet'!$A$36,$K$205^A30,IF(A30='Données projet'!$A$36,'Données projet'!$B$36,N29+M30-V29)))</f>
        <v>122.20799999999994</v>
      </c>
      <c r="O30" s="13">
        <f>N30*VLOOKUP('Données projet'!$B$9,Paramètres!$A$1:$I$89,3,0)*VLOOKUP('Données projet'!$B$9,Paramètres!$A$1:$I$89,5,0)</f>
        <v>73.080383999999967</v>
      </c>
      <c r="P30" s="13">
        <f t="shared" si="33"/>
        <v>20.43649766703226</v>
      </c>
      <c r="Q30" s="20">
        <f t="shared" si="2"/>
        <v>162.87523557008112</v>
      </c>
      <c r="R30" s="59">
        <f t="shared" si="0"/>
        <v>452.54190223674777</v>
      </c>
      <c r="S30" s="59">
        <f ca="1">AVERAGE(OFFSET($R$3,0,0,'Données projet'!$E$9+1,1))-AVERAGE(OFFSET($H$3,0,0,'Données projet'!$E$9+1,1))</f>
        <v>193.8828274189392</v>
      </c>
      <c r="T30" s="59">
        <f t="shared" si="34"/>
        <v>179.13381331066427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13.225714285714288</v>
      </c>
      <c r="AI30" s="13">
        <f>IF('Données projet'!$A$62&gt;35,AI29+AH30-AQ29,IF(A30&lt;'Données projet'!$A$62,$AF$205^A30,IF(A30='Données projet'!$A$62,'Données projet'!$B$62,AI29+AH30-AQ29)))</f>
        <v>95.031428571428549</v>
      </c>
      <c r="AJ30" s="13">
        <f>AI30*VLOOKUP('Données projet'!$B$10,Paramètres!$A$1:$I$89,3,0)*VLOOKUP('Données projet'!$B$10,Paramètres!$A$1:$I$89,5,0)</f>
        <v>56.828794285714281</v>
      </c>
      <c r="AK30" s="13">
        <f t="shared" si="35"/>
        <v>16.363972467387253</v>
      </c>
      <c r="AL30" s="20">
        <f t="shared" si="4"/>
        <v>127.47740209498517</v>
      </c>
      <c r="AM30" s="59">
        <f t="shared" si="5"/>
        <v>417.14406876165185</v>
      </c>
      <c r="AN30" s="59">
        <f ca="1">AVERAGE(OFFSET($AM$3,0,0,'Données projet'!$E$10+1,1))-AVERAGE(OFFSET($H$3,0,0,'Données projet'!$E$10+1,1))</f>
        <v>228.36873053496748</v>
      </c>
      <c r="AO30" s="59">
        <f t="shared" si="36"/>
        <v>177.73676400313303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1.716263741742815</v>
      </c>
      <c r="AV30" s="21">
        <f>EXP(-LN(2)/25)*AV29+(1-EXP(-LN(2)/25))/(LN(2)/25)*Calculateur!AQ30*Calculateur!AS30*VLOOKUP('Données projet'!$B$10,Paramètres!$A$1:$I$89,3,0)*0.475*44/12</f>
        <v>13.461082029955874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15.177345771698688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106.42219714285717</v>
      </c>
      <c r="BF30" s="13">
        <f t="shared" si="37"/>
        <v>28.486410954559084</v>
      </c>
      <c r="BG30" s="20">
        <f t="shared" si="7"/>
        <v>234.96582576966659</v>
      </c>
      <c r="BH30" s="59">
        <f t="shared" si="8"/>
        <v>524.63249243633322</v>
      </c>
      <c r="BI30" s="59">
        <f ca="1">AVERAGE(OFFSET($BH$3,0,0,'Données projet'!$E$11+1,1))-AVERAGE(OFFSET($H$3,0,0,'Données projet'!$E$11+1,1))</f>
        <v>534.59150243554586</v>
      </c>
      <c r="BJ30" s="59">
        <f t="shared" si="38"/>
        <v>259.04458689606491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84.6</v>
      </c>
      <c r="BZ30" s="13">
        <f>BY30*VLOOKUP('Données projet'!$B$12,Paramètres!$A$1:$I$89,3,0)*VLOOKUP('Données projet'!$B$12,Paramètres!$A$1:$I$89,5,0)</f>
        <v>73.906560000000013</v>
      </c>
      <c r="CA30" s="13">
        <f t="shared" si="39"/>
        <v>20.640506648584481</v>
      </c>
      <c r="CB30" s="20">
        <f t="shared" si="10"/>
        <v>164.6694744129513</v>
      </c>
      <c r="CC30" s="59">
        <f t="shared" si="11"/>
        <v>454.33614107961796</v>
      </c>
      <c r="CD30" s="59">
        <f ca="1">AVERAGE(OFFSET($CC$3,0,0,'Données projet'!$E$12+1,1))-AVERAGE(OFFSET($H$3,0,0,'Données projet'!$E$12+1,1))</f>
        <v>211.91720528436969</v>
      </c>
      <c r="CE30" s="59">
        <f t="shared" si="40"/>
        <v>218.88548486038957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3.887142857142857</v>
      </c>
      <c r="CT30" s="12">
        <f>IF('Données projet'!$A$140&gt;35,CT29+CS30-DB29,IF(A30&lt;'Données projet'!$A$140,$CQ$205^A30,IF(A30='Données projet'!$A$140,'Données projet'!$B$140,CT29+CS30-DB29)))</f>
        <v>104.95285714285717</v>
      </c>
      <c r="CU30" s="17">
        <f>CT30*VLOOKUP('Données projet'!$B$13,Paramètres!$A$1:$I$89,3,0)*VLOOKUP('Données projet'!$B$13,Paramètres!$A$1:$I$89,5,0)</f>
        <v>94.961345142857169</v>
      </c>
      <c r="CV30" s="13">
        <f t="shared" si="41"/>
        <v>25.758019548315733</v>
      </c>
      <c r="CW30" s="20">
        <f t="shared" si="13"/>
        <v>210.25289350379276</v>
      </c>
      <c r="CX30" s="59">
        <f t="shared" si="14"/>
        <v>499.91956017045948</v>
      </c>
      <c r="CY30" s="59">
        <f ca="1">AVERAGE(OFFSET($CX$3,0,0,'Données projet'!$E$13+1,1))-AVERAGE(OFFSET($H$3,0,0,'Données projet'!$E$13+1,1))</f>
        <v>469.97161976912071</v>
      </c>
      <c r="CZ30" s="59">
        <f t="shared" si="42"/>
        <v>231.65013084759306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3.887142857142857</v>
      </c>
      <c r="DO30" s="12">
        <f>IF('Données projet'!$A$166&gt;35,DO29+DN30-DW29,IF(A30&lt;'Données projet'!$A$166,$DL$205^A30,IF(A30='Données projet'!$A$166,'Données projet'!$B$166,DO29+DN30-DW29)))</f>
        <v>104.95285714285717</v>
      </c>
      <c r="DP30" s="17">
        <f>DO30*VLOOKUP('Données projet'!$B$14,Paramètres!$A$1:$I$89,3,0)*VLOOKUP('Données projet'!$B$14,Paramètres!$A$1:$I$89,5,0)</f>
        <v>101.51040342857146</v>
      </c>
      <c r="DQ30" s="13">
        <f t="shared" si="43"/>
        <v>27.32151578834339</v>
      </c>
      <c r="DR30" s="20">
        <f t="shared" si="16"/>
        <v>224.38225930279336</v>
      </c>
      <c r="DS30" s="59">
        <f t="shared" si="17"/>
        <v>514.04892596946002</v>
      </c>
      <c r="DT30" s="59">
        <f ca="1">AVERAGE(OFFSET($DS$3,0,0,'Données projet'!$E$14+1,1))-AVERAGE(OFFSET($H$3,0,0,'Données projet'!$E$14+1,1))</f>
        <v>506.9153247310901</v>
      </c>
      <c r="DU30" s="59">
        <f t="shared" si="44"/>
        <v>247.31254626788319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4.5262222222222226</v>
      </c>
      <c r="N31" s="13">
        <f>IF('Données projet'!$A$36&gt;35,N30+M31-V30,IF(A31&lt;'Données projet'!$A$36,$K$205^A31,IF(A31='Données projet'!$A$36,'Données projet'!$B$36,N30+M31-V30)))</f>
        <v>126.73422222222216</v>
      </c>
      <c r="O31" s="13">
        <f>N31*VLOOKUP('Données projet'!$B$9,Paramètres!$A$1:$I$89,3,0)*VLOOKUP('Données projet'!$B$9,Paramètres!$A$1:$I$89,5,0)</f>
        <v>75.787064888888864</v>
      </c>
      <c r="P31" s="13">
        <f t="shared" si="33"/>
        <v>21.103878822325346</v>
      </c>
      <c r="Q31" s="20">
        <f t="shared" si="2"/>
        <v>168.75172696369808</v>
      </c>
      <c r="R31" s="59">
        <f t="shared" si="0"/>
        <v>459.64061585258696</v>
      </c>
      <c r="S31" s="59">
        <f ca="1">AVERAGE(OFFSET($R$3,0,0,'Données projet'!$E$9+1,1))-AVERAGE(OFFSET($H$3,0,0,'Données projet'!$E$9+1,1))</f>
        <v>193.8828274189392</v>
      </c>
      <c r="T31" s="59">
        <f t="shared" si="34"/>
        <v>179.13381331066427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13.225714285714288</v>
      </c>
      <c r="AI31" s="13">
        <f>IF('Données projet'!$A$62&gt;35,AI30+AH31-AQ30,IF(A31&lt;'Données projet'!$A$62,$AF$205^A31,IF(A31='Données projet'!$A$62,'Données projet'!$B$62,AI30+AH31-AQ30)))</f>
        <v>108.25714285714284</v>
      </c>
      <c r="AJ31" s="13">
        <f>AI31*VLOOKUP('Données projet'!$B$10,Paramètres!$A$1:$I$89,3,0)*VLOOKUP('Données projet'!$B$10,Paramètres!$A$1:$I$89,5,0)</f>
        <v>64.737771428571421</v>
      </c>
      <c r="AK31" s="13">
        <f t="shared" si="35"/>
        <v>18.360776676259963</v>
      </c>
      <c r="AL31" s="20">
        <f t="shared" si="4"/>
        <v>144.72997128258132</v>
      </c>
      <c r="AM31" s="59">
        <f t="shared" si="5"/>
        <v>435.61886017147015</v>
      </c>
      <c r="AN31" s="59">
        <f ca="1">AVERAGE(OFFSET($AM$3,0,0,'Données projet'!$E$10+1,1))-AVERAGE(OFFSET($H$3,0,0,'Données projet'!$E$10+1,1))</f>
        <v>228.36873053496748</v>
      </c>
      <c r="AO31" s="59">
        <f t="shared" si="36"/>
        <v>177.73676400313303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1.6826088565847563</v>
      </c>
      <c r="AV31" s="21">
        <f>EXP(-LN(2)/25)*AV30+(1-EXP(-LN(2)/25))/(LN(2)/25)*Calculateur!AQ31*Calculateur!AS31*VLOOKUP('Données projet'!$B$10,Paramètres!$A$1:$I$89,3,0)*0.475*44/12</f>
        <v>13.092988033959191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14.775596890543948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110.36376000000004</v>
      </c>
      <c r="BF31" s="13">
        <f t="shared" si="37"/>
        <v>29.416672791139618</v>
      </c>
      <c r="BG31" s="20">
        <f t="shared" si="7"/>
        <v>243.45092044456825</v>
      </c>
      <c r="BH31" s="59">
        <f t="shared" si="8"/>
        <v>534.33980933345708</v>
      </c>
      <c r="BI31" s="59">
        <f ca="1">AVERAGE(OFFSET($BH$3,0,0,'Données projet'!$E$11+1,1))-AVERAGE(OFFSET($H$3,0,0,'Données projet'!$E$11+1,1))</f>
        <v>534.59150243554586</v>
      </c>
      <c r="BJ31" s="59">
        <f t="shared" si="38"/>
        <v>259.04458689606491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94.399999999999991</v>
      </c>
      <c r="BZ31" s="13">
        <f>BY31*VLOOKUP('Données projet'!$B$12,Paramètres!$A$1:$I$89,3,0)*VLOOKUP('Données projet'!$B$12,Paramètres!$A$1:$I$89,5,0)</f>
        <v>82.467839999999995</v>
      </c>
      <c r="CA31" s="13">
        <f t="shared" si="39"/>
        <v>22.739512759227473</v>
      </c>
      <c r="CB31" s="20">
        <f t="shared" si="10"/>
        <v>183.23613938898782</v>
      </c>
      <c r="CC31" s="59">
        <f t="shared" si="11"/>
        <v>474.12502827787671</v>
      </c>
      <c r="CD31" s="59">
        <f ca="1">AVERAGE(OFFSET($CC$3,0,0,'Données projet'!$E$12+1,1))-AVERAGE(OFFSET($H$3,0,0,'Données projet'!$E$12+1,1))</f>
        <v>211.91720528436969</v>
      </c>
      <c r="CE31" s="59">
        <f t="shared" si="40"/>
        <v>218.88548486038957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3.887142857142857</v>
      </c>
      <c r="CT31" s="12">
        <f>IF('Données projet'!$A$140&gt;35,CT30+CS31-DB30,IF(A31&lt;'Données projet'!$A$140,$CQ$205^A31,IF(A31='Données projet'!$A$140,'Données projet'!$B$140,CT30+CS31-DB30)))</f>
        <v>108.84000000000003</v>
      </c>
      <c r="CU31" s="17">
        <f>CT31*VLOOKUP('Données projet'!$B$13,Paramètres!$A$1:$I$89,3,0)*VLOOKUP('Données projet'!$B$13,Paramètres!$A$1:$I$89,5,0)</f>
        <v>98.478432000000026</v>
      </c>
      <c r="CV31" s="13">
        <f t="shared" si="41"/>
        <v>26.599182115615513</v>
      </c>
      <c r="CW31" s="20">
        <f t="shared" si="13"/>
        <v>217.84351125136371</v>
      </c>
      <c r="CX31" s="59">
        <f t="shared" si="14"/>
        <v>508.73240014025259</v>
      </c>
      <c r="CY31" s="59">
        <f ca="1">AVERAGE(OFFSET($CX$3,0,0,'Données projet'!$E$13+1,1))-AVERAGE(OFFSET($H$3,0,0,'Données projet'!$E$13+1,1))</f>
        <v>469.97161976912071</v>
      </c>
      <c r="CZ31" s="59">
        <f t="shared" si="42"/>
        <v>231.65013084759306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3.887142857142857</v>
      </c>
      <c r="DO31" s="12">
        <f>IF('Données projet'!$A$166&gt;35,DO30+DN31-DW30,IF(A31&lt;'Données projet'!$A$166,$DL$205^A31,IF(A31='Données projet'!$A$166,'Données projet'!$B$166,DO30+DN31-DW30)))</f>
        <v>108.84000000000003</v>
      </c>
      <c r="DP31" s="17">
        <f>DO31*VLOOKUP('Données projet'!$B$14,Paramètres!$A$1:$I$89,3,0)*VLOOKUP('Données projet'!$B$14,Paramètres!$A$1:$I$89,5,0)</f>
        <v>105.27004800000003</v>
      </c>
      <c r="DQ31" s="13">
        <f t="shared" si="43"/>
        <v>28.213736415784727</v>
      </c>
      <c r="DR31" s="20">
        <f t="shared" si="16"/>
        <v>232.48425785749177</v>
      </c>
      <c r="DS31" s="59">
        <f t="shared" si="17"/>
        <v>523.3731467463806</v>
      </c>
      <c r="DT31" s="59">
        <f ca="1">AVERAGE(OFFSET($DS$3,0,0,'Données projet'!$E$14+1,1))-AVERAGE(OFFSET($H$3,0,0,'Données projet'!$E$14+1,1))</f>
        <v>506.9153247310901</v>
      </c>
      <c r="DU31" s="59">
        <f t="shared" si="44"/>
        <v>247.31254626788319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4.5262222222222226</v>
      </c>
      <c r="N32" s="13">
        <f>IF('Données projet'!$A$36&gt;35,N31+M32-V31,IF(A32&lt;'Données projet'!$A$36,$K$205^A32,IF(A32='Données projet'!$A$36,'Données projet'!$B$36,N31+M32-V31)))</f>
        <v>131.26044444444437</v>
      </c>
      <c r="O32" s="13">
        <f>N32*VLOOKUP('Données projet'!$B$9,Paramètres!$A$1:$I$89,3,0)*VLOOKUP('Données projet'!$B$9,Paramètres!$A$1:$I$89,5,0)</f>
        <v>78.493745777777747</v>
      </c>
      <c r="P32" s="13">
        <f t="shared" si="33"/>
        <v>21.76849071575446</v>
      </c>
      <c r="Q32" s="20">
        <f t="shared" si="2"/>
        <v>174.62339522623526</v>
      </c>
      <c r="R32" s="59">
        <f t="shared" si="0"/>
        <v>466.73450633734637</v>
      </c>
      <c r="S32" s="59">
        <f ca="1">AVERAGE(OFFSET($R$3,0,0,'Données projet'!$E$9+1,1))-AVERAGE(OFFSET($H$3,0,0,'Données projet'!$E$9+1,1))</f>
        <v>193.8828274189392</v>
      </c>
      <c r="T32" s="59">
        <f t="shared" si="34"/>
        <v>179.13381331066427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13.225714285714288</v>
      </c>
      <c r="AI32" s="13">
        <f>IF('Données projet'!$A$62&gt;35,AI31+AH32-AQ31,IF(A32&lt;'Données projet'!$A$62,$AF$205^A32,IF(A32='Données projet'!$A$62,'Données projet'!$B$62,AI31+AH32-AQ31)))</f>
        <v>121.48285714285713</v>
      </c>
      <c r="AJ32" s="13">
        <f>AI32*VLOOKUP('Données projet'!$B$10,Paramètres!$A$1:$I$89,3,0)*VLOOKUP('Données projet'!$B$10,Paramètres!$A$1:$I$89,5,0)</f>
        <v>72.64674857142856</v>
      </c>
      <c r="AK32" s="13">
        <f t="shared" si="35"/>
        <v>20.3293120778808</v>
      </c>
      <c r="AL32" s="20">
        <f t="shared" si="4"/>
        <v>161.93330563088048</v>
      </c>
      <c r="AM32" s="59">
        <f t="shared" si="5"/>
        <v>454.04441674199165</v>
      </c>
      <c r="AN32" s="59">
        <f ca="1">AVERAGE(OFFSET($AM$3,0,0,'Données projet'!$E$10+1,1))-AVERAGE(OFFSET($H$3,0,0,'Données projet'!$E$10+1,1))</f>
        <v>228.36873053496748</v>
      </c>
      <c r="AO32" s="59">
        <f t="shared" si="36"/>
        <v>177.73676400313303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1.649613923197194</v>
      </c>
      <c r="AV32" s="21">
        <f>EXP(-LN(2)/25)*AV31+(1-EXP(-LN(2)/25))/(LN(2)/25)*Calculateur!AQ32*Calculateur!AS32*VLOOKUP('Données projet'!$B$10,Paramètres!$A$1:$I$89,3,0)*0.475*44/12</f>
        <v>12.73495958764026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14.384573510837454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114.3053228571429</v>
      </c>
      <c r="BF32" s="13">
        <f t="shared" si="37"/>
        <v>30.343074556744043</v>
      </c>
      <c r="BG32" s="20">
        <f t="shared" si="7"/>
        <v>251.92929216251972</v>
      </c>
      <c r="BH32" s="59">
        <f t="shared" si="8"/>
        <v>544.04040327363089</v>
      </c>
      <c r="BI32" s="59">
        <f ca="1">AVERAGE(OFFSET($BH$3,0,0,'Données projet'!$E$11+1,1))-AVERAGE(OFFSET($H$3,0,0,'Données projet'!$E$11+1,1))</f>
        <v>534.59150243554586</v>
      </c>
      <c r="BJ32" s="59">
        <f t="shared" si="38"/>
        <v>259.04458689606491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104.19999999999999</v>
      </c>
      <c r="BZ32" s="13">
        <f>BY32*VLOOKUP('Données projet'!$B$12,Paramètres!$A$1:$I$89,3,0)*VLOOKUP('Données projet'!$B$12,Paramètres!$A$1:$I$89,5,0)</f>
        <v>91.029119999999992</v>
      </c>
      <c r="CA32" s="13">
        <f t="shared" si="39"/>
        <v>24.813259479575809</v>
      </c>
      <c r="CB32" s="20">
        <f t="shared" si="10"/>
        <v>201.75881092692782</v>
      </c>
      <c r="CC32" s="59">
        <f t="shared" si="11"/>
        <v>493.86992203803896</v>
      </c>
      <c r="CD32" s="59">
        <f ca="1">AVERAGE(OFFSET($CC$3,0,0,'Données projet'!$E$12+1,1))-AVERAGE(OFFSET($H$3,0,0,'Données projet'!$E$12+1,1))</f>
        <v>211.91720528436969</v>
      </c>
      <c r="CE32" s="59">
        <f t="shared" si="40"/>
        <v>218.88548486038957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3.887142857142857</v>
      </c>
      <c r="CT32" s="12">
        <f>IF('Données projet'!$A$140&gt;35,CT31+CS32-DB31,IF(A32&lt;'Données projet'!$A$140,$CQ$205^A32,IF(A32='Données projet'!$A$140,'Données projet'!$B$140,CT31+CS32-DB31)))</f>
        <v>112.72714285714289</v>
      </c>
      <c r="CU32" s="17">
        <f>CT32*VLOOKUP('Données projet'!$B$13,Paramètres!$A$1:$I$89,3,0)*VLOOKUP('Données projet'!$B$13,Paramètres!$A$1:$I$89,5,0)</f>
        <v>101.99551885714288</v>
      </c>
      <c r="CV32" s="13">
        <f t="shared" si="41"/>
        <v>27.436854324518826</v>
      </c>
      <c r="CW32" s="20">
        <f t="shared" si="13"/>
        <v>225.4280499580608</v>
      </c>
      <c r="CX32" s="59">
        <f t="shared" si="14"/>
        <v>517.539161069172</v>
      </c>
      <c r="CY32" s="59">
        <f ca="1">AVERAGE(OFFSET($CX$3,0,0,'Données projet'!$E$13+1,1))-AVERAGE(OFFSET($H$3,0,0,'Données projet'!$E$13+1,1))</f>
        <v>469.97161976912071</v>
      </c>
      <c r="CZ32" s="59">
        <f t="shared" si="42"/>
        <v>231.65013084759306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3.887142857142857</v>
      </c>
      <c r="DO32" s="12">
        <f>IF('Données projet'!$A$166&gt;35,DO31+DN32-DW31,IF(A32&lt;'Données projet'!$A$166,$DL$205^A32,IF(A32='Données projet'!$A$166,'Données projet'!$B$166,DO31+DN32-DW31)))</f>
        <v>112.72714285714289</v>
      </c>
      <c r="DP32" s="17">
        <f>DO32*VLOOKUP('Données projet'!$B$14,Paramètres!$A$1:$I$89,3,0)*VLOOKUP('Données projet'!$B$14,Paramètres!$A$1:$I$89,5,0)</f>
        <v>109.02969257142863</v>
      </c>
      <c r="DQ32" s="13">
        <f t="shared" si="43"/>
        <v>29.102254822181546</v>
      </c>
      <c r="DR32" s="20">
        <f t="shared" si="16"/>
        <v>240.57980837720436</v>
      </c>
      <c r="DS32" s="59">
        <f t="shared" si="17"/>
        <v>532.69091948831556</v>
      </c>
      <c r="DT32" s="59">
        <f ca="1">AVERAGE(OFFSET($DS$3,0,0,'Données projet'!$E$14+1,1))-AVERAGE(OFFSET($H$3,0,0,'Données projet'!$E$14+1,1))</f>
        <v>506.9153247310901</v>
      </c>
      <c r="DU32" s="59">
        <f t="shared" si="44"/>
        <v>247.31254626788319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4.5262222222222226</v>
      </c>
      <c r="N33" s="13">
        <f>IF('Données projet'!$A$36&gt;35,N32+M33-V32,IF(A33&lt;'Données projet'!$A$36,$K$205^A33,IF(A33='Données projet'!$A$36,'Données projet'!$B$36,N32+M33-V32)))</f>
        <v>135.7866666666666</v>
      </c>
      <c r="O33" s="13">
        <f>N33*VLOOKUP('Données projet'!$B$9,Paramètres!$A$1:$I$89,3,0)*VLOOKUP('Données projet'!$B$9,Paramètres!$A$1:$I$89,5,0)</f>
        <v>81.200426666666644</v>
      </c>
      <c r="P33" s="13">
        <f t="shared" si="33"/>
        <v>22.430439783556579</v>
      </c>
      <c r="Q33" s="20">
        <f t="shared" si="2"/>
        <v>180.49042573413877</v>
      </c>
      <c r="R33" s="59">
        <f t="shared" si="0"/>
        <v>473.82375906747211</v>
      </c>
      <c r="S33" s="59">
        <f ca="1">AVERAGE(OFFSET($R$3,0,0,'Données projet'!$E$9+1,1))-AVERAGE(OFFSET($H$3,0,0,'Données projet'!$E$9+1,1))</f>
        <v>193.8828274189392</v>
      </c>
      <c r="T33" s="59">
        <f t="shared" si="34"/>
        <v>179.13381331066427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13.225714285714288</v>
      </c>
      <c r="AI33" s="13">
        <f>IF('Données projet'!$A$62&gt;35,AI32+AH33-AQ32,IF(A33&lt;'Données projet'!$A$62,$AF$205^A33,IF(A33='Données projet'!$A$62,'Données projet'!$B$62,AI32+AH33-AQ32)))</f>
        <v>134.70857142857142</v>
      </c>
      <c r="AJ33" s="13">
        <f>AI33*VLOOKUP('Données projet'!$B$10,Paramètres!$A$1:$I$89,3,0)*VLOOKUP('Données projet'!$B$10,Paramètres!$A$1:$I$89,5,0)</f>
        <v>80.555725714285714</v>
      </c>
      <c r="AK33" s="13">
        <f t="shared" si="35"/>
        <v>22.273007162235366</v>
      </c>
      <c r="AL33" s="20">
        <f t="shared" si="4"/>
        <v>179.09337642660753</v>
      </c>
      <c r="AM33" s="59">
        <f t="shared" si="5"/>
        <v>472.42670975994088</v>
      </c>
      <c r="AN33" s="59">
        <f ca="1">AVERAGE(OFFSET($AM$3,0,0,'Données projet'!$E$10+1,1))-AVERAGE(OFFSET($H$3,0,0,'Données projet'!$E$10+1,1))</f>
        <v>228.36873053496748</v>
      </c>
      <c r="AO33" s="59">
        <f t="shared" si="36"/>
        <v>177.73676400313303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1.6172660003284396</v>
      </c>
      <c r="AV33" s="21">
        <f>EXP(-LN(2)/25)*AV32+(1-EXP(-LN(2)/25))/(LN(2)/25)*Calculateur!AQ33*Calculateur!AS33*VLOOKUP('Données projet'!$B$10,Paramètres!$A$1:$I$89,3,0)*0.475*44/12</f>
        <v>12.386721448013818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14.003987448342258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118.24688571428577</v>
      </c>
      <c r="BF33" s="13">
        <f t="shared" si="37"/>
        <v>31.265764612722538</v>
      </c>
      <c r="BG33" s="20">
        <f t="shared" si="7"/>
        <v>260.40119931953944</v>
      </c>
      <c r="BH33" s="59">
        <f t="shared" si="8"/>
        <v>553.73453265287276</v>
      </c>
      <c r="BI33" s="59">
        <f ca="1">AVERAGE(OFFSET($BH$3,0,0,'Données projet'!$E$11+1,1))-AVERAGE(OFFSET($H$3,0,0,'Données projet'!$E$11+1,1))</f>
        <v>534.59150243554586</v>
      </c>
      <c r="BJ33" s="59">
        <f t="shared" si="38"/>
        <v>259.04458689606491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114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113.99999999999999</v>
      </c>
      <c r="BZ33" s="13">
        <f>BY33*VLOOKUP('Données projet'!$B$12,Paramètres!$A$1:$I$89,3,0)*VLOOKUP('Données projet'!$B$12,Paramètres!$A$1:$I$89,5,0)</f>
        <v>99.590400000000002</v>
      </c>
      <c r="CA33" s="13">
        <f t="shared" si="39"/>
        <v>26.864392698869324</v>
      </c>
      <c r="CB33" s="20">
        <f t="shared" si="10"/>
        <v>220.24209728386407</v>
      </c>
      <c r="CC33" s="59">
        <f t="shared" si="11"/>
        <v>513.57543061719741</v>
      </c>
      <c r="CD33" s="59">
        <f ca="1">AVERAGE(OFFSET($CC$3,0,0,'Données projet'!$E$12+1,1))-AVERAGE(OFFSET($H$3,0,0,'Données projet'!$E$12+1,1))</f>
        <v>211.91720528436969</v>
      </c>
      <c r="CE33" s="59">
        <f t="shared" si="40"/>
        <v>218.88548486038957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3.887142857142857</v>
      </c>
      <c r="CT33" s="12">
        <f>IF('Données projet'!$A$140&gt;35,CT32+CS33-DB32,IF(A33&lt;'Données projet'!$A$140,$CQ$205^A33,IF(A33='Données projet'!$A$140,'Données projet'!$B$140,CT32+CS33-DB32)))</f>
        <v>116.61428571428576</v>
      </c>
      <c r="CU33" s="17">
        <f>CT33*VLOOKUP('Données projet'!$B$13,Paramètres!$A$1:$I$89,3,0)*VLOOKUP('Données projet'!$B$13,Paramètres!$A$1:$I$89,5,0)</f>
        <v>105.51260571428575</v>
      </c>
      <c r="CV33" s="13">
        <f t="shared" si="41"/>
        <v>28.271170326518615</v>
      </c>
      <c r="CW33" s="20">
        <f t="shared" si="13"/>
        <v>233.00674327106756</v>
      </c>
      <c r="CX33" s="59">
        <f t="shared" si="14"/>
        <v>526.34007660440091</v>
      </c>
      <c r="CY33" s="59">
        <f ca="1">AVERAGE(OFFSET($CX$3,0,0,'Données projet'!$E$13+1,1))-AVERAGE(OFFSET($H$3,0,0,'Données projet'!$E$13+1,1))</f>
        <v>469.97161976912071</v>
      </c>
      <c r="CZ33" s="59">
        <f t="shared" si="42"/>
        <v>231.65013084759306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3.887142857142857</v>
      </c>
      <c r="DO33" s="12">
        <f>IF('Données projet'!$A$166&gt;35,DO32+DN33-DW32,IF(A33&lt;'Données projet'!$A$166,$DL$205^A33,IF(A33='Données projet'!$A$166,'Données projet'!$B$166,DO32+DN33-DW32)))</f>
        <v>116.61428571428576</v>
      </c>
      <c r="DP33" s="17">
        <f>DO33*VLOOKUP('Données projet'!$B$14,Paramètres!$A$1:$I$89,3,0)*VLOOKUP('Données projet'!$B$14,Paramètres!$A$1:$I$89,5,0)</f>
        <v>112.78933714285719</v>
      </c>
      <c r="DQ33" s="13">
        <f t="shared" si="43"/>
        <v>29.987213301941502</v>
      </c>
      <c r="DR33" s="20">
        <f t="shared" si="16"/>
        <v>248.66915869135769</v>
      </c>
      <c r="DS33" s="59">
        <f t="shared" si="17"/>
        <v>542.00249202469104</v>
      </c>
      <c r="DT33" s="59">
        <f ca="1">AVERAGE(OFFSET($DS$3,0,0,'Données projet'!$E$14+1,1))-AVERAGE(OFFSET($H$3,0,0,'Données projet'!$E$14+1,1))</f>
        <v>506.9153247310901</v>
      </c>
      <c r="DU33" s="59">
        <f t="shared" si="44"/>
        <v>247.31254626788319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4.5262222222222226</v>
      </c>
      <c r="N34" s="13">
        <f>IF('Données projet'!$A$36&gt;35,N33+M34-V33,IF(A34&lt;'Données projet'!$A$36,$K$205^A34,IF(A34='Données projet'!$A$36,'Données projet'!$B$36,N33+M34-V33)))</f>
        <v>140.31288888888884</v>
      </c>
      <c r="O34" s="13">
        <f>N34*VLOOKUP('Données projet'!$B$9,Paramètres!$A$1:$I$89,3,0)*VLOOKUP('Données projet'!$B$9,Paramètres!$A$1:$I$89,5,0)</f>
        <v>83.907107555555541</v>
      </c>
      <c r="P34" s="13">
        <f t="shared" si="33"/>
        <v>23.089824963572603</v>
      </c>
      <c r="Q34" s="20">
        <f t="shared" si="2"/>
        <v>186.35299080414816</v>
      </c>
      <c r="R34" s="59">
        <f t="shared" si="0"/>
        <v>479.68632413748151</v>
      </c>
      <c r="S34" s="59">
        <f ca="1">AVERAGE(OFFSET($R$3,0,0,'Données projet'!$E$9+1,1))-AVERAGE(OFFSET($H$3,0,0,'Données projet'!$E$9+1,1))</f>
        <v>193.8828274189392</v>
      </c>
      <c r="T34" s="59">
        <f t="shared" si="34"/>
        <v>179.13381331066427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13.225714285714288</v>
      </c>
      <c r="AI34" s="13">
        <f>IF('Données projet'!$A$62&gt;35,AI33+AH34-AQ33,IF(A34&lt;'Données projet'!$A$62,$AF$205^A34,IF(A34='Données projet'!$A$62,'Données projet'!$B$62,AI33+AH34-AQ33)))</f>
        <v>147.93428571428569</v>
      </c>
      <c r="AJ34" s="13">
        <f>AI34*VLOOKUP('Données projet'!$B$10,Paramètres!$A$1:$I$89,3,0)*VLOOKUP('Données projet'!$B$10,Paramètres!$A$1:$I$89,5,0)</f>
        <v>88.464702857142854</v>
      </c>
      <c r="AK34" s="13">
        <f t="shared" si="35"/>
        <v>24.1945783177779</v>
      </c>
      <c r="AL34" s="20">
        <f t="shared" si="4"/>
        <v>196.214914712987</v>
      </c>
      <c r="AM34" s="59">
        <f t="shared" si="5"/>
        <v>489.54824804632028</v>
      </c>
      <c r="AN34" s="59">
        <f ca="1">AVERAGE(OFFSET($AM$3,0,0,'Données projet'!$E$10+1,1))-AVERAGE(OFFSET($H$3,0,0,'Données projet'!$E$10+1,1))</f>
        <v>228.36873053496748</v>
      </c>
      <c r="AO34" s="59">
        <f t="shared" si="36"/>
        <v>177.73676400313303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1.5855524004968566</v>
      </c>
      <c r="AV34" s="21">
        <f>EXP(-LN(2)/25)*AV33+(1-EXP(-LN(2)/25))/(LN(2)/25)*Calculateur!AQ34*Calculateur!AS34*VLOOKUP('Données projet'!$B$10,Paramètres!$A$1:$I$89,3,0)*0.475*44/12</f>
        <v>12.048005898628508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13.633558299125365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122.18844857142862</v>
      </c>
      <c r="BF34" s="13">
        <f t="shared" si="37"/>
        <v>32.184880868419519</v>
      </c>
      <c r="BG34" s="20">
        <f t="shared" si="7"/>
        <v>268.86688210773553</v>
      </c>
      <c r="BH34" s="59">
        <f t="shared" si="8"/>
        <v>562.20021544106885</v>
      </c>
      <c r="BI34" s="59">
        <f ca="1">AVERAGE(OFFSET($BH$3,0,0,'Données projet'!$E$11+1,1))-AVERAGE(OFFSET($H$3,0,0,'Données projet'!$E$11+1,1))</f>
        <v>534.59150243554586</v>
      </c>
      <c r="BJ34" s="59">
        <f t="shared" si="38"/>
        <v>259.04458689606491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8.6</v>
      </c>
      <c r="BY34" s="12">
        <f>IF('Données projet'!$A$114&gt;35,BY33+BX34-CG33,IF(A34&lt;'Données projet'!$A$114,$BV$205^A34,IF(A34='Données projet'!$A$114,'Données projet'!$B$114,BY33+BX34-CG33)))</f>
        <v>101.59999999999998</v>
      </c>
      <c r="BZ34" s="13">
        <f>BY34*VLOOKUP('Données projet'!$B$12,Paramètres!$A$1:$I$89,3,0)*VLOOKUP('Données projet'!$B$12,Paramètres!$A$1:$I$89,5,0)</f>
        <v>88.75775999999999</v>
      </c>
      <c r="CA34" s="13">
        <f t="shared" si="39"/>
        <v>24.265384701755004</v>
      </c>
      <c r="CB34" s="20">
        <f t="shared" si="10"/>
        <v>196.84864368888995</v>
      </c>
      <c r="CC34" s="59">
        <f t="shared" si="11"/>
        <v>490.18197702222324</v>
      </c>
      <c r="CD34" s="59">
        <f ca="1">AVERAGE(OFFSET($CC$3,0,0,'Données projet'!$E$12+1,1))-AVERAGE(OFFSET($H$3,0,0,'Données projet'!$E$12+1,1))</f>
        <v>211.91720528436969</v>
      </c>
      <c r="CE34" s="59">
        <f t="shared" si="40"/>
        <v>218.88548486038957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3.887142857142857</v>
      </c>
      <c r="CT34" s="12">
        <f>IF('Données projet'!$A$140&gt;35,CT33+CS34-DB33,IF(A34&lt;'Données projet'!$A$140,$CQ$205^A34,IF(A34='Données projet'!$A$140,'Données projet'!$B$140,CT33+CS34-DB33)))</f>
        <v>120.50142857142862</v>
      </c>
      <c r="CU34" s="17">
        <f>CT34*VLOOKUP('Données projet'!$B$13,Paramètres!$A$1:$I$89,3,0)*VLOOKUP('Données projet'!$B$13,Paramètres!$A$1:$I$89,5,0)</f>
        <v>109.02969257142863</v>
      </c>
      <c r="CV34" s="13">
        <f t="shared" si="41"/>
        <v>29.102254822181546</v>
      </c>
      <c r="CW34" s="20">
        <f t="shared" si="13"/>
        <v>240.57980837720436</v>
      </c>
      <c r="CX34" s="59">
        <f t="shared" si="14"/>
        <v>533.91314171053773</v>
      </c>
      <c r="CY34" s="59">
        <f ca="1">AVERAGE(OFFSET($CX$3,0,0,'Données projet'!$E$13+1,1))-AVERAGE(OFFSET($H$3,0,0,'Données projet'!$E$13+1,1))</f>
        <v>469.97161976912071</v>
      </c>
      <c r="CZ34" s="59">
        <f t="shared" si="42"/>
        <v>231.65013084759306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3.887142857142857</v>
      </c>
      <c r="DO34" s="12">
        <f>IF('Données projet'!$A$166&gt;35,DO33+DN34-DW33,IF(A34&lt;'Données projet'!$A$166,$DL$205^A34,IF(A34='Données projet'!$A$166,'Données projet'!$B$166,DO33+DN34-DW33)))</f>
        <v>120.50142857142862</v>
      </c>
      <c r="DP34" s="17">
        <f>DO34*VLOOKUP('Données projet'!$B$14,Paramètres!$A$1:$I$89,3,0)*VLOOKUP('Données projet'!$B$14,Paramètres!$A$1:$I$89,5,0)</f>
        <v>116.54898171428576</v>
      </c>
      <c r="DQ34" s="13">
        <f t="shared" si="43"/>
        <v>30.868744124880426</v>
      </c>
      <c r="DR34" s="20">
        <f t="shared" si="16"/>
        <v>256.75253916988112</v>
      </c>
      <c r="DS34" s="59">
        <f t="shared" si="17"/>
        <v>550.08587250321443</v>
      </c>
      <c r="DT34" s="59">
        <f ca="1">AVERAGE(OFFSET($DS$3,0,0,'Données projet'!$E$14+1,1))-AVERAGE(OFFSET($H$3,0,0,'Données projet'!$E$14+1,1))</f>
        <v>506.9153247310901</v>
      </c>
      <c r="DU34" s="59">
        <f t="shared" si="44"/>
        <v>247.31254626788319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4.5262222222222226</v>
      </c>
      <c r="N35" s="13">
        <f>IF('Données projet'!$A$36&gt;35,N34+M35-V34,IF(A35&lt;'Données projet'!$A$36,$K$205^A35,IF(A35='Données projet'!$A$36,'Données projet'!$B$36,N34+M35-V34)))</f>
        <v>144.83911111111107</v>
      </c>
      <c r="O35" s="13">
        <f>N35*VLOOKUP('Données projet'!$B$9,Paramètres!$A$1:$I$89,3,0)*VLOOKUP('Données projet'!$B$9,Paramètres!$A$1:$I$89,5,0)</f>
        <v>86.613788444444424</v>
      </c>
      <c r="P35" s="13">
        <f t="shared" si="33"/>
        <v>23.746738448173325</v>
      </c>
      <c r="Q35" s="20">
        <f t="shared" ref="Q35:Q66" si="53">(O35+P35)*0.475*44/12</f>
        <v>192.21125100464255</v>
      </c>
      <c r="R35" s="59">
        <f t="shared" si="0"/>
        <v>485.54458433797583</v>
      </c>
      <c r="S35" s="59">
        <f ca="1">AVERAGE(OFFSET($R$3,0,0,'Données projet'!$E$9+1,1))-AVERAGE(OFFSET($H$3,0,0,'Données projet'!$E$9+1,1))</f>
        <v>193.8828274189392</v>
      </c>
      <c r="T35" s="59">
        <f t="shared" si="34"/>
        <v>179.13381331066427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161.16</v>
      </c>
      <c r="AG35" s="12">
        <f>VLOOKUP(A35,'Données projet'!$A$61:$I$81,9,0)</f>
        <v>13.225714285714288</v>
      </c>
      <c r="AH35" s="12">
        <f t="array" ref="AH35">INDEX(AG:AG,MIN(IF(ISNUMBER(AG35:AG231),ROW(AG35:AG231),"")))</f>
        <v>13.225714285714288</v>
      </c>
      <c r="AI35" s="13">
        <f>IF('Données projet'!$A$62&gt;35,AI34+AH35-AQ34,IF(A35&lt;'Données projet'!$A$62,$AF$205^A35,IF(A35='Données projet'!$A$62,'Données projet'!$B$62,AI34+AH35-AQ34)))</f>
        <v>161.15999999999997</v>
      </c>
      <c r="AJ35" s="13">
        <f>AI35*VLOOKUP('Données projet'!$B$10,Paramètres!$A$1:$I$89,3,0)*VLOOKUP('Données projet'!$B$10,Paramètres!$A$1:$I$89,5,0)</f>
        <v>96.373679999999993</v>
      </c>
      <c r="AK35" s="13">
        <f t="shared" si="35"/>
        <v>26.09622840532715</v>
      </c>
      <c r="AL35" s="20">
        <f t="shared" si="4"/>
        <v>213.30175713927812</v>
      </c>
      <c r="AM35" s="59">
        <f t="shared" si="5"/>
        <v>506.63509047261141</v>
      </c>
      <c r="AN35" s="59">
        <f ca="1">AVERAGE(OFFSET($AM$3,0,0,'Données projet'!$E$10+1,1))-AVERAGE(OFFSET($H$3,0,0,'Données projet'!$E$10+1,1))</f>
        <v>228.36873053496748</v>
      </c>
      <c r="AO35" s="59">
        <f t="shared" si="36"/>
        <v>177.73676400313303</v>
      </c>
      <c r="AP35" s="15">
        <f>IF(ISNA(VLOOKUP(A35,'Données projet'!$A$61:$I$81,3,0)),0,VLOOKUP(A35,'Données projet'!$A$61:$I$81,3,0))</f>
        <v>2</v>
      </c>
      <c r="AQ35" s="15">
        <f>IF(ISNA(VLOOKUP(A35,'Données projet'!$A$61:$I$81,4,0)),0,VLOOKUP(A35,'Données projet'!$A$61:$I$81,4,0))</f>
        <v>45.68</v>
      </c>
      <c r="AR35" s="16">
        <f>IF(ISNA(VLOOKUP(A35,'Données projet'!$A$61:$I$81,5,0)),0%,VLOOKUP(A35,'Données projet'!$A$61:$I$81,5,0)*VLOOKUP('Données projet'!$B$10,Paramètres!$A$1:$I$89,7,0))</f>
        <v>0.13500000000000001</v>
      </c>
      <c r="AS35" s="16">
        <f>IF(ISNA(VLOOKUP(A35,'Données projet'!$A$61:$I$81,6,0)),0%,VLOOKUP(A35,'Données projet'!$A$61:$I$81,6,0)*VLOOKUP('Données projet'!$B$10,Paramètres!$A$1:$I$89,7,0))</f>
        <v>0.22500000000000001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6.4464939799297101</v>
      </c>
      <c r="AV35" s="21">
        <f>EXP(-LN(2)/25)*AV34+(1-EXP(-LN(2)/25))/(LN(2)/25)*Calculateur!AQ35*Calculateur!AS35*VLOOKUP('Données projet'!$B$10,Paramètres!$A$1:$I$89,3,0)*0.475*44/12</f>
        <v>19.839838370123793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26.286332350053502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126.13001142857149</v>
      </c>
      <c r="BF35" s="13">
        <f t="shared" si="37"/>
        <v>33.100551830676153</v>
      </c>
      <c r="BG35" s="20">
        <f t="shared" si="7"/>
        <v>277.32656434318966</v>
      </c>
      <c r="BH35" s="59">
        <f t="shared" si="8"/>
        <v>570.65989767652297</v>
      </c>
      <c r="BI35" s="59">
        <f ca="1">AVERAGE(OFFSET($BH$3,0,0,'Données projet'!$E$11+1,1))-AVERAGE(OFFSET($H$3,0,0,'Données projet'!$E$11+1,1))</f>
        <v>534.59150243554586</v>
      </c>
      <c r="BJ35" s="59">
        <f t="shared" si="38"/>
        <v>259.04458689606491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8.6</v>
      </c>
      <c r="BY35" s="12">
        <f>IF('Données projet'!$A$114&gt;35,BY34+BX35-CG34,IF(A35&lt;'Données projet'!$A$114,$BV$205^A35,IF(A35='Données projet'!$A$114,'Données projet'!$B$114,BY34+BX35-CG34)))</f>
        <v>110.19999999999997</v>
      </c>
      <c r="BZ35" s="13">
        <f>BY35*VLOOKUP('Données projet'!$B$12,Paramètres!$A$1:$I$89,3,0)*VLOOKUP('Données projet'!$B$12,Paramètres!$A$1:$I$89,5,0)</f>
        <v>96.270719999999983</v>
      </c>
      <c r="CA35" s="13">
        <f t="shared" si="39"/>
        <v>26.071592384845928</v>
      </c>
      <c r="CB35" s="20">
        <f t="shared" si="10"/>
        <v>213.07952740360665</v>
      </c>
      <c r="CC35" s="59">
        <f t="shared" si="11"/>
        <v>506.41286073693993</v>
      </c>
      <c r="CD35" s="59">
        <f ca="1">AVERAGE(OFFSET($CC$3,0,0,'Données projet'!$E$12+1,1))-AVERAGE(OFFSET($H$3,0,0,'Données projet'!$E$12+1,1))</f>
        <v>211.91720528436969</v>
      </c>
      <c r="CE35" s="59">
        <f t="shared" si="40"/>
        <v>218.88548486038957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3.887142857142857</v>
      </c>
      <c r="CT35" s="12">
        <f>IF('Données projet'!$A$140&gt;35,CT34+CS35-DB34,IF(A35&lt;'Données projet'!$A$140,$CQ$205^A35,IF(A35='Données projet'!$A$140,'Données projet'!$B$140,CT34+CS35-DB34)))</f>
        <v>124.38857142857148</v>
      </c>
      <c r="CU35" s="17">
        <f>CT35*VLOOKUP('Données projet'!$B$13,Paramètres!$A$1:$I$89,3,0)*VLOOKUP('Données projet'!$B$13,Paramètres!$A$1:$I$89,5,0)</f>
        <v>112.54677942857147</v>
      </c>
      <c r="CV35" s="13">
        <f t="shared" si="41"/>
        <v>29.930224010130704</v>
      </c>
      <c r="CW35" s="20">
        <f t="shared" si="13"/>
        <v>248.14744765573963</v>
      </c>
      <c r="CX35" s="59">
        <f t="shared" si="14"/>
        <v>541.48078098907297</v>
      </c>
      <c r="CY35" s="59">
        <f ca="1">AVERAGE(OFFSET($CX$3,0,0,'Données projet'!$E$13+1,1))-AVERAGE(OFFSET($H$3,0,0,'Données projet'!$E$13+1,1))</f>
        <v>469.97161976912071</v>
      </c>
      <c r="CZ35" s="59">
        <f t="shared" si="42"/>
        <v>231.65013084759306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3.887142857142857</v>
      </c>
      <c r="DO35" s="12">
        <f>IF('Données projet'!$A$166&gt;35,DO34+DN35-DW34,IF(A35&lt;'Données projet'!$A$166,$DL$205^A35,IF(A35='Données projet'!$A$166,'Données projet'!$B$166,DO34+DN35-DW34)))</f>
        <v>124.38857142857148</v>
      </c>
      <c r="DP35" s="17">
        <f>DO35*VLOOKUP('Données projet'!$B$14,Paramètres!$A$1:$I$89,3,0)*VLOOKUP('Données projet'!$B$14,Paramètres!$A$1:$I$89,5,0)</f>
        <v>120.30862628571434</v>
      </c>
      <c r="DQ35" s="13">
        <f t="shared" si="43"/>
        <v>31.746970542807571</v>
      </c>
      <c r="DR35" s="20">
        <f t="shared" si="16"/>
        <v>264.8301644763423</v>
      </c>
      <c r="DS35" s="59">
        <f t="shared" si="17"/>
        <v>558.16349780967562</v>
      </c>
      <c r="DT35" s="59">
        <f ca="1">AVERAGE(OFFSET($DS$3,0,0,'Données projet'!$E$14+1,1))-AVERAGE(OFFSET($H$3,0,0,'Données projet'!$E$14+1,1))</f>
        <v>506.9153247310901</v>
      </c>
      <c r="DU35" s="59">
        <f t="shared" si="44"/>
        <v>247.31254626788319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4.5262222222222226</v>
      </c>
      <c r="N36" s="13">
        <f>IF('Données projet'!$A$36&gt;35,N35+M36-V35,IF(A36&lt;'Données projet'!$A$36,$K$205^A36,IF(A36='Données projet'!$A$36,'Données projet'!$B$36,N35+M36-V35)))</f>
        <v>149.3653333333333</v>
      </c>
      <c r="O36" s="13">
        <f>N36*VLOOKUP('Données projet'!$B$9,Paramètres!$A$1:$I$89,3,0)*VLOOKUP('Données projet'!$B$9,Paramètres!$A$1:$I$89,5,0)</f>
        <v>89.320469333333321</v>
      </c>
      <c r="P36" s="13">
        <f t="shared" si="33"/>
        <v>24.401266340425522</v>
      </c>
      <c r="Q36" s="20">
        <f t="shared" si="53"/>
        <v>198.06535629846334</v>
      </c>
      <c r="R36" s="59">
        <f t="shared" si="0"/>
        <v>491.39868963179663</v>
      </c>
      <c r="S36" s="59">
        <f ca="1">AVERAGE(OFFSET($R$3,0,0,'Données projet'!$E$9+1,1))-AVERAGE(OFFSET($H$3,0,0,'Données projet'!$E$9+1,1))</f>
        <v>193.8828274189392</v>
      </c>
      <c r="T36" s="59">
        <f t="shared" si="34"/>
        <v>179.13381331066427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13.7775</v>
      </c>
      <c r="AI36" s="13">
        <f>IF('Données projet'!$A$62&gt;35,AI35+AH36-AQ35,IF(A36&lt;'Données projet'!$A$62,$AF$205^A36,IF(A36='Données projet'!$A$62,'Données projet'!$B$62,AI35+AH36-AQ35)))</f>
        <v>129.25749999999996</v>
      </c>
      <c r="AJ36" s="13">
        <f>AI36*VLOOKUP('Données projet'!$B$10,Paramètres!$A$1:$I$89,3,0)*VLOOKUP('Données projet'!$B$10,Paramètres!$A$1:$I$89,5,0)</f>
        <v>77.295984999999988</v>
      </c>
      <c r="AK36" s="13">
        <f t="shared" si="35"/>
        <v>21.474721159279436</v>
      </c>
      <c r="AL36" s="20">
        <f t="shared" si="4"/>
        <v>172.025646560745</v>
      </c>
      <c r="AM36" s="59">
        <f t="shared" si="5"/>
        <v>465.35897989407829</v>
      </c>
      <c r="AN36" s="59">
        <f ca="1">AVERAGE(OFFSET($AM$3,0,0,'Données projet'!$E$10+1,1))-AVERAGE(OFFSET($H$3,0,0,'Données projet'!$E$10+1,1))</f>
        <v>228.36873053496748</v>
      </c>
      <c r="AO36" s="59">
        <f t="shared" si="36"/>
        <v>177.73676400313303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6.3200821649563661</v>
      </c>
      <c r="AV36" s="21">
        <f>EXP(-LN(2)/25)*AV35+(1-EXP(-LN(2)/25))/(LN(2)/25)*Calculateur!AQ36*Calculateur!AS36*VLOOKUP('Données projet'!$B$10,Paramètres!$A$1:$I$89,3,0)*0.475*44/12</f>
        <v>19.297316946561004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25.617399111517372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130.07157428571435</v>
      </c>
      <c r="BF36" s="13">
        <f t="shared" si="37"/>
        <v>34.012897518459816</v>
      </c>
      <c r="BG36" s="20">
        <f t="shared" si="7"/>
        <v>285.78045505893664</v>
      </c>
      <c r="BH36" s="59">
        <f t="shared" si="8"/>
        <v>579.11378839226995</v>
      </c>
      <c r="BI36" s="59">
        <f ca="1">AVERAGE(OFFSET($BH$3,0,0,'Données projet'!$E$11+1,1))-AVERAGE(OFFSET($H$3,0,0,'Données projet'!$E$11+1,1))</f>
        <v>534.59150243554586</v>
      </c>
      <c r="BJ36" s="59">
        <f t="shared" si="38"/>
        <v>259.04458689606491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8.6</v>
      </c>
      <c r="BY36" s="12">
        <f>IF('Données projet'!$A$114&gt;35,BY35+BX36-CG35,IF(A36&lt;'Données projet'!$A$114,$BV$205^A36,IF(A36='Données projet'!$A$114,'Données projet'!$B$114,BY35+BX36-CG35)))</f>
        <v>118.79999999999997</v>
      </c>
      <c r="BZ36" s="13">
        <f>BY36*VLOOKUP('Données projet'!$B$12,Paramètres!$A$1:$I$89,3,0)*VLOOKUP('Données projet'!$B$12,Paramètres!$A$1:$I$89,5,0)</f>
        <v>103.78367999999999</v>
      </c>
      <c r="CA36" s="13">
        <f t="shared" si="39"/>
        <v>27.861449539780477</v>
      </c>
      <c r="CB36" s="20">
        <f t="shared" si="10"/>
        <v>229.28193394845096</v>
      </c>
      <c r="CC36" s="59">
        <f t="shared" si="11"/>
        <v>522.61526728178433</v>
      </c>
      <c r="CD36" s="59">
        <f ca="1">AVERAGE(OFFSET($CC$3,0,0,'Données projet'!$E$12+1,1))-AVERAGE(OFFSET($H$3,0,0,'Données projet'!$E$12+1,1))</f>
        <v>211.91720528436969</v>
      </c>
      <c r="CE36" s="59">
        <f t="shared" si="40"/>
        <v>218.88548486038957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3.887142857142857</v>
      </c>
      <c r="CT36" s="12">
        <f>IF('Données projet'!$A$140&gt;35,CT35+CS36-DB35,IF(A36&lt;'Données projet'!$A$140,$CQ$205^A36,IF(A36='Données projet'!$A$140,'Données projet'!$B$140,CT35+CS36-DB35)))</f>
        <v>128.27571428571434</v>
      </c>
      <c r="CU36" s="17">
        <f>CT36*VLOOKUP('Données projet'!$B$13,Paramètres!$A$1:$I$89,3,0)*VLOOKUP('Données projet'!$B$13,Paramètres!$A$1:$I$89,5,0)</f>
        <v>116.06386628571434</v>
      </c>
      <c r="CV36" s="13">
        <f t="shared" si="41"/>
        <v>30.755186414072718</v>
      </c>
      <c r="CW36" s="20">
        <f t="shared" si="13"/>
        <v>255.70985011879577</v>
      </c>
      <c r="CX36" s="59">
        <f t="shared" si="14"/>
        <v>549.04318345212914</v>
      </c>
      <c r="CY36" s="59">
        <f ca="1">AVERAGE(OFFSET($CX$3,0,0,'Données projet'!$E$13+1,1))-AVERAGE(OFFSET($H$3,0,0,'Données projet'!$E$13+1,1))</f>
        <v>469.97161976912071</v>
      </c>
      <c r="CZ36" s="59">
        <f t="shared" si="42"/>
        <v>231.65013084759306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3.887142857142857</v>
      </c>
      <c r="DO36" s="12">
        <f>IF('Données projet'!$A$166&gt;35,DO35+DN36-DW35,IF(A36&lt;'Données projet'!$A$166,$DL$205^A36,IF(A36='Données projet'!$A$166,'Données projet'!$B$166,DO35+DN36-DW35)))</f>
        <v>128.27571428571434</v>
      </c>
      <c r="DP36" s="17">
        <f>DO36*VLOOKUP('Données projet'!$B$14,Paramètres!$A$1:$I$89,3,0)*VLOOKUP('Données projet'!$B$14,Paramètres!$A$1:$I$89,5,0)</f>
        <v>124.06827085714291</v>
      </c>
      <c r="DQ36" s="13">
        <f t="shared" si="43"/>
        <v>32.622007666753092</v>
      </c>
      <c r="DR36" s="20">
        <f t="shared" si="16"/>
        <v>272.9022350957855</v>
      </c>
      <c r="DS36" s="59">
        <f t="shared" si="17"/>
        <v>566.23556842911876</v>
      </c>
      <c r="DT36" s="59">
        <f ca="1">AVERAGE(OFFSET($DS$3,0,0,'Données projet'!$E$14+1,1))-AVERAGE(OFFSET($H$3,0,0,'Données projet'!$E$14+1,1))</f>
        <v>506.9153247310901</v>
      </c>
      <c r="DU36" s="59">
        <f t="shared" si="44"/>
        <v>247.31254626788319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4.5262222222222226</v>
      </c>
      <c r="N37" s="13">
        <f>IF('Données projet'!$A$36&gt;35,N36+M37-V36,IF(A37&lt;'Données projet'!$A$36,$K$205^A37,IF(A37='Données projet'!$A$36,'Données projet'!$B$36,N36+M37-V36)))</f>
        <v>153.89155555555553</v>
      </c>
      <c r="O37" s="13">
        <f>N37*VLOOKUP('Données projet'!$B$9,Paramètres!$A$1:$I$89,3,0)*VLOOKUP('Données projet'!$B$9,Paramètres!$A$1:$I$89,5,0)</f>
        <v>92.027150222222218</v>
      </c>
      <c r="P37" s="13">
        <f t="shared" si="33"/>
        <v>25.053489228488424</v>
      </c>
      <c r="Q37" s="20">
        <f t="shared" si="53"/>
        <v>203.91544704332102</v>
      </c>
      <c r="R37" s="59">
        <f t="shared" si="0"/>
        <v>497.24878037665434</v>
      </c>
      <c r="S37" s="59">
        <f ca="1">AVERAGE(OFFSET($R$3,0,0,'Données projet'!$E$9+1,1))-AVERAGE(OFFSET($H$3,0,0,'Données projet'!$E$9+1,1))</f>
        <v>193.8828274189392</v>
      </c>
      <c r="T37" s="59">
        <f t="shared" si="34"/>
        <v>179.13381331066427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13.7775</v>
      </c>
      <c r="AI37" s="13">
        <f>IF('Données projet'!$A$62&gt;35,AI36+AH37-AQ36,IF(A37&lt;'Données projet'!$A$62,$AF$205^A37,IF(A37='Données projet'!$A$62,'Données projet'!$B$62,AI36+AH37-AQ36)))</f>
        <v>143.03499999999997</v>
      </c>
      <c r="AJ37" s="13">
        <f>AI37*VLOOKUP('Données projet'!$B$10,Paramètres!$A$1:$I$89,3,0)*VLOOKUP('Données projet'!$B$10,Paramètres!$A$1:$I$89,5,0)</f>
        <v>85.534929999999974</v>
      </c>
      <c r="AK37" s="13">
        <f t="shared" si="35"/>
        <v>23.485189308025213</v>
      </c>
      <c r="AL37" s="20">
        <f t="shared" si="4"/>
        <v>189.87670779481053</v>
      </c>
      <c r="AM37" s="59">
        <f t="shared" si="5"/>
        <v>483.21004112814387</v>
      </c>
      <c r="AN37" s="59">
        <f ca="1">AVERAGE(OFFSET($AM$3,0,0,'Données projet'!$E$10+1,1))-AVERAGE(OFFSET($H$3,0,0,'Données projet'!$E$10+1,1))</f>
        <v>228.36873053496748</v>
      </c>
      <c r="AO37" s="59">
        <f t="shared" si="36"/>
        <v>177.73676400313303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6.1961492085710557</v>
      </c>
      <c r="AV37" s="21">
        <f>EXP(-LN(2)/25)*AV36+(1-EXP(-LN(2)/25))/(LN(2)/25)*Calculateur!AQ37*Calculateur!AS37*VLOOKUP('Données projet'!$B$10,Paramètres!$A$1:$I$89,3,0)*0.475*44/12</f>
        <v>18.769630799855499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24.965780008426556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134.0131371428572</v>
      </c>
      <c r="BF37" s="13">
        <f t="shared" si="37"/>
        <v>34.92203026351433</v>
      </c>
      <c r="BG37" s="20">
        <f t="shared" si="7"/>
        <v>294.2287498994304</v>
      </c>
      <c r="BH37" s="59">
        <f t="shared" si="8"/>
        <v>587.56208323276371</v>
      </c>
      <c r="BI37" s="59">
        <f ca="1">AVERAGE(OFFSET($BH$3,0,0,'Données projet'!$E$11+1,1))-AVERAGE(OFFSET($H$3,0,0,'Données projet'!$E$11+1,1))</f>
        <v>534.59150243554586</v>
      </c>
      <c r="BJ37" s="59">
        <f t="shared" si="38"/>
        <v>259.04458689606491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8.6</v>
      </c>
      <c r="BY37" s="12">
        <f>IF('Données projet'!$A$114&gt;35,BY36+BX37-CG36,IF(A37&lt;'Données projet'!$A$114,$BV$205^A37,IF(A37='Données projet'!$A$114,'Données projet'!$B$114,BY36+BX37-CG36)))</f>
        <v>127.39999999999996</v>
      </c>
      <c r="BZ37" s="13">
        <f>BY37*VLOOKUP('Données projet'!$B$12,Paramètres!$A$1:$I$89,3,0)*VLOOKUP('Données projet'!$B$12,Paramètres!$A$1:$I$89,5,0)</f>
        <v>111.29663999999997</v>
      </c>
      <c r="CA37" s="13">
        <f t="shared" si="39"/>
        <v>29.636274399319749</v>
      </c>
      <c r="CB37" s="20">
        <f t="shared" si="10"/>
        <v>245.45815924548182</v>
      </c>
      <c r="CC37" s="59">
        <f t="shared" si="11"/>
        <v>538.79149257881511</v>
      </c>
      <c r="CD37" s="59">
        <f ca="1">AVERAGE(OFFSET($CC$3,0,0,'Données projet'!$E$12+1,1))-AVERAGE(OFFSET($H$3,0,0,'Données projet'!$E$12+1,1))</f>
        <v>211.91720528436969</v>
      </c>
      <c r="CE37" s="59">
        <f t="shared" si="40"/>
        <v>218.88548486038957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3.887142857142857</v>
      </c>
      <c r="CT37" s="12">
        <f>IF('Données projet'!$A$140&gt;35,CT36+CS37-DB36,IF(A37&lt;'Données projet'!$A$140,$CQ$205^A37,IF(A37='Données projet'!$A$140,'Données projet'!$B$140,CT36+CS37-DB36)))</f>
        <v>132.16285714285721</v>
      </c>
      <c r="CU37" s="17">
        <f>CT37*VLOOKUP('Données projet'!$B$13,Paramètres!$A$1:$I$89,3,0)*VLOOKUP('Données projet'!$B$13,Paramètres!$A$1:$I$89,5,0)</f>
        <v>119.58095314285718</v>
      </c>
      <c r="CV37" s="13">
        <f t="shared" si="41"/>
        <v>31.577243606763055</v>
      </c>
      <c r="CW37" s="20">
        <f t="shared" si="13"/>
        <v>263.26719267225525</v>
      </c>
      <c r="CX37" s="59">
        <f t="shared" si="14"/>
        <v>556.60052600558856</v>
      </c>
      <c r="CY37" s="59">
        <f ca="1">AVERAGE(OFFSET($CX$3,0,0,'Données projet'!$E$13+1,1))-AVERAGE(OFFSET($H$3,0,0,'Données projet'!$E$13+1,1))</f>
        <v>469.97161976912071</v>
      </c>
      <c r="CZ37" s="59">
        <f t="shared" si="42"/>
        <v>231.65013084759306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3.887142857142857</v>
      </c>
      <c r="DO37" s="12">
        <f>IF('Données projet'!$A$166&gt;35,DO36+DN37-DW36,IF(A37&lt;'Données projet'!$A$166,$DL$205^A37,IF(A37='Données projet'!$A$166,'Données projet'!$B$166,DO36+DN37-DW36)))</f>
        <v>132.16285714285721</v>
      </c>
      <c r="DP37" s="17">
        <f>DO37*VLOOKUP('Données projet'!$B$14,Paramètres!$A$1:$I$89,3,0)*VLOOKUP('Données projet'!$B$14,Paramètres!$A$1:$I$89,5,0)</f>
        <v>127.8279154285715</v>
      </c>
      <c r="DQ37" s="13">
        <f t="shared" si="43"/>
        <v>33.493963234877462</v>
      </c>
      <c r="DR37" s="20">
        <f t="shared" si="16"/>
        <v>280.96893867217358</v>
      </c>
      <c r="DS37" s="59">
        <f t="shared" si="17"/>
        <v>574.30227200550689</v>
      </c>
      <c r="DT37" s="59">
        <f ca="1">AVERAGE(OFFSET($DS$3,0,0,'Données projet'!$E$14+1,1))-AVERAGE(OFFSET($H$3,0,0,'Données projet'!$E$14+1,1))</f>
        <v>506.9153247310901</v>
      </c>
      <c r="DU37" s="59">
        <f t="shared" si="44"/>
        <v>247.31254626788319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4.5262222222222226</v>
      </c>
      <c r="N38" s="13">
        <f>IF('Données projet'!$A$36&gt;35,N37+M38-V37,IF(A38&lt;'Données projet'!$A$36,$K$205^A38,IF(A38='Données projet'!$A$36,'Données projet'!$B$36,N37+M38-V37)))</f>
        <v>158.41777777777776</v>
      </c>
      <c r="O38" s="13">
        <f>N38*VLOOKUP('Données projet'!$B$9,Paramètres!$A$1:$I$89,3,0)*VLOOKUP('Données projet'!$B$9,Paramètres!$A$1:$I$89,5,0)</f>
        <v>94.733831111111115</v>
      </c>
      <c r="P38" s="13">
        <f t="shared" si="33"/>
        <v>25.703482690534969</v>
      </c>
      <c r="Q38" s="20">
        <f t="shared" si="53"/>
        <v>209.76165487120025</v>
      </c>
      <c r="R38" s="59">
        <f t="shared" si="0"/>
        <v>503.09498820453359</v>
      </c>
      <c r="S38" s="59">
        <f ca="1">AVERAGE(OFFSET($R$3,0,0,'Données projet'!$E$9+1,1))-AVERAGE(OFFSET($H$3,0,0,'Données projet'!$E$9+1,1))</f>
        <v>193.8828274189392</v>
      </c>
      <c r="T38" s="59">
        <f t="shared" si="34"/>
        <v>179.13381331066427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13.7775</v>
      </c>
      <c r="AI38" s="13">
        <f>IF('Données projet'!$A$62&gt;35,AI37+AH38-AQ37,IF(A38&lt;'Données projet'!$A$62,$AF$205^A38,IF(A38='Données projet'!$A$62,'Données projet'!$B$62,AI37+AH38-AQ37)))</f>
        <v>156.81249999999997</v>
      </c>
      <c r="AJ38" s="13">
        <f>AI38*VLOOKUP('Données projet'!$B$10,Paramètres!$A$1:$I$89,3,0)*VLOOKUP('Données projet'!$B$10,Paramètres!$A$1:$I$89,5,0)</f>
        <v>93.77387499999999</v>
      </c>
      <c r="AK38" s="13">
        <f t="shared" si="35"/>
        <v>25.473205471017128</v>
      </c>
      <c r="AL38" s="20">
        <f t="shared" si="4"/>
        <v>207.68866515368813</v>
      </c>
      <c r="AM38" s="59">
        <f t="shared" si="5"/>
        <v>501.02199848702145</v>
      </c>
      <c r="AN38" s="59">
        <f ca="1">AVERAGE(OFFSET($AM$3,0,0,'Données projet'!$E$10+1,1))-AVERAGE(OFFSET($H$3,0,0,'Données projet'!$E$10+1,1))</f>
        <v>228.36873053496748</v>
      </c>
      <c r="AO38" s="59">
        <f t="shared" si="36"/>
        <v>177.73676400313303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6.0746465018688216</v>
      </c>
      <c r="AV38" s="21">
        <f>EXP(-LN(2)/25)*AV37+(1-EXP(-LN(2)/25))/(LN(2)/25)*Calculateur!AQ38*Calculateur!AS38*VLOOKUP('Données projet'!$B$10,Paramètres!$A$1:$I$89,3,0)*0.475*44/12</f>
        <v>18.256374258581463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24.331020760450286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137.95470000000009</v>
      </c>
      <c r="BF38" s="13">
        <f t="shared" si="37"/>
        <v>35.828055414169384</v>
      </c>
      <c r="BG38" s="20">
        <f t="shared" si="7"/>
        <v>302.67163234634512</v>
      </c>
      <c r="BH38" s="59">
        <f t="shared" si="8"/>
        <v>596.00496567967843</v>
      </c>
      <c r="BI38" s="59">
        <f ca="1">AVERAGE(OFFSET($BH$3,0,0,'Données projet'!$E$11+1,1))-AVERAGE(OFFSET($H$3,0,0,'Données projet'!$E$11+1,1))</f>
        <v>534.59150243554586</v>
      </c>
      <c r="BJ38" s="59">
        <f t="shared" si="38"/>
        <v>259.04458689606491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136</v>
      </c>
      <c r="BW38" s="12">
        <f>VLOOKUP(A38,'Données projet'!$A$113:$I$133,9,0)</f>
        <v>8.6</v>
      </c>
      <c r="BX38" s="12">
        <f t="array" ref="BX38">INDEX(BW:BW,MIN(IF(ISNUMBER(BW38:BW234),ROW(BW38:BW234),"")))</f>
        <v>8.6</v>
      </c>
      <c r="BY38" s="12">
        <f>IF('Données projet'!$A$114&gt;35,BY37+BX38-CG37,IF(A38&lt;'Données projet'!$A$114,$BV$205^A38,IF(A38='Données projet'!$A$114,'Données projet'!$B$114,BY37+BX38-CG37)))</f>
        <v>135.99999999999997</v>
      </c>
      <c r="BZ38" s="13">
        <f>BY38*VLOOKUP('Données projet'!$B$12,Paramètres!$A$1:$I$89,3,0)*VLOOKUP('Données projet'!$B$12,Paramètres!$A$1:$I$89,5,0)</f>
        <v>118.8096</v>
      </c>
      <c r="CA38" s="13">
        <f t="shared" si="39"/>
        <v>31.39719715333722</v>
      </c>
      <c r="CB38" s="20">
        <f t="shared" si="10"/>
        <v>261.61017170872896</v>
      </c>
      <c r="CC38" s="59">
        <f t="shared" si="11"/>
        <v>554.94350504206227</v>
      </c>
      <c r="CD38" s="59">
        <f ca="1">AVERAGE(OFFSET($CC$3,0,0,'Données projet'!$E$12+1,1))-AVERAGE(OFFSET($H$3,0,0,'Données projet'!$E$12+1,1))</f>
        <v>211.91720528436969</v>
      </c>
      <c r="CE38" s="59">
        <f t="shared" si="40"/>
        <v>218.88548486038957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3.887142857142857</v>
      </c>
      <c r="CT38" s="12">
        <f>IF('Données projet'!$A$140&gt;35,CT37+CS38-DB37,IF(A38&lt;'Données projet'!$A$140,$CQ$205^A38,IF(A38='Données projet'!$A$140,'Données projet'!$B$140,CT37+CS38-DB37)))</f>
        <v>136.05000000000007</v>
      </c>
      <c r="CU38" s="17">
        <f>CT38*VLOOKUP('Données projet'!$B$13,Paramètres!$A$1:$I$89,3,0)*VLOOKUP('Données projet'!$B$13,Paramètres!$A$1:$I$89,5,0)</f>
        <v>123.09804000000005</v>
      </c>
      <c r="CV38" s="13">
        <f t="shared" si="41"/>
        <v>32.396490846405321</v>
      </c>
      <c r="CW38" s="20">
        <f t="shared" si="13"/>
        <v>270.81964122415599</v>
      </c>
      <c r="CX38" s="59">
        <f t="shared" si="14"/>
        <v>564.1529745574893</v>
      </c>
      <c r="CY38" s="59">
        <f ca="1">AVERAGE(OFFSET($CX$3,0,0,'Données projet'!$E$13+1,1))-AVERAGE(OFFSET($H$3,0,0,'Données projet'!$E$13+1,1))</f>
        <v>469.97161976912071</v>
      </c>
      <c r="CZ38" s="59">
        <f t="shared" si="42"/>
        <v>231.65013084759306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3.887142857142857</v>
      </c>
      <c r="DO38" s="12">
        <f>IF('Données projet'!$A$166&gt;35,DO37+DN38-DW37,IF(A38&lt;'Données projet'!$A$166,$DL$205^A38,IF(A38='Données projet'!$A$166,'Données projet'!$B$166,DO37+DN38-DW37)))</f>
        <v>136.05000000000007</v>
      </c>
      <c r="DP38" s="17">
        <f>DO38*VLOOKUP('Données projet'!$B$14,Paramètres!$A$1:$I$89,3,0)*VLOOKUP('Données projet'!$B$14,Paramètres!$A$1:$I$89,5,0)</f>
        <v>131.58756000000008</v>
      </c>
      <c r="DQ38" s="13">
        <f t="shared" si="43"/>
        <v>34.362938287499752</v>
      </c>
      <c r="DR38" s="20">
        <f t="shared" si="16"/>
        <v>289.0304511840622</v>
      </c>
      <c r="DS38" s="59">
        <f t="shared" si="17"/>
        <v>582.36378451739552</v>
      </c>
      <c r="DT38" s="59">
        <f ca="1">AVERAGE(OFFSET($DS$3,0,0,'Données projet'!$E$14+1,1))-AVERAGE(OFFSET($H$3,0,0,'Données projet'!$E$14+1,1))</f>
        <v>506.9153247310901</v>
      </c>
      <c r="DU38" s="59">
        <f t="shared" si="44"/>
        <v>247.31254626788319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4.5262222222222226</v>
      </c>
      <c r="N39" s="13">
        <f>IF('Données projet'!$A$36&gt;35,N38+M39-V38,IF(A39&lt;'Données projet'!$A$36,$K$205^A39,IF(A39='Données projet'!$A$36,'Données projet'!$B$36,N38+M39-V38)))</f>
        <v>162.94399999999999</v>
      </c>
      <c r="O39" s="13">
        <f>N39*VLOOKUP('Données projet'!$B$9,Paramètres!$A$1:$I$89,3,0)*VLOOKUP('Données projet'!$B$9,Paramètres!$A$1:$I$89,5,0)</f>
        <v>97.440511999999998</v>
      </c>
      <c r="P39" s="13">
        <f t="shared" si="33"/>
        <v>26.351317740345912</v>
      </c>
      <c r="Q39" s="20">
        <f t="shared" si="53"/>
        <v>215.60410346443578</v>
      </c>
      <c r="R39" s="59">
        <f t="shared" si="0"/>
        <v>508.93743679776912</v>
      </c>
      <c r="S39" s="59">
        <f ca="1">AVERAGE(OFFSET($R$3,0,0,'Données projet'!$E$9+1,1))-AVERAGE(OFFSET($H$3,0,0,'Données projet'!$E$9+1,1))</f>
        <v>193.8828274189392</v>
      </c>
      <c r="T39" s="59">
        <f t="shared" si="34"/>
        <v>179.13381331066427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13.7775</v>
      </c>
      <c r="AI39" s="13">
        <f>IF('Données projet'!$A$62&gt;35,AI38+AH39-AQ38,IF(A39&lt;'Données projet'!$A$62,$AF$205^A39,IF(A39='Données projet'!$A$62,'Données projet'!$B$62,AI38+AH39-AQ38)))</f>
        <v>170.58999999999997</v>
      </c>
      <c r="AJ39" s="13">
        <f>AI39*VLOOKUP('Données projet'!$B$10,Paramètres!$A$1:$I$89,3,0)*VLOOKUP('Données projet'!$B$10,Paramètres!$A$1:$I$89,5,0)</f>
        <v>102.01281999999999</v>
      </c>
      <c r="AK39" s="13">
        <f t="shared" si="35"/>
        <v>27.440966573843383</v>
      </c>
      <c r="AL39" s="20">
        <f t="shared" si="4"/>
        <v>225.4653449494439</v>
      </c>
      <c r="AM39" s="59">
        <f t="shared" si="5"/>
        <v>518.79867828277725</v>
      </c>
      <c r="AN39" s="59">
        <f ca="1">AVERAGE(OFFSET($AM$3,0,0,'Données projet'!$E$10+1,1))-AVERAGE(OFFSET($H$3,0,0,'Données projet'!$E$10+1,1))</f>
        <v>228.36873053496748</v>
      </c>
      <c r="AO39" s="59">
        <f t="shared" si="36"/>
        <v>177.73676400313303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5.9555263891356853</v>
      </c>
      <c r="AV39" s="21">
        <f>EXP(-LN(2)/25)*AV38+(1-EXP(-LN(2)/25))/(LN(2)/25)*Calculateur!AQ39*Calculateur!AS39*VLOOKUP('Données projet'!$B$10,Paramètres!$A$1:$I$89,3,0)*0.475*44/12</f>
        <v>17.757152744419557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23.712679133555241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141.89626285714294</v>
      </c>
      <c r="BF39" s="13">
        <f t="shared" si="37"/>
        <v>36.73107195645354</v>
      </c>
      <c r="BG39" s="20">
        <f t="shared" si="7"/>
        <v>311.10927480034724</v>
      </c>
      <c r="BH39" s="59">
        <f t="shared" si="8"/>
        <v>604.44260813368055</v>
      </c>
      <c r="BI39" s="59">
        <f ca="1">AVERAGE(OFFSET($BH$3,0,0,'Données projet'!$E$11+1,1))-AVERAGE(OFFSET($H$3,0,0,'Données projet'!$E$11+1,1))</f>
        <v>534.59150243554586</v>
      </c>
      <c r="BJ39" s="59">
        <f t="shared" si="38"/>
        <v>259.04458689606491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7.6</v>
      </c>
      <c r="BY39" s="12">
        <f>IF('Données projet'!$A$114&gt;35,BY38+BX39-CG38,IF(A39&lt;'Données projet'!$A$114,$BV$205^A39,IF(A39='Données projet'!$A$114,'Données projet'!$B$114,BY38+BX39-CG38)))</f>
        <v>122.59999999999997</v>
      </c>
      <c r="BZ39" s="13">
        <f>BY39*VLOOKUP('Données projet'!$B$12,Paramètres!$A$1:$I$89,3,0)*VLOOKUP('Données projet'!$B$12,Paramètres!$A$1:$I$89,5,0)</f>
        <v>107.10336</v>
      </c>
      <c r="CA39" s="13">
        <f t="shared" si="39"/>
        <v>28.647457255358184</v>
      </c>
      <c r="CB39" s="20">
        <f t="shared" si="10"/>
        <v>236.43267338641553</v>
      </c>
      <c r="CC39" s="59">
        <f t="shared" si="11"/>
        <v>529.76600671974882</v>
      </c>
      <c r="CD39" s="59">
        <f ca="1">AVERAGE(OFFSET($CC$3,0,0,'Données projet'!$E$12+1,1))-AVERAGE(OFFSET($H$3,0,0,'Données projet'!$E$12+1,1))</f>
        <v>211.91720528436969</v>
      </c>
      <c r="CE39" s="59">
        <f t="shared" si="40"/>
        <v>218.88548486038957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3.887142857142857</v>
      </c>
      <c r="CT39" s="12">
        <f>IF('Données projet'!$A$140&gt;35,CT38+CS39-DB38,IF(A39&lt;'Données projet'!$A$140,$CQ$205^A39,IF(A39='Données projet'!$A$140,'Données projet'!$B$140,CT38+CS39-DB38)))</f>
        <v>139.93714285714293</v>
      </c>
      <c r="CU39" s="17">
        <f>CT39*VLOOKUP('Données projet'!$B$13,Paramètres!$A$1:$I$89,3,0)*VLOOKUP('Données projet'!$B$13,Paramètres!$A$1:$I$89,5,0)</f>
        <v>126.61512685714293</v>
      </c>
      <c r="CV39" s="13">
        <f t="shared" si="41"/>
        <v>33.213017638275041</v>
      </c>
      <c r="CW39" s="20">
        <f t="shared" si="13"/>
        <v>278.36735166285297</v>
      </c>
      <c r="CX39" s="59">
        <f t="shared" si="14"/>
        <v>571.70068499618628</v>
      </c>
      <c r="CY39" s="59">
        <f ca="1">AVERAGE(OFFSET($CX$3,0,0,'Données projet'!$E$13+1,1))-AVERAGE(OFFSET($H$3,0,0,'Données projet'!$E$13+1,1))</f>
        <v>469.97161976912071</v>
      </c>
      <c r="CZ39" s="59">
        <f t="shared" si="42"/>
        <v>231.65013084759306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3.887142857142857</v>
      </c>
      <c r="DO39" s="12">
        <f>IF('Données projet'!$A$166&gt;35,DO38+DN39-DW38,IF(A39&lt;'Données projet'!$A$166,$DL$205^A39,IF(A39='Données projet'!$A$166,'Données projet'!$B$166,DO38+DN39-DW38)))</f>
        <v>139.93714285714293</v>
      </c>
      <c r="DP39" s="17">
        <f>DO39*VLOOKUP('Données projet'!$B$14,Paramètres!$A$1:$I$89,3,0)*VLOOKUP('Données projet'!$B$14,Paramètres!$A$1:$I$89,5,0)</f>
        <v>135.34720457142865</v>
      </c>
      <c r="DQ39" s="13">
        <f t="shared" si="43"/>
        <v>35.229027762811612</v>
      </c>
      <c r="DR39" s="20">
        <f t="shared" si="16"/>
        <v>297.08693798213511</v>
      </c>
      <c r="DS39" s="59">
        <f t="shared" si="17"/>
        <v>590.42027131546843</v>
      </c>
      <c r="DT39" s="59">
        <f ca="1">AVERAGE(OFFSET($DS$3,0,0,'Données projet'!$E$14+1,1))-AVERAGE(OFFSET($H$3,0,0,'Données projet'!$E$14+1,1))</f>
        <v>506.9153247310901</v>
      </c>
      <c r="DU39" s="59">
        <f t="shared" si="44"/>
        <v>247.31254626788319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4.5262222222222226</v>
      </c>
      <c r="N40" s="13">
        <f>IF('Données projet'!$A$36&gt;35,N39+M40-V39,IF(A40&lt;'Données projet'!$A$36,$K$205^A40,IF(A40='Données projet'!$A$36,'Données projet'!$B$36,N39+M40-V39)))</f>
        <v>167.47022222222222</v>
      </c>
      <c r="O40" s="13">
        <f>N40*VLOOKUP('Données projet'!$B$9,Paramètres!$A$1:$I$89,3,0)*VLOOKUP('Données projet'!$B$9,Paramètres!$A$1:$I$89,5,0)</f>
        <v>100.14719288888888</v>
      </c>
      <c r="P40" s="13">
        <f t="shared" si="33"/>
        <v>26.997061222001616</v>
      </c>
      <c r="Q40" s="20">
        <f t="shared" si="53"/>
        <v>221.4429092431343</v>
      </c>
      <c r="R40" s="59">
        <f t="shared" si="0"/>
        <v>514.77624257646767</v>
      </c>
      <c r="S40" s="59">
        <f ca="1">AVERAGE(OFFSET($R$3,0,0,'Données projet'!$E$9+1,1))-AVERAGE(OFFSET($H$3,0,0,'Données projet'!$E$9+1,1))</f>
        <v>193.8828274189392</v>
      </c>
      <c r="T40" s="59">
        <f t="shared" si="34"/>
        <v>179.13381331066427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13.7775</v>
      </c>
      <c r="AI40" s="13">
        <f>IF('Données projet'!$A$62&gt;35,AI39+AH40-AQ39,IF(A40&lt;'Données projet'!$A$62,$AF$205^A40,IF(A40='Données projet'!$A$62,'Données projet'!$B$62,AI39+AH40-AQ39)))</f>
        <v>184.36749999999998</v>
      </c>
      <c r="AJ40" s="13">
        <f>AI40*VLOOKUP('Données projet'!$B$10,Paramètres!$A$1:$I$89,3,0)*VLOOKUP('Données projet'!$B$10,Paramètres!$A$1:$I$89,5,0)</f>
        <v>110.25176500000001</v>
      </c>
      <c r="AK40" s="13">
        <f t="shared" si="35"/>
        <v>29.390294475454798</v>
      </c>
      <c r="AL40" s="20">
        <f t="shared" si="4"/>
        <v>243.20992025308374</v>
      </c>
      <c r="AM40" s="59">
        <f t="shared" si="5"/>
        <v>536.54325358641699</v>
      </c>
      <c r="AN40" s="59">
        <f ca="1">AVERAGE(OFFSET($AM$3,0,0,'Données projet'!$E$10+1,1))-AVERAGE(OFFSET($H$3,0,0,'Données projet'!$E$10+1,1))</f>
        <v>228.36873053496748</v>
      </c>
      <c r="AO40" s="59">
        <f t="shared" si="36"/>
        <v>177.73676400313303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5.8387421491571514</v>
      </c>
      <c r="AV40" s="21">
        <f>EXP(-LN(2)/25)*AV39+(1-EXP(-LN(2)/25))/(LN(2)/25)*Calculateur!AQ40*Calculateur!AS40*VLOOKUP('Données projet'!$B$10,Paramètres!$A$1:$I$89,3,0)*0.475*44/12</f>
        <v>17.271582468815325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23.110324617972477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145.8378257142858</v>
      </c>
      <c r="BF40" s="13">
        <f t="shared" si="37"/>
        <v>37.631173064254732</v>
      </c>
      <c r="BG40" s="20">
        <f t="shared" si="7"/>
        <v>319.5418395392914</v>
      </c>
      <c r="BH40" s="59">
        <f t="shared" si="8"/>
        <v>612.87517287262472</v>
      </c>
      <c r="BI40" s="59">
        <f ca="1">AVERAGE(OFFSET($BH$3,0,0,'Données projet'!$E$11+1,1))-AVERAGE(OFFSET($H$3,0,0,'Données projet'!$E$11+1,1))</f>
        <v>534.59150243554586</v>
      </c>
      <c r="BJ40" s="59">
        <f t="shared" si="38"/>
        <v>259.04458689606491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7.6</v>
      </c>
      <c r="BY40" s="12">
        <f>IF('Données projet'!$A$114&gt;35,BY39+BX40-CG39,IF(A40&lt;'Données projet'!$A$114,$BV$205^A40,IF(A40='Données projet'!$A$114,'Données projet'!$B$114,BY39+BX40-CG39)))</f>
        <v>130.19999999999996</v>
      </c>
      <c r="BZ40" s="13">
        <f>BY40*VLOOKUP('Données projet'!$B$12,Paramètres!$A$1:$I$89,3,0)*VLOOKUP('Données projet'!$B$12,Paramètres!$A$1:$I$89,5,0)</f>
        <v>113.74271999999996</v>
      </c>
      <c r="CA40" s="13">
        <f t="shared" si="39"/>
        <v>30.211074114233345</v>
      </c>
      <c r="CB40" s="20">
        <f t="shared" si="10"/>
        <v>250.71952474895636</v>
      </c>
      <c r="CC40" s="59">
        <f t="shared" si="11"/>
        <v>544.05285808228973</v>
      </c>
      <c r="CD40" s="59">
        <f ca="1">AVERAGE(OFFSET($CC$3,0,0,'Données projet'!$E$12+1,1))-AVERAGE(OFFSET($H$3,0,0,'Données projet'!$E$12+1,1))</f>
        <v>211.91720528436969</v>
      </c>
      <c r="CE40" s="59">
        <f t="shared" si="40"/>
        <v>218.88548486038957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3.887142857142857</v>
      </c>
      <c r="CT40" s="12">
        <f>IF('Données projet'!$A$140&gt;35,CT39+CS40-DB39,IF(A40&lt;'Données projet'!$A$140,$CQ$205^A40,IF(A40='Données projet'!$A$140,'Données projet'!$B$140,CT39+CS40-DB39)))</f>
        <v>143.82428571428579</v>
      </c>
      <c r="CU40" s="17">
        <f>CT40*VLOOKUP('Données projet'!$B$13,Paramètres!$A$1:$I$89,3,0)*VLOOKUP('Données projet'!$B$13,Paramètres!$A$1:$I$89,5,0)</f>
        <v>130.13221371428577</v>
      </c>
      <c r="CV40" s="13">
        <f t="shared" si="41"/>
        <v>34.026908232186209</v>
      </c>
      <c r="CW40" s="20">
        <f t="shared" si="13"/>
        <v>285.91047072343866</v>
      </c>
      <c r="CX40" s="59">
        <f t="shared" si="14"/>
        <v>579.24380405677198</v>
      </c>
      <c r="CY40" s="59">
        <f ca="1">AVERAGE(OFFSET($CX$3,0,0,'Données projet'!$E$13+1,1))-AVERAGE(OFFSET($H$3,0,0,'Données projet'!$E$13+1,1))</f>
        <v>469.97161976912071</v>
      </c>
      <c r="CZ40" s="59">
        <f t="shared" si="42"/>
        <v>231.65013084759306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3.887142857142857</v>
      </c>
      <c r="DO40" s="12">
        <f>IF('Données projet'!$A$166&gt;35,DO39+DN40-DW39,IF(A40&lt;'Données projet'!$A$166,$DL$205^A40,IF(A40='Données projet'!$A$166,'Données projet'!$B$166,DO39+DN40-DW39)))</f>
        <v>143.82428571428579</v>
      </c>
      <c r="DP40" s="17">
        <f>DO40*VLOOKUP('Données projet'!$B$14,Paramètres!$A$1:$I$89,3,0)*VLOOKUP('Données projet'!$B$14,Paramètres!$A$1:$I$89,5,0)</f>
        <v>139.10684914285721</v>
      </c>
      <c r="DQ40" s="13">
        <f t="shared" si="43"/>
        <v>36.092321024539963</v>
      </c>
      <c r="DR40" s="20">
        <f t="shared" si="16"/>
        <v>305.13855470821676</v>
      </c>
      <c r="DS40" s="59">
        <f t="shared" si="17"/>
        <v>598.47188804155007</v>
      </c>
      <c r="DT40" s="59">
        <f ca="1">AVERAGE(OFFSET($DS$3,0,0,'Données projet'!$E$14+1,1))-AVERAGE(OFFSET($H$3,0,0,'Données projet'!$E$14+1,1))</f>
        <v>506.9153247310901</v>
      </c>
      <c r="DU40" s="59">
        <f t="shared" si="44"/>
        <v>247.31254626788319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4.5262222222222226</v>
      </c>
      <c r="N41" s="13">
        <f>IF('Données projet'!$A$36&gt;35,N40+M41-V40,IF(A41&lt;'Données projet'!$A$36,$K$205^A41,IF(A41='Données projet'!$A$36,'Données projet'!$B$36,N40+M41-V40)))</f>
        <v>171.99644444444445</v>
      </c>
      <c r="O41" s="13">
        <f>N41*VLOOKUP('Données projet'!$B$9,Paramètres!$A$1:$I$89,3,0)*VLOOKUP('Données projet'!$B$9,Paramètres!$A$1:$I$89,5,0)</f>
        <v>102.85387377777779</v>
      </c>
      <c r="P41" s="13">
        <f t="shared" si="33"/>
        <v>27.640776160704487</v>
      </c>
      <c r="Q41" s="20">
        <f t="shared" si="53"/>
        <v>227.27818197618993</v>
      </c>
      <c r="R41" s="59">
        <f t="shared" si="0"/>
        <v>520.61151530952327</v>
      </c>
      <c r="S41" s="59">
        <f ca="1">AVERAGE(OFFSET($R$3,0,0,'Données projet'!$E$9+1,1))-AVERAGE(OFFSET($H$3,0,0,'Données projet'!$E$9+1,1))</f>
        <v>193.8828274189392</v>
      </c>
      <c r="T41" s="59">
        <f t="shared" si="34"/>
        <v>179.13381331066427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13.7775</v>
      </c>
      <c r="AI41" s="13">
        <f>IF('Données projet'!$A$62&gt;35,AI40+AH41-AQ40,IF(A41&lt;'Données projet'!$A$62,$AF$205^A41,IF(A41='Données projet'!$A$62,'Données projet'!$B$62,AI40+AH41-AQ40)))</f>
        <v>198.14499999999998</v>
      </c>
      <c r="AJ41" s="13">
        <f>AI41*VLOOKUP('Données projet'!$B$10,Paramètres!$A$1:$I$89,3,0)*VLOOKUP('Données projet'!$B$10,Paramètres!$A$1:$I$89,5,0)</f>
        <v>118.49070999999999</v>
      </c>
      <c r="AK41" s="13">
        <f t="shared" si="35"/>
        <v>31.322723294319729</v>
      </c>
      <c r="AL41" s="20">
        <f t="shared" si="4"/>
        <v>260.92506298760685</v>
      </c>
      <c r="AM41" s="59">
        <f t="shared" si="5"/>
        <v>554.25839632094016</v>
      </c>
      <c r="AN41" s="59">
        <f ca="1">AVERAGE(OFFSET($AM$3,0,0,'Données projet'!$E$10+1,1))-AVERAGE(OFFSET($H$3,0,0,'Données projet'!$E$10+1,1))</f>
        <v>228.36873053496748</v>
      </c>
      <c r="AO41" s="59">
        <f t="shared" si="36"/>
        <v>177.73676400313303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5.7242479768932437</v>
      </c>
      <c r="AV41" s="21">
        <f>EXP(-LN(2)/25)*AV40+(1-EXP(-LN(2)/25))/(LN(2)/25)*Calculateur!AQ41*Calculateur!AS41*VLOOKUP('Données projet'!$B$10,Paramètres!$A$1:$I$89,3,0)*0.475*44/12</f>
        <v>16.799290137932523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22.523538114825769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149.77938857142865</v>
      </c>
      <c r="BF41" s="13">
        <f t="shared" si="37"/>
        <v>38.528446588331214</v>
      </c>
      <c r="BG41" s="20">
        <f t="shared" si="7"/>
        <v>327.96947956991511</v>
      </c>
      <c r="BH41" s="59">
        <f t="shared" si="8"/>
        <v>621.30281290324842</v>
      </c>
      <c r="BI41" s="59">
        <f ca="1">AVERAGE(OFFSET($BH$3,0,0,'Données projet'!$E$11+1,1))-AVERAGE(OFFSET($H$3,0,0,'Données projet'!$E$11+1,1))</f>
        <v>534.59150243554586</v>
      </c>
      <c r="BJ41" s="59">
        <f t="shared" si="38"/>
        <v>259.04458689606491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7.6</v>
      </c>
      <c r="BY41" s="12">
        <f>IF('Données projet'!$A$114&gt;35,BY40+BX41-CG40,IF(A41&lt;'Données projet'!$A$114,$BV$205^A41,IF(A41='Données projet'!$A$114,'Données projet'!$B$114,BY40+BX41-CG40)))</f>
        <v>137.79999999999995</v>
      </c>
      <c r="BZ41" s="13">
        <f>BY41*VLOOKUP('Données projet'!$B$12,Paramètres!$A$1:$I$89,3,0)*VLOOKUP('Données projet'!$B$12,Paramètres!$A$1:$I$89,5,0)</f>
        <v>120.38207999999997</v>
      </c>
      <c r="CA41" s="13">
        <f t="shared" si="39"/>
        <v>31.764096685603551</v>
      </c>
      <c r="CB41" s="20">
        <f t="shared" si="10"/>
        <v>264.98792439409277</v>
      </c>
      <c r="CC41" s="59">
        <f t="shared" si="11"/>
        <v>558.32125772742609</v>
      </c>
      <c r="CD41" s="59">
        <f ca="1">AVERAGE(OFFSET($CC$3,0,0,'Données projet'!$E$12+1,1))-AVERAGE(OFFSET($H$3,0,0,'Données projet'!$E$12+1,1))</f>
        <v>211.91720528436969</v>
      </c>
      <c r="CE41" s="59">
        <f t="shared" si="40"/>
        <v>218.88548486038957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3.887142857142857</v>
      </c>
      <c r="CT41" s="12">
        <f>IF('Données projet'!$A$140&gt;35,CT40+CS41-DB40,IF(A41&lt;'Données projet'!$A$140,$CQ$205^A41,IF(A41='Données projet'!$A$140,'Données projet'!$B$140,CT40+CS41-DB40)))</f>
        <v>147.71142857142866</v>
      </c>
      <c r="CU41" s="17">
        <f>CT41*VLOOKUP('Données projet'!$B$13,Paramètres!$A$1:$I$89,3,0)*VLOOKUP('Données projet'!$B$13,Paramètres!$A$1:$I$89,5,0)</f>
        <v>133.64930057142865</v>
      </c>
      <c r="CV41" s="13">
        <f t="shared" si="41"/>
        <v>34.8382420646657</v>
      </c>
      <c r="CW41" s="20">
        <f t="shared" si="13"/>
        <v>293.44913675786432</v>
      </c>
      <c r="CX41" s="59">
        <f t="shared" si="14"/>
        <v>586.78247009119764</v>
      </c>
      <c r="CY41" s="59">
        <f ca="1">AVERAGE(OFFSET($CX$3,0,0,'Données projet'!$E$13+1,1))-AVERAGE(OFFSET($H$3,0,0,'Données projet'!$E$13+1,1))</f>
        <v>469.97161976912071</v>
      </c>
      <c r="CZ41" s="59">
        <f t="shared" si="42"/>
        <v>231.65013084759306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3.887142857142857</v>
      </c>
      <c r="DO41" s="12">
        <f>IF('Données projet'!$A$166&gt;35,DO40+DN41-DW40,IF(A41&lt;'Données projet'!$A$166,$DL$205^A41,IF(A41='Données projet'!$A$166,'Données projet'!$B$166,DO40+DN41-DW40)))</f>
        <v>147.71142857142866</v>
      </c>
      <c r="DP41" s="17">
        <f>DO41*VLOOKUP('Données projet'!$B$14,Paramètres!$A$1:$I$89,3,0)*VLOOKUP('Données projet'!$B$14,Paramètres!$A$1:$I$89,5,0)</f>
        <v>142.86649371428578</v>
      </c>
      <c r="DQ41" s="13">
        <f t="shared" si="43"/>
        <v>36.952902330960896</v>
      </c>
      <c r="DR41" s="20">
        <f t="shared" si="16"/>
        <v>313.18544811213798</v>
      </c>
      <c r="DS41" s="59">
        <f t="shared" si="17"/>
        <v>606.51878144547129</v>
      </c>
      <c r="DT41" s="59">
        <f ca="1">AVERAGE(OFFSET($DS$3,0,0,'Données projet'!$E$14+1,1))-AVERAGE(OFFSET($H$3,0,0,'Données projet'!$E$14+1,1))</f>
        <v>506.9153247310901</v>
      </c>
      <c r="DU41" s="59">
        <f t="shared" si="44"/>
        <v>247.31254626788319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4.5262222222222226</v>
      </c>
      <c r="N42" s="13">
        <f>IF('Données projet'!$A$36&gt;35,N41+M42-V41,IF(A42&lt;'Données projet'!$A$36,$K$205^A42,IF(A42='Données projet'!$A$36,'Données projet'!$B$36,N41+M42-V41)))</f>
        <v>176.52266666666668</v>
      </c>
      <c r="O42" s="13">
        <f>N42*VLOOKUP('Données projet'!$B$9,Paramètres!$A$1:$I$89,3,0)*VLOOKUP('Données projet'!$B$9,Paramètres!$A$1:$I$89,5,0)</f>
        <v>105.56055466666668</v>
      </c>
      <c r="P42" s="13">
        <f t="shared" si="33"/>
        <v>28.282522075633871</v>
      </c>
      <c r="Q42" s="20">
        <f t="shared" si="53"/>
        <v>233.11002532617348</v>
      </c>
      <c r="R42" s="59">
        <f t="shared" si="0"/>
        <v>526.44335865950677</v>
      </c>
      <c r="S42" s="59">
        <f ca="1">AVERAGE(OFFSET($R$3,0,0,'Données projet'!$E$9+1,1))-AVERAGE(OFFSET($H$3,0,0,'Données projet'!$E$9+1,1))</f>
        <v>193.8828274189392</v>
      </c>
      <c r="T42" s="59">
        <f t="shared" si="34"/>
        <v>179.13381331066427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13.7775</v>
      </c>
      <c r="AI42" s="13">
        <f>IF('Données projet'!$A$62&gt;35,AI41+AH42-AQ41,IF(A42&lt;'Données projet'!$A$62,$AF$205^A42,IF(A42='Données projet'!$A$62,'Données projet'!$B$62,AI41+AH42-AQ41)))</f>
        <v>211.92249999999999</v>
      </c>
      <c r="AJ42" s="13">
        <f>AI42*VLOOKUP('Données projet'!$B$10,Paramètres!$A$1:$I$89,3,0)*VLOOKUP('Données projet'!$B$10,Paramètres!$A$1:$I$89,5,0)</f>
        <v>126.72965499999999</v>
      </c>
      <c r="AK42" s="13">
        <f t="shared" si="35"/>
        <v>33.239561726451363</v>
      </c>
      <c r="AL42" s="20">
        <f t="shared" si="4"/>
        <v>278.61305246523608</v>
      </c>
      <c r="AM42" s="59">
        <f t="shared" si="5"/>
        <v>571.94638579856939</v>
      </c>
      <c r="AN42" s="59">
        <f ca="1">AVERAGE(OFFSET($AM$3,0,0,'Données projet'!$E$10+1,1))-AVERAGE(OFFSET($H$3,0,0,'Données projet'!$E$10+1,1))</f>
        <v>228.36873053496748</v>
      </c>
      <c r="AO42" s="59">
        <f t="shared" si="36"/>
        <v>177.73676400313303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5.611998965512881</v>
      </c>
      <c r="AV42" s="21">
        <f>EXP(-LN(2)/25)*AV41+(1-EXP(-LN(2)/25))/(LN(2)/25)*Calculateur!AQ42*Calculateur!AS42*VLOOKUP('Données projet'!$B$10,Paramètres!$A$1:$I$89,3,0)*0.475*44/12</f>
        <v>16.339912665674486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21.951911631187368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153.72095142857154</v>
      </c>
      <c r="BF42" s="13">
        <f t="shared" si="37"/>
        <v>39.422975492399672</v>
      </c>
      <c r="BG42" s="20">
        <f t="shared" si="7"/>
        <v>336.39233938735816</v>
      </c>
      <c r="BH42" s="59">
        <f t="shared" si="8"/>
        <v>629.72567272069148</v>
      </c>
      <c r="BI42" s="59">
        <f ca="1">AVERAGE(OFFSET($BH$3,0,0,'Données projet'!$E$11+1,1))-AVERAGE(OFFSET($H$3,0,0,'Données projet'!$E$11+1,1))</f>
        <v>534.59150243554586</v>
      </c>
      <c r="BJ42" s="59">
        <f t="shared" si="38"/>
        <v>259.04458689606491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7.6</v>
      </c>
      <c r="BY42" s="12">
        <f>IF('Données projet'!$A$114&gt;35,BY41+BX42-CG41,IF(A42&lt;'Données projet'!$A$114,$BV$205^A42,IF(A42='Données projet'!$A$114,'Données projet'!$B$114,BY41+BX42-CG41)))</f>
        <v>145.39999999999995</v>
      </c>
      <c r="BZ42" s="13">
        <f>BY42*VLOOKUP('Données projet'!$B$12,Paramètres!$A$1:$I$89,3,0)*VLOOKUP('Données projet'!$B$12,Paramètres!$A$1:$I$89,5,0)</f>
        <v>127.02143999999997</v>
      </c>
      <c r="CA42" s="13">
        <f t="shared" si="39"/>
        <v>33.307175870664402</v>
      </c>
      <c r="CB42" s="20">
        <f t="shared" si="10"/>
        <v>279.23900597474045</v>
      </c>
      <c r="CC42" s="59">
        <f t="shared" si="11"/>
        <v>572.57233930807377</v>
      </c>
      <c r="CD42" s="59">
        <f ca="1">AVERAGE(OFFSET($CC$3,0,0,'Données projet'!$E$12+1,1))-AVERAGE(OFFSET($H$3,0,0,'Données projet'!$E$12+1,1))</f>
        <v>211.91720528436969</v>
      </c>
      <c r="CE42" s="59">
        <f t="shared" si="40"/>
        <v>218.88548486038957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3.887142857142857</v>
      </c>
      <c r="CT42" s="12">
        <f>IF('Données projet'!$A$140&gt;35,CT41+CS42-DB41,IF(A42&lt;'Données projet'!$A$140,$CQ$205^A42,IF(A42='Données projet'!$A$140,'Données projet'!$B$140,CT41+CS42-DB41)))</f>
        <v>151.59857142857152</v>
      </c>
      <c r="CU42" s="17">
        <f>CT42*VLOOKUP('Données projet'!$B$13,Paramètres!$A$1:$I$89,3,0)*VLOOKUP('Données projet'!$B$13,Paramètres!$A$1:$I$89,5,0)</f>
        <v>137.16638742857151</v>
      </c>
      <c r="CV42" s="13">
        <f t="shared" si="41"/>
        <v>35.647094153273272</v>
      </c>
      <c r="CW42" s="20">
        <f t="shared" si="13"/>
        <v>300.98348042171295</v>
      </c>
      <c r="CX42" s="59">
        <f t="shared" si="14"/>
        <v>594.31681375504627</v>
      </c>
      <c r="CY42" s="59">
        <f ca="1">AVERAGE(OFFSET($CX$3,0,0,'Données projet'!$E$13+1,1))-AVERAGE(OFFSET($H$3,0,0,'Données projet'!$E$13+1,1))</f>
        <v>469.97161976912071</v>
      </c>
      <c r="CZ42" s="59">
        <f t="shared" si="42"/>
        <v>231.65013084759306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3.887142857142857</v>
      </c>
      <c r="DO42" s="12">
        <f>IF('Données projet'!$A$166&gt;35,DO41+DN42-DW41,IF(A42&lt;'Données projet'!$A$166,$DL$205^A42,IF(A42='Données projet'!$A$166,'Données projet'!$B$166,DO41+DN42-DW41)))</f>
        <v>151.59857142857152</v>
      </c>
      <c r="DP42" s="17">
        <f>DO42*VLOOKUP('Données projet'!$B$14,Paramètres!$A$1:$I$89,3,0)*VLOOKUP('Données projet'!$B$14,Paramètres!$A$1:$I$89,5,0)</f>
        <v>146.62613828571438</v>
      </c>
      <c r="DQ42" s="13">
        <f t="shared" si="43"/>
        <v>37.810851253154773</v>
      </c>
      <c r="DR42" s="20">
        <f t="shared" si="16"/>
        <v>321.22775678019707</v>
      </c>
      <c r="DS42" s="59">
        <f t="shared" si="17"/>
        <v>614.56109011353033</v>
      </c>
      <c r="DT42" s="59">
        <f ca="1">AVERAGE(OFFSET($DS$3,0,0,'Données projet'!$E$14+1,1))-AVERAGE(OFFSET($H$3,0,0,'Données projet'!$E$14+1,1))</f>
        <v>506.9153247310901</v>
      </c>
      <c r="DU42" s="59">
        <f t="shared" si="44"/>
        <v>247.31254626788319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4.5262222222222226</v>
      </c>
      <c r="N43" s="13">
        <f>IF('Données projet'!$A$36&gt;35,N42+M43-V42,IF(A43&lt;'Données projet'!$A$36,$K$205^A43,IF(A43='Données projet'!$A$36,'Données projet'!$B$36,N42+M43-V42)))</f>
        <v>181.04888888888891</v>
      </c>
      <c r="O43" s="13">
        <f>N43*VLOOKUP('Données projet'!$B$9,Paramètres!$A$1:$I$89,3,0)*VLOOKUP('Données projet'!$B$9,Paramètres!$A$1:$I$89,5,0)</f>
        <v>108.26723555555559</v>
      </c>
      <c r="P43" s="13">
        <f t="shared" si="33"/>
        <v>28.922355259810484</v>
      </c>
      <c r="Q43" s="20">
        <f t="shared" si="53"/>
        <v>238.93853733676255</v>
      </c>
      <c r="R43" s="59">
        <f t="shared" si="0"/>
        <v>532.27187067009584</v>
      </c>
      <c r="S43" s="59">
        <f ca="1">AVERAGE(OFFSET($R$3,0,0,'Données projet'!$E$9+1,1))-AVERAGE(OFFSET($H$3,0,0,'Données projet'!$E$9+1,1))</f>
        <v>193.8828274189392</v>
      </c>
      <c r="T43" s="59">
        <f t="shared" si="34"/>
        <v>179.13381331066427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225.7</v>
      </c>
      <c r="AG43" s="12">
        <f>VLOOKUP(A43,'Données projet'!$A$61:$I$81,9,0)</f>
        <v>13.7775</v>
      </c>
      <c r="AH43" s="12">
        <f t="array" ref="AH43">INDEX(AG:AG,MIN(IF(ISNUMBER(AG43:AG239),ROW(AG43:AG239),"")))</f>
        <v>13.7775</v>
      </c>
      <c r="AI43" s="13">
        <f>IF('Données projet'!$A$62&gt;35,AI42+AH43-AQ42,IF(A43&lt;'Données projet'!$A$62,$AF$205^A43,IF(A43='Données projet'!$A$62,'Données projet'!$B$62,AI42+AH43-AQ42)))</f>
        <v>225.7</v>
      </c>
      <c r="AJ43" s="13">
        <f>AI43*VLOOKUP('Données projet'!$B$10,Paramètres!$A$1:$I$89,3,0)*VLOOKUP('Données projet'!$B$10,Paramètres!$A$1:$I$89,5,0)</f>
        <v>134.96860000000001</v>
      </c>
      <c r="AK43" s="13">
        <f t="shared" si="35"/>
        <v>35.141938683339475</v>
      </c>
      <c r="AL43" s="20">
        <f t="shared" si="4"/>
        <v>296.2758548734829</v>
      </c>
      <c r="AM43" s="59">
        <f t="shared" si="5"/>
        <v>589.60918820681627</v>
      </c>
      <c r="AN43" s="59">
        <f ca="1">AVERAGE(OFFSET($AM$3,0,0,'Données projet'!$E$10+1,1))-AVERAGE(OFFSET($H$3,0,0,'Données projet'!$E$10+1,1))</f>
        <v>228.36873053496748</v>
      </c>
      <c r="AO43" s="59">
        <f t="shared" si="36"/>
        <v>177.73676400313303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57.27</v>
      </c>
      <c r="AR43" s="16">
        <f>IF(ISNA(VLOOKUP(A43,'Données projet'!$A$61:$I$81,5,0)),0%,VLOOKUP(A43,'Données projet'!$A$61:$I$81,5,0)*VLOOKUP('Données projet'!$B$10,Paramètres!$A$1:$I$89,7,0))</f>
        <v>0.13500000000000001</v>
      </c>
      <c r="AS43" s="16">
        <f>IF(ISNA(VLOOKUP(A43,'Données projet'!$A$61:$I$81,6,0)),0%,VLOOKUP(A43,'Données projet'!$A$61:$I$81,6,0)*VLOOKUP('Données projet'!$B$10,Paramètres!$A$1:$I$89,7,0))</f>
        <v>0.22500000000000001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11.635198610667356</v>
      </c>
      <c r="AV43" s="21">
        <f>EXP(-LN(2)/25)*AV42+(1-EXP(-LN(2)/25))/(LN(2)/25)*Calculateur!AQ43*Calculateur!AS43*VLOOKUP('Données projet'!$B$10,Paramètres!$A$1:$I$89,3,0)*0.475*44/12</f>
        <v>26.074927876957318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37.710126487624677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157.66251428571439</v>
      </c>
      <c r="BF43" s="13">
        <f t="shared" si="37"/>
        <v>40.314838243237894</v>
      </c>
      <c r="BG43" s="20">
        <f t="shared" si="7"/>
        <v>344.81055565459184</v>
      </c>
      <c r="BH43" s="59">
        <f t="shared" si="8"/>
        <v>638.14388898792515</v>
      </c>
      <c r="BI43" s="59">
        <f ca="1">AVERAGE(OFFSET($BH$3,0,0,'Données projet'!$E$11+1,1))-AVERAGE(OFFSET($H$3,0,0,'Données projet'!$E$11+1,1))</f>
        <v>534.59150243554586</v>
      </c>
      <c r="BJ43" s="59">
        <f t="shared" si="38"/>
        <v>259.04458689606491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153</v>
      </c>
      <c r="BW43" s="12">
        <f>VLOOKUP(A43,'Données projet'!$A$113:$I$133,9,0)</f>
        <v>7.6</v>
      </c>
      <c r="BX43" s="12">
        <f t="array" ref="BX43">INDEX(BW:BW,MIN(IF(ISNUMBER(BW43:BW239),ROW(BW43:BW239),"")))</f>
        <v>7.6</v>
      </c>
      <c r="BY43" s="12">
        <f>IF('Données projet'!$A$114&gt;35,BY42+BX43-CG42,IF(A43&lt;'Données projet'!$A$114,$BV$205^A43,IF(A43='Données projet'!$A$114,'Données projet'!$B$114,BY42+BX43-CG42)))</f>
        <v>152.99999999999994</v>
      </c>
      <c r="BZ43" s="13">
        <f>BY43*VLOOKUP('Données projet'!$B$12,Paramètres!$A$1:$I$89,3,0)*VLOOKUP('Données projet'!$B$12,Paramètres!$A$1:$I$89,5,0)</f>
        <v>133.66079999999997</v>
      </c>
      <c r="CA43" s="13">
        <f t="shared" si="39"/>
        <v>34.840890682716719</v>
      </c>
      <c r="CB43" s="20">
        <f t="shared" si="10"/>
        <v>293.47377793906486</v>
      </c>
      <c r="CC43" s="59">
        <f t="shared" si="11"/>
        <v>586.80711127239817</v>
      </c>
      <c r="CD43" s="59">
        <f ca="1">AVERAGE(OFFSET($CC$3,0,0,'Données projet'!$E$12+1,1))-AVERAGE(OFFSET($H$3,0,0,'Données projet'!$E$12+1,1))</f>
        <v>211.91720528436969</v>
      </c>
      <c r="CE43" s="59">
        <f t="shared" si="40"/>
        <v>218.88548486038957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3.887142857142857</v>
      </c>
      <c r="CT43" s="12">
        <f>IF('Données projet'!$A$140&gt;35,CT42+CS43-DB42,IF(A43&lt;'Données projet'!$A$140,$CQ$205^A43,IF(A43='Données projet'!$A$140,'Données projet'!$B$140,CT42+CS43-DB42)))</f>
        <v>155.48571428571438</v>
      </c>
      <c r="CU43" s="17">
        <f>CT43*VLOOKUP('Données projet'!$B$13,Paramètres!$A$1:$I$89,3,0)*VLOOKUP('Données projet'!$B$13,Paramètres!$A$1:$I$89,5,0)</f>
        <v>140.68347428571437</v>
      </c>
      <c r="CV43" s="13">
        <f t="shared" si="41"/>
        <v>36.453535449340755</v>
      </c>
      <c r="CW43" s="20">
        <f t="shared" si="13"/>
        <v>308.51362528855435</v>
      </c>
      <c r="CX43" s="59">
        <f t="shared" si="14"/>
        <v>601.84695862188767</v>
      </c>
      <c r="CY43" s="59">
        <f ca="1">AVERAGE(OFFSET($CX$3,0,0,'Données projet'!$E$13+1,1))-AVERAGE(OFFSET($H$3,0,0,'Données projet'!$E$13+1,1))</f>
        <v>469.97161976912071</v>
      </c>
      <c r="CZ43" s="59">
        <f t="shared" si="42"/>
        <v>231.65013084759306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3.887142857142857</v>
      </c>
      <c r="DO43" s="12">
        <f>IF('Données projet'!$A$166&gt;35,DO42+DN43-DW42,IF(A43&lt;'Données projet'!$A$166,$DL$205^A43,IF(A43='Données projet'!$A$166,'Données projet'!$B$166,DO42+DN43-DW42)))</f>
        <v>155.48571428571438</v>
      </c>
      <c r="DP43" s="17">
        <f>DO43*VLOOKUP('Données projet'!$B$14,Paramètres!$A$1:$I$89,3,0)*VLOOKUP('Données projet'!$B$14,Paramètres!$A$1:$I$89,5,0)</f>
        <v>150.38578285714294</v>
      </c>
      <c r="DQ43" s="13">
        <f t="shared" si="43"/>
        <v>38.666243049156442</v>
      </c>
      <c r="DR43" s="20">
        <f t="shared" si="16"/>
        <v>329.26561178680475</v>
      </c>
      <c r="DS43" s="59">
        <f t="shared" si="17"/>
        <v>622.59894512013807</v>
      </c>
      <c r="DT43" s="59">
        <f ca="1">AVERAGE(OFFSET($DS$3,0,0,'Données projet'!$E$14+1,1))-AVERAGE(OFFSET($H$3,0,0,'Données projet'!$E$14+1,1))</f>
        <v>506.9153247310901</v>
      </c>
      <c r="DU43" s="59">
        <f t="shared" si="44"/>
        <v>247.31254626788319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4.5262222222222226</v>
      </c>
      <c r="N44" s="13">
        <f>IF('Données projet'!$A$36&gt;35,N43+M44-V43,IF(A44&lt;'Données projet'!$A$36,$K$205^A44,IF(A44='Données projet'!$A$36,'Données projet'!$B$36,N43+M44-V43)))</f>
        <v>185.57511111111114</v>
      </c>
      <c r="O44" s="13">
        <f>N44*VLOOKUP('Données projet'!$B$9,Paramètres!$A$1:$I$89,3,0)*VLOOKUP('Données projet'!$B$9,Paramètres!$A$1:$I$89,5,0)</f>
        <v>110.97391644444447</v>
      </c>
      <c r="P44" s="13">
        <f t="shared" si="33"/>
        <v>29.560329031186455</v>
      </c>
      <c r="Q44" s="20">
        <f t="shared" si="53"/>
        <v>244.7638108700572</v>
      </c>
      <c r="R44" s="59">
        <f t="shared" si="0"/>
        <v>538.09714420339049</v>
      </c>
      <c r="S44" s="59">
        <f ca="1">AVERAGE(OFFSET($R$3,0,0,'Données projet'!$E$9+1,1))-AVERAGE(OFFSET($H$3,0,0,'Données projet'!$E$9+1,1))</f>
        <v>193.8828274189392</v>
      </c>
      <c r="T44" s="59">
        <f t="shared" si="34"/>
        <v>179.13381331066427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13.263000000000002</v>
      </c>
      <c r="AI44" s="13">
        <f>IF('Données projet'!$A$62&gt;35,AI43+AH44-AQ43,IF(A44&lt;'Données projet'!$A$62,$AF$205^A44,IF(A44='Données projet'!$A$62,'Données projet'!$B$62,AI43+AH44-AQ43)))</f>
        <v>181.69299999999998</v>
      </c>
      <c r="AJ44" s="13">
        <f>AI44*VLOOKUP('Données projet'!$B$10,Paramètres!$A$1:$I$89,3,0)*VLOOKUP('Données projet'!$B$10,Paramètres!$A$1:$I$89,5,0)</f>
        <v>108.65241399999999</v>
      </c>
      <c r="AK44" s="13">
        <f t="shared" si="35"/>
        <v>29.013255384062703</v>
      </c>
      <c r="AL44" s="20">
        <f t="shared" si="4"/>
        <v>239.76770751057586</v>
      </c>
      <c r="AM44" s="59">
        <f t="shared" si="5"/>
        <v>533.10104084390923</v>
      </c>
      <c r="AN44" s="59">
        <f ca="1">AVERAGE(OFFSET($AM$3,0,0,'Données projet'!$E$10+1,1))-AVERAGE(OFFSET($H$3,0,0,'Données projet'!$E$10+1,1))</f>
        <v>228.36873053496748</v>
      </c>
      <c r="AO44" s="59">
        <f t="shared" si="36"/>
        <v>177.73676400313303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11.407039462682574</v>
      </c>
      <c r="AV44" s="21">
        <f>EXP(-LN(2)/25)*AV43+(1-EXP(-LN(2)/25))/(LN(2)/25)*Calculateur!AQ44*Calculateur!AS44*VLOOKUP('Données projet'!$B$10,Paramètres!$A$1:$I$89,3,0)*0.475*44/12</f>
        <v>25.361907602941059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36.768947065623635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161.60407714285725</v>
      </c>
      <c r="BF44" s="13">
        <f t="shared" si="37"/>
        <v>41.204109160679089</v>
      </c>
      <c r="BG44" s="20">
        <f t="shared" si="7"/>
        <v>353.2242578119924</v>
      </c>
      <c r="BH44" s="59">
        <f t="shared" si="8"/>
        <v>646.55759114532566</v>
      </c>
      <c r="BI44" s="59">
        <f ca="1">AVERAGE(OFFSET($BH$3,0,0,'Données projet'!$E$11+1,1))-AVERAGE(OFFSET($H$3,0,0,'Données projet'!$E$11+1,1))</f>
        <v>534.59150243554586</v>
      </c>
      <c r="BJ44" s="59">
        <f t="shared" si="38"/>
        <v>259.04458689606491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138.39999999999995</v>
      </c>
      <c r="BZ44" s="13">
        <f>BY44*VLOOKUP('Données projet'!$B$12,Paramètres!$A$1:$I$89,3,0)*VLOOKUP('Données projet'!$B$12,Paramètres!$A$1:$I$89,5,0)</f>
        <v>120.90623999999997</v>
      </c>
      <c r="CA44" s="13">
        <f t="shared" si="39"/>
        <v>31.886272251257857</v>
      </c>
      <c r="CB44" s="20">
        <f t="shared" si="10"/>
        <v>266.11362550427401</v>
      </c>
      <c r="CC44" s="59">
        <f t="shared" si="11"/>
        <v>559.44695883760733</v>
      </c>
      <c r="CD44" s="59">
        <f ca="1">AVERAGE(OFFSET($CC$3,0,0,'Données projet'!$E$12+1,1))-AVERAGE(OFFSET($H$3,0,0,'Données projet'!$E$12+1,1))</f>
        <v>211.91720528436969</v>
      </c>
      <c r="CE44" s="59">
        <f t="shared" si="40"/>
        <v>218.88548486038957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3.887142857142857</v>
      </c>
      <c r="CT44" s="12">
        <f>IF('Données projet'!$A$140&gt;35,CT43+CS44-DB43,IF(A44&lt;'Données projet'!$A$140,$CQ$205^A44,IF(A44='Données projet'!$A$140,'Données projet'!$B$140,CT43+CS44-DB43)))</f>
        <v>159.37285714285724</v>
      </c>
      <c r="CU44" s="17">
        <f>CT44*VLOOKUP('Données projet'!$B$13,Paramètres!$A$1:$I$89,3,0)*VLOOKUP('Données projet'!$B$13,Paramètres!$A$1:$I$89,5,0)</f>
        <v>144.20056114285723</v>
      </c>
      <c r="CV44" s="13">
        <f t="shared" si="41"/>
        <v>37.257633154444321</v>
      </c>
      <c r="CW44" s="20">
        <f t="shared" si="13"/>
        <v>316.03968840113345</v>
      </c>
      <c r="CX44" s="59">
        <f t="shared" si="14"/>
        <v>609.37302173446676</v>
      </c>
      <c r="CY44" s="59">
        <f ca="1">AVERAGE(OFFSET($CX$3,0,0,'Données projet'!$E$13+1,1))-AVERAGE(OFFSET($H$3,0,0,'Données projet'!$E$13+1,1))</f>
        <v>469.97161976912071</v>
      </c>
      <c r="CZ44" s="59">
        <f t="shared" si="42"/>
        <v>231.65013084759306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3.887142857142857</v>
      </c>
      <c r="DO44" s="12">
        <f>IF('Données projet'!$A$166&gt;35,DO43+DN44-DW43,IF(A44&lt;'Données projet'!$A$166,$DL$205^A44,IF(A44='Données projet'!$A$166,'Données projet'!$B$166,DO43+DN44-DW43)))</f>
        <v>159.37285714285724</v>
      </c>
      <c r="DP44" s="17">
        <f>DO44*VLOOKUP('Données projet'!$B$14,Paramètres!$A$1:$I$89,3,0)*VLOOKUP('Données projet'!$B$14,Paramètres!$A$1:$I$89,5,0)</f>
        <v>154.14542742857151</v>
      </c>
      <c r="DQ44" s="13">
        <f t="shared" si="43"/>
        <v>39.519148999637181</v>
      </c>
      <c r="DR44" s="20">
        <f t="shared" si="16"/>
        <v>337.29913727913015</v>
      </c>
      <c r="DS44" s="59">
        <f t="shared" si="17"/>
        <v>630.63247061246352</v>
      </c>
      <c r="DT44" s="59">
        <f ca="1">AVERAGE(OFFSET($DS$3,0,0,'Données projet'!$E$14+1,1))-AVERAGE(OFFSET($H$3,0,0,'Données projet'!$E$14+1,1))</f>
        <v>506.9153247310901</v>
      </c>
      <c r="DU44" s="59">
        <f t="shared" si="44"/>
        <v>247.31254626788319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4.5262222222222226</v>
      </c>
      <c r="N45" s="13">
        <f>IF('Données projet'!$A$36&gt;35,N44+M45-V44,IF(A45&lt;'Données projet'!$A$36,$K$205^A45,IF(A45='Données projet'!$A$36,'Données projet'!$B$36,N44+M45-V44)))</f>
        <v>190.10133333333337</v>
      </c>
      <c r="O45" s="13">
        <f>N45*VLOOKUP('Données projet'!$B$9,Paramètres!$A$1:$I$89,3,0)*VLOOKUP('Données projet'!$B$9,Paramètres!$A$1:$I$89,5,0)</f>
        <v>113.68059733333337</v>
      </c>
      <c r="P45" s="13">
        <f t="shared" si="33"/>
        <v>30.196493958549215</v>
      </c>
      <c r="Q45" s="20">
        <f t="shared" si="53"/>
        <v>250.5859340000288</v>
      </c>
      <c r="R45" s="59">
        <f t="shared" si="0"/>
        <v>543.91926733336209</v>
      </c>
      <c r="S45" s="59">
        <f ca="1">AVERAGE(OFFSET($R$3,0,0,'Données projet'!$E$9+1,1))-AVERAGE(OFFSET($H$3,0,0,'Données projet'!$E$9+1,1))</f>
        <v>193.8828274189392</v>
      </c>
      <c r="T45" s="59">
        <f t="shared" si="34"/>
        <v>179.13381331066427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13.263000000000002</v>
      </c>
      <c r="AI45" s="13">
        <f>IF('Données projet'!$A$62&gt;35,AI44+AH45-AQ44,IF(A45&lt;'Données projet'!$A$62,$AF$205^A45,IF(A45='Données projet'!$A$62,'Données projet'!$B$62,AI44+AH45-AQ44)))</f>
        <v>194.95599999999999</v>
      </c>
      <c r="AJ45" s="13">
        <f>AI45*VLOOKUP('Données projet'!$B$10,Paramètres!$A$1:$I$89,3,0)*VLOOKUP('Données projet'!$B$10,Paramètres!$A$1:$I$89,5,0)</f>
        <v>116.58368800000001</v>
      </c>
      <c r="AK45" s="13">
        <f t="shared" si="35"/>
        <v>30.876866196156154</v>
      </c>
      <c r="AL45" s="20">
        <f t="shared" si="4"/>
        <v>256.8271318916386</v>
      </c>
      <c r="AM45" s="59">
        <f t="shared" si="5"/>
        <v>550.16046522497186</v>
      </c>
      <c r="AN45" s="59">
        <f ca="1">AVERAGE(OFFSET($AM$3,0,0,'Données projet'!$E$10+1,1))-AVERAGE(OFFSET($H$3,0,0,'Données projet'!$E$10+1,1))</f>
        <v>228.36873053496748</v>
      </c>
      <c r="AO45" s="59">
        <f t="shared" si="36"/>
        <v>177.73676400313303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11.183354376426434</v>
      </c>
      <c r="AV45" s="21">
        <f>EXP(-LN(2)/25)*AV44+(1-EXP(-LN(2)/25))/(LN(2)/25)*Calculateur!AQ45*Calculateur!AS45*VLOOKUP('Données projet'!$B$10,Paramètres!$A$1:$I$89,3,0)*0.475*44/12</f>
        <v>24.66838490581388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35.851739282240317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165.54564000000011</v>
      </c>
      <c r="BF45" s="13">
        <f t="shared" si="37"/>
        <v>42.090858732498674</v>
      </c>
      <c r="BG45" s="20">
        <f t="shared" si="7"/>
        <v>361.6335686257687</v>
      </c>
      <c r="BH45" s="59">
        <f t="shared" si="8"/>
        <v>654.96690195910196</v>
      </c>
      <c r="BI45" s="59">
        <f ca="1">AVERAGE(OFFSET($BH$3,0,0,'Données projet'!$E$11+1,1))-AVERAGE(OFFSET($H$3,0,0,'Données projet'!$E$11+1,1))</f>
        <v>534.59150243554586</v>
      </c>
      <c r="BJ45" s="59">
        <f t="shared" si="38"/>
        <v>259.04458689606491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6.2482592672807336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6.2482592672807336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144.79999999999995</v>
      </c>
      <c r="BZ45" s="13">
        <f>BY45*VLOOKUP('Données projet'!$B$12,Paramètres!$A$1:$I$89,3,0)*VLOOKUP('Données projet'!$B$12,Paramètres!$A$1:$I$89,5,0)</f>
        <v>126.49727999999998</v>
      </c>
      <c r="CA45" s="13">
        <f t="shared" si="39"/>
        <v>33.185701456959592</v>
      </c>
      <c r="CB45" s="20">
        <f t="shared" si="10"/>
        <v>278.11452603753787</v>
      </c>
      <c r="CC45" s="59">
        <f t="shared" si="11"/>
        <v>571.44785937087113</v>
      </c>
      <c r="CD45" s="59">
        <f ca="1">AVERAGE(OFFSET($CC$3,0,0,'Données projet'!$E$12+1,1))-AVERAGE(OFFSET($H$3,0,0,'Données projet'!$E$12+1,1))</f>
        <v>211.91720528436969</v>
      </c>
      <c r="CE45" s="59">
        <f t="shared" si="40"/>
        <v>218.88548486038957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163.26</v>
      </c>
      <c r="CR45" s="12">
        <f>VLOOKUP(A45,'Données projet'!$A$139:$I$159,9,0)</f>
        <v>3.887142857142857</v>
      </c>
      <c r="CS45" s="12">
        <f t="array" ref="CS45">INDEX(CR:CR,MIN(IF(ISNUMBER(CR45:CR241),ROW(CR45:CR241),"")))</f>
        <v>3.887142857142857</v>
      </c>
      <c r="CT45" s="12">
        <f>IF('Données projet'!$A$140&gt;35,CT44+CS45-DB44,IF(A45&lt;'Données projet'!$A$140,$CQ$205^A45,IF(A45='Données projet'!$A$140,'Données projet'!$B$140,CT44+CS45-DB44)))</f>
        <v>163.2600000000001</v>
      </c>
      <c r="CU45" s="17">
        <f>CT45*VLOOKUP('Données projet'!$B$13,Paramètres!$A$1:$I$89,3,0)*VLOOKUP('Données projet'!$B$13,Paramètres!$A$1:$I$89,5,0)</f>
        <v>147.71764800000008</v>
      </c>
      <c r="CV45" s="13">
        <f t="shared" si="41"/>
        <v>38.059451005131997</v>
      </c>
      <c r="CW45" s="20">
        <f t="shared" si="13"/>
        <v>323.56178076727167</v>
      </c>
      <c r="CX45" s="59">
        <f t="shared" si="14"/>
        <v>616.89511410060504</v>
      </c>
      <c r="CY45" s="59">
        <f ca="1">AVERAGE(OFFSET($CX$3,0,0,'Données projet'!$E$13+1,1))-AVERAGE(OFFSET($H$3,0,0,'Données projet'!$E$13+1,1))</f>
        <v>469.97161976912071</v>
      </c>
      <c r="CZ45" s="59">
        <f t="shared" si="42"/>
        <v>231.65013084759306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0.129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5.575369807727423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5.575369807727423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163.26</v>
      </c>
      <c r="DM45" s="12">
        <f>VLOOKUP(A45,'Données projet'!$A$165:$I$185,9,0)</f>
        <v>3.887142857142857</v>
      </c>
      <c r="DN45" s="12">
        <f t="array" ref="DN45">INDEX(DM:DM,MIN(IF(ISNUMBER(DM45:DM241),ROW(DM45:DM241),"")))</f>
        <v>3.887142857142857</v>
      </c>
      <c r="DO45" s="12">
        <f>IF('Données projet'!$A$166&gt;35,DO44+DN45-DW44,IF(A45&lt;'Données projet'!$A$166,$DL$205^A45,IF(A45='Données projet'!$A$166,'Données projet'!$B$166,DO44+DN45-DW44)))</f>
        <v>163.2600000000001</v>
      </c>
      <c r="DP45" s="17">
        <f>DO45*VLOOKUP('Données projet'!$B$14,Paramètres!$A$1:$I$89,3,0)*VLOOKUP('Données projet'!$B$14,Paramètres!$A$1:$I$89,5,0)</f>
        <v>157.9050720000001</v>
      </c>
      <c r="DQ45" s="13">
        <f t="shared" si="43"/>
        <v>40.369636709915028</v>
      </c>
      <c r="DR45" s="20">
        <f t="shared" si="16"/>
        <v>345.32845100310215</v>
      </c>
      <c r="DS45" s="59">
        <f t="shared" si="17"/>
        <v>638.6617843364354</v>
      </c>
      <c r="DT45" s="59">
        <f ca="1">AVERAGE(OFFSET($DS$3,0,0,'Données projet'!$E$14+1,1))-AVERAGE(OFFSET($H$3,0,0,'Données projet'!$E$14+1,1))</f>
        <v>506.9153247310901</v>
      </c>
      <c r="DU45" s="59">
        <f t="shared" si="44"/>
        <v>247.31254626788319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43.21</v>
      </c>
      <c r="DX45" s="16">
        <f>IF(ISNA(VLOOKUP(A45,'Données projet'!$A$165:$I$185,5,0)),0%,VLOOKUP(A45,'Données projet'!$A$165:$I$185,5,0)*VLOOKUP('Données projet'!$B$14,Paramètres!$A$1:$I$89,7,0))</f>
        <v>0.129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5.9598780703293146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5.9598780703293146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4.5262222222222226</v>
      </c>
      <c r="N46" s="13">
        <f>IF('Données projet'!$A$36&gt;35,N45+M46-V45,IF(A46&lt;'Données projet'!$A$36,$K$205^A46,IF(A46='Données projet'!$A$36,'Données projet'!$B$36,N45+M46-V45)))</f>
        <v>194.6275555555556</v>
      </c>
      <c r="O46" s="13">
        <f>N46*VLOOKUP('Données projet'!$B$9,Paramètres!$A$1:$I$89,3,0)*VLOOKUP('Données projet'!$B$9,Paramètres!$A$1:$I$89,5,0)</f>
        <v>116.38727822222226</v>
      </c>
      <c r="P46" s="13">
        <f t="shared" si="33"/>
        <v>30.830898065304599</v>
      </c>
      <c r="Q46" s="20">
        <f t="shared" si="53"/>
        <v>256.40499036744262</v>
      </c>
      <c r="R46" s="59">
        <f t="shared" si="0"/>
        <v>549.73832370077594</v>
      </c>
      <c r="S46" s="59">
        <f ca="1">AVERAGE(OFFSET($R$3,0,0,'Données projet'!$E$9+1,1))-AVERAGE(OFFSET($H$3,0,0,'Données projet'!$E$9+1,1))</f>
        <v>193.8828274189392</v>
      </c>
      <c r="T46" s="59">
        <f t="shared" si="34"/>
        <v>179.13381331066427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13.263000000000002</v>
      </c>
      <c r="AI46" s="13">
        <f>IF('Données projet'!$A$62&gt;35,AI45+AH46-AQ45,IF(A46&lt;'Données projet'!$A$62,$AF$205^A46,IF(A46='Données projet'!$A$62,'Données projet'!$B$62,AI45+AH46-AQ45)))</f>
        <v>208.21899999999999</v>
      </c>
      <c r="AJ46" s="13">
        <f>AI46*VLOOKUP('Données projet'!$B$10,Paramètres!$A$1:$I$89,3,0)*VLOOKUP('Données projet'!$B$10,Paramètres!$A$1:$I$89,5,0)</f>
        <v>124.514962</v>
      </c>
      <c r="AK46" s="13">
        <f t="shared" si="35"/>
        <v>32.725765791483454</v>
      </c>
      <c r="AL46" s="20">
        <f t="shared" si="4"/>
        <v>273.86093423683366</v>
      </c>
      <c r="AM46" s="59">
        <f t="shared" si="5"/>
        <v>567.19426757016697</v>
      </c>
      <c r="AN46" s="59">
        <f ca="1">AVERAGE(OFFSET($AM$3,0,0,'Données projet'!$E$10+1,1))-AVERAGE(OFFSET($H$3,0,0,'Données projet'!$E$10+1,1))</f>
        <v>228.36873053496748</v>
      </c>
      <c r="AO46" s="59">
        <f t="shared" si="36"/>
        <v>177.73676400313303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10.964055618277348</v>
      </c>
      <c r="AV46" s="21">
        <f>EXP(-LN(2)/25)*AV45+(1-EXP(-LN(2)/25))/(LN(2)/25)*Calculateur!AQ46*Calculateur!AS46*VLOOKUP('Données projet'!$B$10,Paramètres!$A$1:$I$89,3,0)*0.475*44/12</f>
        <v>23.993826623310419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34.957882241587768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131.23314750000011</v>
      </c>
      <c r="BF46" s="13">
        <f t="shared" si="37"/>
        <v>34.281146756704409</v>
      </c>
      <c r="BG46" s="20">
        <f t="shared" si="7"/>
        <v>288.27072916376034</v>
      </c>
      <c r="BH46" s="59">
        <f t="shared" si="8"/>
        <v>581.60406249709365</v>
      </c>
      <c r="BI46" s="59">
        <f ca="1">AVERAGE(OFFSET($BH$3,0,0,'Données projet'!$E$11+1,1))-AVERAGE(OFFSET($H$3,0,0,'Données projet'!$E$11+1,1))</f>
        <v>534.59150243554586</v>
      </c>
      <c r="BJ46" s="59">
        <f t="shared" si="38"/>
        <v>259.04458689606491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6.1257347141112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6.1257347141112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151.19999999999996</v>
      </c>
      <c r="BZ46" s="13">
        <f>BY46*VLOOKUP('Données projet'!$B$12,Paramètres!$A$1:$I$89,3,0)*VLOOKUP('Données projet'!$B$12,Paramètres!$A$1:$I$89,5,0)</f>
        <v>132.08831999999998</v>
      </c>
      <c r="CA46" s="13">
        <f t="shared" si="39"/>
        <v>34.47846029657056</v>
      </c>
      <c r="CB46" s="20">
        <f t="shared" si="10"/>
        <v>290.10380901652701</v>
      </c>
      <c r="CC46" s="59">
        <f t="shared" si="11"/>
        <v>583.43714234986032</v>
      </c>
      <c r="CD46" s="59">
        <f ca="1">AVERAGE(OFFSET($CC$3,0,0,'Données projet'!$E$12+1,1))-AVERAGE(OFFSET($H$3,0,0,'Données projet'!$E$12+1,1))</f>
        <v>211.91720528436969</v>
      </c>
      <c r="CE46" s="59">
        <f t="shared" si="40"/>
        <v>218.88548486038957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9.3712500000000034</v>
      </c>
      <c r="CT46" s="12">
        <f>IF('Données projet'!$A$140&gt;35,CT45+CS46-DB45,IF(A46&lt;'Données projet'!$A$140,$CQ$205^A46,IF(A46='Données projet'!$A$140,'Données projet'!$B$140,CT45+CS46-DB45)))</f>
        <v>129.4212500000001</v>
      </c>
      <c r="CU46" s="17">
        <f>CT46*VLOOKUP('Données projet'!$B$13,Paramètres!$A$1:$I$89,3,0)*VLOOKUP('Données projet'!$B$13,Paramètres!$A$1:$I$89,5,0)</f>
        <v>117.10034700000008</v>
      </c>
      <c r="CV46" s="13">
        <f t="shared" si="41"/>
        <v>30.997743089027207</v>
      </c>
      <c r="CW46" s="20">
        <f t="shared" si="13"/>
        <v>257.93750690505584</v>
      </c>
      <c r="CX46" s="59">
        <f t="shared" si="14"/>
        <v>551.27084023838916</v>
      </c>
      <c r="CY46" s="59">
        <f ca="1">AVERAGE(OFFSET($CX$3,0,0,'Données projet'!$E$13+1,1))-AVERAGE(OFFSET($H$3,0,0,'Données projet'!$E$13+1,1))</f>
        <v>469.97161976912071</v>
      </c>
      <c r="CZ46" s="59">
        <f t="shared" si="42"/>
        <v>231.65013084759306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5.4660402064376861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5.4660402064376861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9.3712500000000034</v>
      </c>
      <c r="DO46" s="12">
        <f>IF('Données projet'!$A$166&gt;35,DO45+DN46-DW45,IF(A46&lt;'Données projet'!$A$166,$DL$205^A46,IF(A46='Données projet'!$A$166,'Données projet'!$B$166,DO45+DN46-DW45)))</f>
        <v>129.4212500000001</v>
      </c>
      <c r="DP46" s="17">
        <f>DO46*VLOOKUP('Données projet'!$B$14,Paramètres!$A$1:$I$89,3,0)*VLOOKUP('Données projet'!$B$14,Paramètres!$A$1:$I$89,5,0)</f>
        <v>125.1762330000001</v>
      </c>
      <c r="DQ46" s="13">
        <f t="shared" si="43"/>
        <v>32.879287385479394</v>
      </c>
      <c r="DR46" s="20">
        <f t="shared" si="16"/>
        <v>275.28003133804344</v>
      </c>
      <c r="DS46" s="59">
        <f t="shared" si="17"/>
        <v>568.61336467137676</v>
      </c>
      <c r="DT46" s="59">
        <f ca="1">AVERAGE(OFFSET($DS$3,0,0,'Données projet'!$E$14+1,1))-AVERAGE(OFFSET($H$3,0,0,'Données projet'!$E$14+1,1))</f>
        <v>506.9153247310901</v>
      </c>
      <c r="DU46" s="59">
        <f t="shared" si="44"/>
        <v>247.31254626788319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5.8430084965368367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5.8430084965368367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4.5262222222222226</v>
      </c>
      <c r="N47" s="13">
        <f>IF('Données projet'!$A$36&gt;35,N46+M47-V46,IF(A47&lt;'Données projet'!$A$36,$K$205^A47,IF(A47='Données projet'!$A$36,'Données projet'!$B$36,N46+M47-V46)))</f>
        <v>199.15377777777783</v>
      </c>
      <c r="O47" s="13">
        <f>N47*VLOOKUP('Données projet'!$B$9,Paramètres!$A$1:$I$89,3,0)*VLOOKUP('Données projet'!$B$9,Paramètres!$A$1:$I$89,5,0)</f>
        <v>119.09395911111116</v>
      </c>
      <c r="P47" s="13">
        <f t="shared" si="33"/>
        <v>31.463587013769192</v>
      </c>
      <c r="Q47" s="20">
        <f t="shared" si="53"/>
        <v>262.22105950083329</v>
      </c>
      <c r="R47" s="59">
        <f t="shared" si="0"/>
        <v>555.55439283416661</v>
      </c>
      <c r="S47" s="59">
        <f ca="1">AVERAGE(OFFSET($R$3,0,0,'Données projet'!$E$9+1,1))-AVERAGE(OFFSET($H$3,0,0,'Données projet'!$E$9+1,1))</f>
        <v>193.8828274189392</v>
      </c>
      <c r="T47" s="59">
        <f t="shared" si="34"/>
        <v>179.13381331066427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13.263000000000002</v>
      </c>
      <c r="AI47" s="13">
        <f>IF('Données projet'!$A$62&gt;35,AI46+AH47-AQ46,IF(A47&lt;'Données projet'!$A$62,$AF$205^A47,IF(A47='Données projet'!$A$62,'Données projet'!$B$62,AI46+AH47-AQ46)))</f>
        <v>221.482</v>
      </c>
      <c r="AJ47" s="13">
        <f>AI47*VLOOKUP('Données projet'!$B$10,Paramètres!$A$1:$I$89,3,0)*VLOOKUP('Données projet'!$B$10,Paramètres!$A$1:$I$89,5,0)</f>
        <v>132.446236</v>
      </c>
      <c r="AK47" s="13">
        <f t="shared" si="35"/>
        <v>34.56099789748054</v>
      </c>
      <c r="AL47" s="20">
        <f t="shared" si="4"/>
        <v>290.87093237144524</v>
      </c>
      <c r="AM47" s="59">
        <f t="shared" si="5"/>
        <v>584.20426570477855</v>
      </c>
      <c r="AN47" s="59">
        <f ca="1">AVERAGE(OFFSET($AM$3,0,0,'Données projet'!$E$10+1,1))-AVERAGE(OFFSET($H$3,0,0,'Données projet'!$E$10+1,1))</f>
        <v>228.36873053496748</v>
      </c>
      <c r="AO47" s="59">
        <f t="shared" si="36"/>
        <v>177.73676400313303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10.749057175016528</v>
      </c>
      <c r="AV47" s="21">
        <f>EXP(-LN(2)/25)*AV46+(1-EXP(-LN(2)/25))/(LN(2)/25)*Calculateur!AQ47*Calculateur!AS47*VLOOKUP('Données projet'!$B$10,Paramètres!$A$1:$I$89,3,0)*0.475*44/12</f>
        <v>23.337714172515494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34.086771347532022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140.7355950000001</v>
      </c>
      <c r="BF47" s="13">
        <f t="shared" si="37"/>
        <v>36.465468549139587</v>
      </c>
      <c r="BG47" s="20">
        <f t="shared" si="7"/>
        <v>308.62518568141826</v>
      </c>
      <c r="BH47" s="59">
        <f t="shared" si="8"/>
        <v>601.95851901475157</v>
      </c>
      <c r="BI47" s="59">
        <f ca="1">AVERAGE(OFFSET($BH$3,0,0,'Données projet'!$E$11+1,1))-AVERAGE(OFFSET($H$3,0,0,'Données projet'!$E$11+1,1))</f>
        <v>534.59150243554586</v>
      </c>
      <c r="BJ47" s="59">
        <f t="shared" si="38"/>
        <v>259.04458689606491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6.0056127926967227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6.0056127926967227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157.59999999999997</v>
      </c>
      <c r="BZ47" s="13">
        <f>BY47*VLOOKUP('Données projet'!$B$12,Paramètres!$A$1:$I$89,3,0)*VLOOKUP('Données projet'!$B$12,Paramètres!$A$1:$I$89,5,0)</f>
        <v>137.67935999999997</v>
      </c>
      <c r="CA47" s="13">
        <f t="shared" si="39"/>
        <v>35.764863394856881</v>
      </c>
      <c r="CB47" s="20">
        <f t="shared" si="10"/>
        <v>302.08202241270902</v>
      </c>
      <c r="CC47" s="59">
        <f t="shared" si="11"/>
        <v>595.41535574604234</v>
      </c>
      <c r="CD47" s="59">
        <f ca="1">AVERAGE(OFFSET($CC$3,0,0,'Données projet'!$E$12+1,1))-AVERAGE(OFFSET($H$3,0,0,'Données projet'!$E$12+1,1))</f>
        <v>211.91720528436969</v>
      </c>
      <c r="CE47" s="59">
        <f t="shared" si="40"/>
        <v>218.88548486038957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9.3712500000000034</v>
      </c>
      <c r="CT47" s="12">
        <f>IF('Données projet'!$A$140&gt;35,CT46+CS47-DB46,IF(A47&lt;'Données projet'!$A$140,$CQ$205^A47,IF(A47='Données projet'!$A$140,'Données projet'!$B$140,CT46+CS47-DB46)))</f>
        <v>138.7925000000001</v>
      </c>
      <c r="CU47" s="17">
        <f>CT47*VLOOKUP('Données projet'!$B$13,Paramètres!$A$1:$I$89,3,0)*VLOOKUP('Données projet'!$B$13,Paramètres!$A$1:$I$89,5,0)</f>
        <v>125.5794540000001</v>
      </c>
      <c r="CV47" s="13">
        <f t="shared" si="41"/>
        <v>32.97285338000448</v>
      </c>
      <c r="CW47" s="20">
        <f t="shared" si="13"/>
        <v>276.14526868684135</v>
      </c>
      <c r="CX47" s="59">
        <f t="shared" si="14"/>
        <v>569.47860202017466</v>
      </c>
      <c r="CY47" s="59">
        <f ca="1">AVERAGE(OFFSET($CX$3,0,0,'Données projet'!$E$13+1,1))-AVERAGE(OFFSET($H$3,0,0,'Données projet'!$E$13+1,1))</f>
        <v>469.97161976912071</v>
      </c>
      <c r="CZ47" s="59">
        <f t="shared" si="42"/>
        <v>231.65013084759306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5.3588544919447685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5.3588544919447685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9.3712500000000034</v>
      </c>
      <c r="DO47" s="12">
        <f>IF('Données projet'!$A$166&gt;35,DO46+DN47-DW46,IF(A47&lt;'Données projet'!$A$166,$DL$205^A47,IF(A47='Données projet'!$A$166,'Données projet'!$B$166,DO46+DN47-DW46)))</f>
        <v>138.7925000000001</v>
      </c>
      <c r="DP47" s="17">
        <f>DO47*VLOOKUP('Données projet'!$B$14,Paramètres!$A$1:$I$89,3,0)*VLOOKUP('Données projet'!$B$14,Paramètres!$A$1:$I$89,5,0)</f>
        <v>134.24010600000011</v>
      </c>
      <c r="DQ47" s="13">
        <f t="shared" si="43"/>
        <v>34.974285679017981</v>
      </c>
      <c r="DR47" s="20">
        <f t="shared" si="16"/>
        <v>294.71506550762314</v>
      </c>
      <c r="DS47" s="59">
        <f t="shared" si="17"/>
        <v>588.04839884095645</v>
      </c>
      <c r="DT47" s="59">
        <f ca="1">AVERAGE(OFFSET($DS$3,0,0,'Données projet'!$E$14+1,1))-AVERAGE(OFFSET($H$3,0,0,'Données projet'!$E$14+1,1))</f>
        <v>506.9153247310901</v>
      </c>
      <c r="DU47" s="59">
        <f t="shared" si="44"/>
        <v>247.31254626788319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5.728430663803028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5.728430663803028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203.68</v>
      </c>
      <c r="L48" s="12">
        <f>VLOOKUP(A48,'Données projet'!$A$35:$I$55,9,0)</f>
        <v>4.5262222222222226</v>
      </c>
      <c r="M48" s="12">
        <f t="array" ref="M48">INDEX(L:L,MIN(IF(ISNUMBER(L48:L244),ROW(L48:L244),"")))</f>
        <v>4.5262222222222226</v>
      </c>
      <c r="N48" s="13">
        <f>IF('Données projet'!$A$36&gt;35,N47+M48-V47,IF(A48&lt;'Données projet'!$A$36,$K$205^A48,IF(A48='Données projet'!$A$36,'Données projet'!$B$36,N47+M48-V47)))</f>
        <v>203.68000000000006</v>
      </c>
      <c r="O48" s="13">
        <f>N48*VLOOKUP('Données projet'!$B$9,Paramètres!$A$1:$I$89,3,0)*VLOOKUP('Données projet'!$B$9,Paramètres!$A$1:$I$89,5,0)</f>
        <v>121.80064000000004</v>
      </c>
      <c r="P48" s="13">
        <f t="shared" si="33"/>
        <v>32.09460427223668</v>
      </c>
      <c r="Q48" s="20">
        <f t="shared" si="53"/>
        <v>268.03421710747892</v>
      </c>
      <c r="R48" s="59">
        <f t="shared" si="0"/>
        <v>561.36755044081224</v>
      </c>
      <c r="S48" s="59">
        <f ca="1">AVERAGE(OFFSET($R$3,0,0,'Données projet'!$E$9+1,1))-AVERAGE(OFFSET($H$3,0,0,'Données projet'!$E$9+1,1))</f>
        <v>193.8828274189392</v>
      </c>
      <c r="T48" s="59">
        <f t="shared" si="34"/>
        <v>179.13381331066427</v>
      </c>
      <c r="U48" s="15">
        <f>IF(ISNA(VLOOKUP(A48,'Données projet'!$A$35:$I$55,3,0)),0,VLOOKUP(A48,'Données projet'!$A$35:$I$55,3,0))</f>
        <v>1</v>
      </c>
      <c r="V48" s="15">
        <f>IF(ISNA(VLOOKUP(A48,'Données projet'!$A$35:$I$55,4,0)),0,VLOOKUP(A48,'Données projet'!$A$35:$I$55,4,0))</f>
        <v>73.989999999999995</v>
      </c>
      <c r="W48" s="16">
        <f>IF(ISNA(VLOOKUP(A48,'Données projet'!$A$35:$I$55,5,0)),0%,VLOOKUP(A48,'Données projet'!$A$35:$I$55,5,0)*VLOOKUP('Données projet'!$B$9,Paramètres!$A$1:$I$89,7,0))</f>
        <v>0.22500000000000001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13.206419421000076</v>
      </c>
      <c r="AA48" s="21">
        <f>EXP(-LN(2)/25)*AA47+(1-EXP(-LN(2)/25))/(LN(2)/25)*Calculateur!V48*Calculateur!X48*VLOOKUP('Données projet'!$B$9,Paramètres!$A$1:$I$89,3,0)*0.475*44/12</f>
        <v>13.154420715699295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26.360840136699373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13.263000000000002</v>
      </c>
      <c r="AI48" s="13">
        <f>IF('Données projet'!$A$62&gt;35,AI47+AH48-AQ47,IF(A48&lt;'Données projet'!$A$62,$AF$205^A48,IF(A48='Données projet'!$A$62,'Données projet'!$B$62,AI47+AH48-AQ47)))</f>
        <v>234.745</v>
      </c>
      <c r="AJ48" s="13">
        <f>AI48*VLOOKUP('Données projet'!$B$10,Paramètres!$A$1:$I$89,3,0)*VLOOKUP('Données projet'!$B$10,Paramètres!$A$1:$I$89,5,0)</f>
        <v>140.37751000000003</v>
      </c>
      <c r="AK48" s="13">
        <f t="shared" si="35"/>
        <v>36.383474176235346</v>
      </c>
      <c r="AL48" s="20">
        <f t="shared" si="4"/>
        <v>307.8587141069433</v>
      </c>
      <c r="AM48" s="59">
        <f t="shared" si="5"/>
        <v>601.19204744027661</v>
      </c>
      <c r="AN48" s="59">
        <f ca="1">AVERAGE(OFFSET($AM$3,0,0,'Données projet'!$E$10+1,1))-AVERAGE(OFFSET($H$3,0,0,'Données projet'!$E$10+1,1))</f>
        <v>228.36873053496748</v>
      </c>
      <c r="AO48" s="59">
        <f t="shared" si="36"/>
        <v>177.73676400313303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10.538274720091952</v>
      </c>
      <c r="AV48" s="21">
        <f>EXP(-LN(2)/25)*AV47+(1-EXP(-LN(2)/25))/(LN(2)/25)*Calculateur!AQ48*Calculateur!AS48*VLOOKUP('Données projet'!$B$10,Paramètres!$A$1:$I$89,3,0)*0.475*44/12</f>
        <v>22.699543151191008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33.237817871282957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150.23804250000012</v>
      </c>
      <c r="BF48" s="13">
        <f t="shared" si="37"/>
        <v>38.632676639775759</v>
      </c>
      <c r="BG48" s="20">
        <f t="shared" si="7"/>
        <v>328.94983583510964</v>
      </c>
      <c r="BH48" s="59">
        <f t="shared" si="8"/>
        <v>622.28316916844301</v>
      </c>
      <c r="BI48" s="59">
        <f ca="1">AVERAGE(OFFSET($BH$3,0,0,'Données projet'!$E$11+1,1))-AVERAGE(OFFSET($H$3,0,0,'Données projet'!$E$11+1,1))</f>
        <v>534.59150243554586</v>
      </c>
      <c r="BJ48" s="59">
        <f t="shared" si="38"/>
        <v>259.04458689606491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5.8878463888940464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5.8878463888940464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164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163.99999999999997</v>
      </c>
      <c r="BZ48" s="13">
        <f>BY48*VLOOKUP('Données projet'!$B$12,Paramètres!$A$1:$I$89,3,0)*VLOOKUP('Données projet'!$B$12,Paramètres!$A$1:$I$89,5,0)</f>
        <v>143.2704</v>
      </c>
      <c r="CA48" s="13">
        <f t="shared" si="39"/>
        <v>37.045198377171303</v>
      </c>
      <c r="CB48" s="20">
        <f t="shared" si="10"/>
        <v>314.04966717357325</v>
      </c>
      <c r="CC48" s="59">
        <f t="shared" si="11"/>
        <v>607.38300050690657</v>
      </c>
      <c r="CD48" s="59">
        <f ca="1">AVERAGE(OFFSET($CC$3,0,0,'Données projet'!$E$12+1,1))-AVERAGE(OFFSET($H$3,0,0,'Données projet'!$E$12+1,1))</f>
        <v>211.91720528436969</v>
      </c>
      <c r="CE48" s="59">
        <f t="shared" si="40"/>
        <v>218.88548486038957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18</v>
      </c>
      <c r="CH48" s="16">
        <f>IF(ISNA(VLOOKUP(A48,'Données projet'!$A$113:$I$133,5,0)),0%,VLOOKUP(A48,'Données projet'!$A$113:$I$133,5,0)*VLOOKUP('Données projet'!$B$12,Paramètres!$A$1:$I$89,7,0))</f>
        <v>0.159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2.7639447992286783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2.7639447992286783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9.3712500000000034</v>
      </c>
      <c r="CT48" s="12">
        <f>IF('Données projet'!$A$140&gt;35,CT47+CS48-DB47,IF(A48&lt;'Données projet'!$A$140,$CQ$205^A48,IF(A48='Données projet'!$A$140,'Données projet'!$B$140,CT47+CS48-DB47)))</f>
        <v>148.16375000000011</v>
      </c>
      <c r="CU48" s="17">
        <f>CT48*VLOOKUP('Données projet'!$B$13,Paramètres!$A$1:$I$89,3,0)*VLOOKUP('Données projet'!$B$13,Paramètres!$A$1:$I$89,5,0)</f>
        <v>134.05856100000008</v>
      </c>
      <c r="CV48" s="13">
        <f t="shared" si="41"/>
        <v>34.932489097291651</v>
      </c>
      <c r="CW48" s="20">
        <f t="shared" si="13"/>
        <v>294.3260789194498</v>
      </c>
      <c r="CX48" s="59">
        <f t="shared" si="14"/>
        <v>587.65941225278311</v>
      </c>
      <c r="CY48" s="59">
        <f ca="1">AVERAGE(OFFSET($CX$3,0,0,'Données projet'!$E$13+1,1))-AVERAGE(OFFSET($H$3,0,0,'Données projet'!$E$13+1,1))</f>
        <v>469.97161976912071</v>
      </c>
      <c r="CZ48" s="59">
        <f t="shared" si="42"/>
        <v>231.65013084759306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5.2537706239362265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5.2537706239362265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9.3712500000000034</v>
      </c>
      <c r="DO48" s="12">
        <f>IF('Données projet'!$A$166&gt;35,DO47+DN48-DW47,IF(A48&lt;'Données projet'!$A$166,$DL$205^A48,IF(A48='Données projet'!$A$166,'Données projet'!$B$166,DO47+DN48-DW47)))</f>
        <v>148.16375000000011</v>
      </c>
      <c r="DP48" s="17">
        <f>DO48*VLOOKUP('Données projet'!$B$14,Paramètres!$A$1:$I$89,3,0)*VLOOKUP('Données projet'!$B$14,Paramètres!$A$1:$I$89,5,0)</f>
        <v>143.30397900000011</v>
      </c>
      <c r="DQ48" s="13">
        <f t="shared" si="43"/>
        <v>37.052870101583345</v>
      </c>
      <c r="DR48" s="20">
        <f t="shared" si="16"/>
        <v>314.12151218525787</v>
      </c>
      <c r="DS48" s="59">
        <f t="shared" si="17"/>
        <v>607.45484551859113</v>
      </c>
      <c r="DT48" s="59">
        <f ca="1">AVERAGE(OFFSET($DS$3,0,0,'Données projet'!$E$14+1,1))-AVERAGE(OFFSET($H$3,0,0,'Données projet'!$E$14+1,1))</f>
        <v>506.9153247310901</v>
      </c>
      <c r="DU48" s="59">
        <f t="shared" si="44"/>
        <v>247.31254626788319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5.6160996324835519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5.6160996324835519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7.5280000000000014</v>
      </c>
      <c r="N49" s="13">
        <f>IF('Données projet'!$A$36&gt;35,N48+M49-V48,IF(A49&lt;'Données projet'!$A$36,$K$205^A49,IF(A49='Données projet'!$A$36,'Données projet'!$B$36,N48+M49-V48)))</f>
        <v>137.21800000000007</v>
      </c>
      <c r="O49" s="13">
        <f>N49*VLOOKUP('Données projet'!$B$9,Paramètres!$A$1:$I$89,3,0)*VLOOKUP('Données projet'!$B$9,Paramètres!$A$1:$I$89,5,0)</f>
        <v>82.056364000000045</v>
      </c>
      <c r="P49" s="13">
        <f t="shared" si="33"/>
        <v>22.63923073696672</v>
      </c>
      <c r="Q49" s="20">
        <f t="shared" si="53"/>
        <v>182.34482750021712</v>
      </c>
      <c r="R49" s="59">
        <f t="shared" si="0"/>
        <v>475.67816083355046</v>
      </c>
      <c r="S49" s="59">
        <f ca="1">AVERAGE(OFFSET($R$3,0,0,'Données projet'!$E$9+1,1))-AVERAGE(OFFSET($H$3,0,0,'Données projet'!$E$9+1,1))</f>
        <v>193.8828274189392</v>
      </c>
      <c r="T49" s="59">
        <f t="shared" si="34"/>
        <v>179.13381331066427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12.947449591274735</v>
      </c>
      <c r="AA49" s="21">
        <f>EXP(-LN(2)/25)*AA48+(1-EXP(-LN(2)/25))/(LN(2)/25)*Calculateur!V49*Calculateur!X49*VLOOKUP('Données projet'!$B$9,Paramètres!$A$1:$I$89,3,0)*0.475*44/12</f>
        <v>12.794712389467577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25.74216198074231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13.263000000000002</v>
      </c>
      <c r="AI49" s="13">
        <f>IF('Données projet'!$A$62&gt;35,AI48+AH49-AQ48,IF(A49&lt;'Données projet'!$A$62,$AF$205^A49,IF(A49='Données projet'!$A$62,'Données projet'!$B$62,AI48+AH49-AQ48)))</f>
        <v>248.00800000000001</v>
      </c>
      <c r="AJ49" s="13">
        <f>AI49*VLOOKUP('Données projet'!$B$10,Paramètres!$A$1:$I$89,3,0)*VLOOKUP('Données projet'!$B$10,Paramètres!$A$1:$I$89,5,0)</f>
        <v>148.30878400000003</v>
      </c>
      <c r="AK49" s="13">
        <f t="shared" si="35"/>
        <v>38.193997454232679</v>
      </c>
      <c r="AL49" s="20">
        <f t="shared" si="4"/>
        <v>324.8256776994553</v>
      </c>
      <c r="AM49" s="59">
        <f t="shared" si="5"/>
        <v>618.15901103278861</v>
      </c>
      <c r="AN49" s="59">
        <f ca="1">AVERAGE(OFFSET($AM$3,0,0,'Données projet'!$E$10+1,1))-AVERAGE(OFFSET($H$3,0,0,'Données projet'!$E$10+1,1))</f>
        <v>228.36873053496748</v>
      </c>
      <c r="AO49" s="59">
        <f t="shared" si="36"/>
        <v>177.73676400313303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10.331625580543843</v>
      </c>
      <c r="AV49" s="21">
        <f>EXP(-LN(2)/25)*AV48+(1-EXP(-LN(2)/25))/(LN(2)/25)*Calculateur!AQ49*Calculateur!AS49*VLOOKUP('Données projet'!$B$10,Paramètres!$A$1:$I$89,3,0)*0.475*44/12</f>
        <v>22.078822950004596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32.410448530548436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159.74049000000011</v>
      </c>
      <c r="BF49" s="13">
        <f t="shared" si="37"/>
        <v>40.783976673134042</v>
      </c>
      <c r="BG49" s="20">
        <f t="shared" si="7"/>
        <v>349.24677945570858</v>
      </c>
      <c r="BH49" s="59">
        <f t="shared" si="8"/>
        <v>642.58011278904189</v>
      </c>
      <c r="BI49" s="59">
        <f ca="1">AVERAGE(OFFSET($BH$3,0,0,'Données projet'!$E$11+1,1))-AVERAGE(OFFSET($H$3,0,0,'Données projet'!$E$11+1,1))</f>
        <v>534.59150243554586</v>
      </c>
      <c r="BJ49" s="59">
        <f t="shared" si="38"/>
        <v>259.04458689606491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5.7723893124395271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5.7723893124395271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151.59999999999997</v>
      </c>
      <c r="BZ49" s="13">
        <f>BY49*VLOOKUP('Données projet'!$B$12,Paramètres!$A$1:$I$89,3,0)*VLOOKUP('Données projet'!$B$12,Paramètres!$A$1:$I$89,5,0)</f>
        <v>132.43776</v>
      </c>
      <c r="CA49" s="13">
        <f t="shared" si="39"/>
        <v>34.559043580858436</v>
      </c>
      <c r="CB49" s="20">
        <f t="shared" si="10"/>
        <v>290.85276623666175</v>
      </c>
      <c r="CC49" s="59">
        <f t="shared" si="11"/>
        <v>584.18609956999512</v>
      </c>
      <c r="CD49" s="59">
        <f ca="1">AVERAGE(OFFSET($CC$3,0,0,'Données projet'!$E$12+1,1))-AVERAGE(OFFSET($H$3,0,0,'Données projet'!$E$12+1,1))</f>
        <v>211.91720528436969</v>
      </c>
      <c r="CE49" s="59">
        <f t="shared" si="40"/>
        <v>218.88548486038957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2.7097455275556688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2.7097455275556688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9.3712500000000034</v>
      </c>
      <c r="CT49" s="12">
        <f>IF('Données projet'!$A$140&gt;35,CT48+CS49-DB48,IF(A49&lt;'Données projet'!$A$140,$CQ$205^A49,IF(A49='Données projet'!$A$140,'Données projet'!$B$140,CT48+CS49-DB48)))</f>
        <v>157.53500000000011</v>
      </c>
      <c r="CU49" s="17">
        <f>CT49*VLOOKUP('Données projet'!$B$13,Paramètres!$A$1:$I$89,3,0)*VLOOKUP('Données projet'!$B$13,Paramètres!$A$1:$I$89,5,0)</f>
        <v>142.53766800000008</v>
      </c>
      <c r="CV49" s="13">
        <f t="shared" si="41"/>
        <v>36.877740410345027</v>
      </c>
      <c r="CW49" s="20">
        <f t="shared" si="13"/>
        <v>312.48183631468436</v>
      </c>
      <c r="CX49" s="59">
        <f t="shared" si="14"/>
        <v>605.81516964801767</v>
      </c>
      <c r="CY49" s="59">
        <f ca="1">AVERAGE(OFFSET($CX$3,0,0,'Données projet'!$E$13+1,1))-AVERAGE(OFFSET($H$3,0,0,'Données projet'!$E$13+1,1))</f>
        <v>469.97161976912071</v>
      </c>
      <c r="CZ49" s="59">
        <f t="shared" si="42"/>
        <v>231.65013084759306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5.1507473864845013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5.1507473864845013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9.3712500000000034</v>
      </c>
      <c r="DO49" s="12">
        <f>IF('Données projet'!$A$166&gt;35,DO48+DN49-DW48,IF(A49&lt;'Données projet'!$A$166,$DL$205^A49,IF(A49='Données projet'!$A$166,'Données projet'!$B$166,DO48+DN49-DW48)))</f>
        <v>157.53500000000011</v>
      </c>
      <c r="DP49" s="17">
        <f>DO49*VLOOKUP('Données projet'!$B$14,Paramètres!$A$1:$I$89,3,0)*VLOOKUP('Données projet'!$B$14,Paramètres!$A$1:$I$89,5,0)</f>
        <v>152.36785200000011</v>
      </c>
      <c r="DQ49" s="13">
        <f t="shared" si="43"/>
        <v>39.116196995259784</v>
      </c>
      <c r="DR49" s="20">
        <f t="shared" si="16"/>
        <v>333.50138533341101</v>
      </c>
      <c r="DS49" s="59">
        <f t="shared" si="17"/>
        <v>626.83471866674427</v>
      </c>
      <c r="DT49" s="59">
        <f ca="1">AVERAGE(OFFSET($DS$3,0,0,'Données projet'!$E$14+1,1))-AVERAGE(OFFSET($H$3,0,0,'Données projet'!$E$14+1,1))</f>
        <v>506.9153247310901</v>
      </c>
      <c r="DU49" s="59">
        <f t="shared" si="44"/>
        <v>247.31254626788319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5.5059713441730871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5.5059713441730871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7.5280000000000014</v>
      </c>
      <c r="N50" s="13">
        <f>IF('Données projet'!$A$36&gt;35,N49+M50-V49,IF(A50&lt;'Données projet'!$A$36,$K$205^A50,IF(A50='Données projet'!$A$36,'Données projet'!$B$36,N49+M50-V49)))</f>
        <v>144.74600000000007</v>
      </c>
      <c r="O50" s="13">
        <f>N50*VLOOKUP('Données projet'!$B$9,Paramètres!$A$1:$I$89,3,0)*VLOOKUP('Données projet'!$B$9,Paramètres!$A$1:$I$89,5,0)</f>
        <v>86.558108000000047</v>
      </c>
      <c r="P50" s="13">
        <f t="shared" si="33"/>
        <v>23.73324908066623</v>
      </c>
      <c r="Q50" s="20">
        <f t="shared" si="53"/>
        <v>192.09078024882709</v>
      </c>
      <c r="R50" s="59">
        <f t="shared" si="0"/>
        <v>485.42411358216043</v>
      </c>
      <c r="S50" s="59">
        <f ca="1">AVERAGE(OFFSET($R$3,0,0,'Données projet'!$E$9+1,1))-AVERAGE(OFFSET($H$3,0,0,'Données projet'!$E$9+1,1))</f>
        <v>193.8828274189392</v>
      </c>
      <c r="T50" s="59">
        <f t="shared" si="34"/>
        <v>179.13381331066427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12.693558001954308</v>
      </c>
      <c r="AA50" s="21">
        <f>EXP(-LN(2)/25)*AA49+(1-EXP(-LN(2)/25))/(LN(2)/25)*Calculateur!V50*Calculateur!X50*VLOOKUP('Données projet'!$B$9,Paramètres!$A$1:$I$89,3,0)*0.475*44/12</f>
        <v>12.444840306332905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25.138398308287215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13.263000000000002</v>
      </c>
      <c r="AI50" s="13">
        <f>IF('Données projet'!$A$62&gt;35,AI49+AH50-AQ49,IF(A50&lt;'Données projet'!$A$62,$AF$205^A50,IF(A50='Données projet'!$A$62,'Données projet'!$B$62,AI49+AH50-AQ49)))</f>
        <v>261.27100000000002</v>
      </c>
      <c r="AJ50" s="13">
        <f>AI50*VLOOKUP('Données projet'!$B$10,Paramètres!$A$1:$I$89,3,0)*VLOOKUP('Données projet'!$B$10,Paramètres!$A$1:$I$89,5,0)</f>
        <v>156.240058</v>
      </c>
      <c r="AK50" s="13">
        <f t="shared" si="35"/>
        <v>39.993279841016957</v>
      </c>
      <c r="AL50" s="20">
        <f t="shared" si="4"/>
        <v>341.77306340643787</v>
      </c>
      <c r="AM50" s="59">
        <f t="shared" si="5"/>
        <v>635.10639673977118</v>
      </c>
      <c r="AN50" s="59">
        <f ca="1">AVERAGE(OFFSET($AM$3,0,0,'Données projet'!$E$10+1,1))-AVERAGE(OFFSET($H$3,0,0,'Données projet'!$E$10+1,1))</f>
        <v>228.36873053496748</v>
      </c>
      <c r="AO50" s="59">
        <f t="shared" si="36"/>
        <v>177.73676400313303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10.129028704578744</v>
      </c>
      <c r="AV50" s="21">
        <f>EXP(-LN(2)/25)*AV49+(1-EXP(-LN(2)/25))/(LN(2)/25)*Calculateur!AQ50*Calculateur!AS50*VLOOKUP('Données projet'!$B$10,Paramètres!$A$1:$I$89,3,0)*0.475*44/12</f>
        <v>21.475076375361883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31.604105079940627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169.24293750000012</v>
      </c>
      <c r="BF50" s="13">
        <f t="shared" si="37"/>
        <v>42.920422750313541</v>
      </c>
      <c r="BG50" s="20">
        <f t="shared" si="7"/>
        <v>369.51785243596299</v>
      </c>
      <c r="BH50" s="59">
        <f t="shared" si="8"/>
        <v>662.85118576929631</v>
      </c>
      <c r="BI50" s="59">
        <f ca="1">AVERAGE(OFFSET($BH$3,0,0,'Données projet'!$E$11+1,1))-AVERAGE(OFFSET($H$3,0,0,'Données projet'!$E$11+1,1))</f>
        <v>534.59150243554586</v>
      </c>
      <c r="BJ50" s="59">
        <f t="shared" si="38"/>
        <v>259.04458689606491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5.6591962788324173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5.6591962788324173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157.19999999999996</v>
      </c>
      <c r="BZ50" s="13">
        <f>BY50*VLOOKUP('Données projet'!$B$12,Paramètres!$A$1:$I$89,3,0)*VLOOKUP('Données projet'!$B$12,Paramètres!$A$1:$I$89,5,0)</f>
        <v>137.32991999999999</v>
      </c>
      <c r="CA50" s="13">
        <f t="shared" si="39"/>
        <v>35.684643836992151</v>
      </c>
      <c r="CB50" s="20">
        <f t="shared" si="10"/>
        <v>301.33369868276128</v>
      </c>
      <c r="CC50" s="59">
        <f t="shared" si="11"/>
        <v>594.66703201609459</v>
      </c>
      <c r="CD50" s="59">
        <f ca="1">AVERAGE(OFFSET($CC$3,0,0,'Données projet'!$E$12+1,1))-AVERAGE(OFFSET($H$3,0,0,'Données projet'!$E$12+1,1))</f>
        <v>211.91720528436969</v>
      </c>
      <c r="CE50" s="59">
        <f t="shared" si="40"/>
        <v>218.88548486038957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2.6566090705418755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2.6566090705418755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9.3712500000000034</v>
      </c>
      <c r="CT50" s="12">
        <f>IF('Données projet'!$A$140&gt;35,CT49+CS50-DB49,IF(A50&lt;'Données projet'!$A$140,$CQ$205^A50,IF(A50='Données projet'!$A$140,'Données projet'!$B$140,CT49+CS50-DB49)))</f>
        <v>166.90625000000011</v>
      </c>
      <c r="CU50" s="17">
        <f>CT50*VLOOKUP('Données projet'!$B$13,Paramètres!$A$1:$I$89,3,0)*VLOOKUP('Données projet'!$B$13,Paramètres!$A$1:$I$89,5,0)</f>
        <v>151.01677500000011</v>
      </c>
      <c r="CV50" s="13">
        <f t="shared" si="41"/>
        <v>38.809560459830927</v>
      </c>
      <c r="CW50" s="20">
        <f t="shared" si="13"/>
        <v>330.61420092587235</v>
      </c>
      <c r="CX50" s="59">
        <f t="shared" si="14"/>
        <v>623.94753425920567</v>
      </c>
      <c r="CY50" s="59">
        <f ca="1">AVERAGE(OFFSET($CX$3,0,0,'Données projet'!$E$13+1,1))-AVERAGE(OFFSET($H$3,0,0,'Données projet'!$E$13+1,1))</f>
        <v>469.97161976912071</v>
      </c>
      <c r="CZ50" s="59">
        <f t="shared" si="42"/>
        <v>231.65013084759306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5.0497443718812338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5.0497443718812338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9.3712500000000034</v>
      </c>
      <c r="DO50" s="12">
        <f>IF('Données projet'!$A$166&gt;35,DO49+DN50-DW49,IF(A50&lt;'Données projet'!$A$166,$DL$205^A50,IF(A50='Données projet'!$A$166,'Données projet'!$B$166,DO49+DN50-DW49)))</f>
        <v>166.90625000000011</v>
      </c>
      <c r="DP50" s="17">
        <f>DO50*VLOOKUP('Données projet'!$B$14,Paramètres!$A$1:$I$89,3,0)*VLOOKUP('Données projet'!$B$14,Paramètres!$A$1:$I$89,5,0)</f>
        <v>161.43172500000011</v>
      </c>
      <c r="DQ50" s="13">
        <f t="shared" si="43"/>
        <v>41.165277355776809</v>
      </c>
      <c r="DR50" s="20">
        <f t="shared" si="16"/>
        <v>352.85644576964478</v>
      </c>
      <c r="DS50" s="59">
        <f t="shared" si="17"/>
        <v>646.18977910297804</v>
      </c>
      <c r="DT50" s="59">
        <f ca="1">AVERAGE(OFFSET($DS$3,0,0,'Données projet'!$E$14+1,1))-AVERAGE(OFFSET($H$3,0,0,'Données projet'!$E$14+1,1))</f>
        <v>506.9153247310901</v>
      </c>
      <c r="DU50" s="59">
        <f t="shared" si="44"/>
        <v>247.31254626788319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5.3980026044247671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5.3980026044247671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7.5280000000000014</v>
      </c>
      <c r="N51" s="13">
        <f>IF('Données projet'!$A$36&gt;35,N50+M51-V50,IF(A51&lt;'Données projet'!$A$36,$K$205^A51,IF(A51='Données projet'!$A$36,'Données projet'!$B$36,N50+M51-V50)))</f>
        <v>152.27400000000006</v>
      </c>
      <c r="O51" s="13">
        <f>N51*VLOOKUP('Données projet'!$B$9,Paramètres!$A$1:$I$89,3,0)*VLOOKUP('Données projet'!$B$9,Paramètres!$A$1:$I$89,5,0)</f>
        <v>91.059852000000049</v>
      </c>
      <c r="P51" s="13">
        <f t="shared" si="33"/>
        <v>24.820661349898323</v>
      </c>
      <c r="Q51" s="20">
        <f t="shared" si="53"/>
        <v>201.82522741773963</v>
      </c>
      <c r="R51" s="59">
        <f t="shared" si="0"/>
        <v>495.15856075107297</v>
      </c>
      <c r="S51" s="59">
        <f ca="1">AVERAGE(OFFSET($R$3,0,0,'Données projet'!$E$9+1,1))-AVERAGE(OFFSET($H$3,0,0,'Données projet'!$E$9+1,1))</f>
        <v>193.8828274189392</v>
      </c>
      <c r="T51" s="59">
        <f t="shared" si="34"/>
        <v>179.13381331066427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12.444645071841876</v>
      </c>
      <c r="AA51" s="21">
        <f>EXP(-LN(2)/25)*AA50+(1-EXP(-LN(2)/25))/(LN(2)/25)*Calculateur!V51*Calculateur!X51*VLOOKUP('Données projet'!$B$9,Paramètres!$A$1:$I$89,3,0)*0.475*44/12</f>
        <v>12.104535493710523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24.549180565552398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13.263000000000002</v>
      </c>
      <c r="AI51" s="13">
        <f>IF('Données projet'!$A$62&gt;35,AI50+AH51-AQ50,IF(A51&lt;'Données projet'!$A$62,$AF$205^A51,IF(A51='Données projet'!$A$62,'Données projet'!$B$62,AI50+AH51-AQ50)))</f>
        <v>274.53399999999999</v>
      </c>
      <c r="AJ51" s="13">
        <f>AI51*VLOOKUP('Données projet'!$B$10,Paramètres!$A$1:$I$89,3,0)*VLOOKUP('Données projet'!$B$10,Paramètres!$A$1:$I$89,5,0)</f>
        <v>164.17133200000001</v>
      </c>
      <c r="AK51" s="13">
        <f t="shared" si="35"/>
        <v>41.781957064132989</v>
      </c>
      <c r="AL51" s="20">
        <f t="shared" si="4"/>
        <v>358.70197845336497</v>
      </c>
      <c r="AM51" s="59">
        <f t="shared" si="5"/>
        <v>652.03531178669823</v>
      </c>
      <c r="AN51" s="59">
        <f ca="1">AVERAGE(OFFSET($AM$3,0,0,'Données projet'!$E$10+1,1))-AVERAGE(OFFSET($H$3,0,0,'Données projet'!$E$10+1,1))</f>
        <v>228.36873053496748</v>
      </c>
      <c r="AO51" s="59">
        <f t="shared" si="36"/>
        <v>177.73676400313303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9.9304046297794279</v>
      </c>
      <c r="AV51" s="21">
        <f>EXP(-LN(2)/25)*AV50+(1-EXP(-LN(2)/25))/(LN(2)/25)*Calculateur!AQ51*Calculateur!AS51*VLOOKUP('Données projet'!$B$10,Paramètres!$A$1:$I$89,3,0)*0.475*44/12</f>
        <v>20.887839282552427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30.818243912331855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178.74538500000011</v>
      </c>
      <c r="BF51" s="13">
        <f t="shared" si="37"/>
        <v>45.042943918150705</v>
      </c>
      <c r="BG51" s="20">
        <f t="shared" si="7"/>
        <v>389.76467286577935</v>
      </c>
      <c r="BH51" s="59">
        <f t="shared" si="8"/>
        <v>683.09800619911266</v>
      </c>
      <c r="BI51" s="59">
        <f ca="1">AVERAGE(OFFSET($BH$3,0,0,'Données projet'!$E$11+1,1))-AVERAGE(OFFSET($H$3,0,0,'Données projet'!$E$11+1,1))</f>
        <v>534.59150243554586</v>
      </c>
      <c r="BJ51" s="59">
        <f t="shared" si="38"/>
        <v>259.04458689606491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5.5482228915734098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5.5482228915734098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162.79999999999995</v>
      </c>
      <c r="BZ51" s="13">
        <f>BY51*VLOOKUP('Données projet'!$B$12,Paramètres!$A$1:$I$89,3,0)*VLOOKUP('Données projet'!$B$12,Paramètres!$A$1:$I$89,5,0)</f>
        <v>142.22207999999998</v>
      </c>
      <c r="CA51" s="13">
        <f t="shared" si="39"/>
        <v>36.805585341198615</v>
      </c>
      <c r="CB51" s="20">
        <f t="shared" si="10"/>
        <v>311.8065171359209</v>
      </c>
      <c r="CC51" s="59">
        <f t="shared" si="11"/>
        <v>605.13985046925427</v>
      </c>
      <c r="CD51" s="59">
        <f ca="1">AVERAGE(OFFSET($CC$3,0,0,'Données projet'!$E$12+1,1))-AVERAGE(OFFSET($H$3,0,0,'Données projet'!$E$12+1,1))</f>
        <v>211.91720528436969</v>
      </c>
      <c r="CE51" s="59">
        <f t="shared" si="40"/>
        <v>218.88548486038957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2.6045145870400841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2.6045145870400841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9.3712500000000034</v>
      </c>
      <c r="CT51" s="12">
        <f>IF('Données projet'!$A$140&gt;35,CT50+CS51-DB50,IF(A51&lt;'Données projet'!$A$140,$CQ$205^A51,IF(A51='Données projet'!$A$140,'Données projet'!$B$140,CT50+CS51-DB50)))</f>
        <v>176.27750000000012</v>
      </c>
      <c r="CU51" s="17">
        <f>CT51*VLOOKUP('Données projet'!$B$13,Paramètres!$A$1:$I$89,3,0)*VLOOKUP('Données projet'!$B$13,Paramètres!$A$1:$I$89,5,0)</f>
        <v>159.49588200000008</v>
      </c>
      <c r="CV51" s="13">
        <f t="shared" si="41"/>
        <v>40.728789309687656</v>
      </c>
      <c r="CW51" s="20">
        <f t="shared" si="13"/>
        <v>348.72463586437283</v>
      </c>
      <c r="CX51" s="59">
        <f t="shared" si="14"/>
        <v>642.05796919770614</v>
      </c>
      <c r="CY51" s="59">
        <f ca="1">AVERAGE(OFFSET($CX$3,0,0,'Données projet'!$E$13+1,1))-AVERAGE(OFFSET($H$3,0,0,'Données projet'!$E$13+1,1))</f>
        <v>469.97161976912071</v>
      </c>
      <c r="CZ51" s="59">
        <f t="shared" si="42"/>
        <v>231.65013084759306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4.9507219647885812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4.9507219647885812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9.3712500000000034</v>
      </c>
      <c r="DO51" s="12">
        <f>IF('Données projet'!$A$166&gt;35,DO50+DN51-DW50,IF(A51&lt;'Données projet'!$A$166,$DL$205^A51,IF(A51='Données projet'!$A$166,'Données projet'!$B$166,DO50+DN51-DW50)))</f>
        <v>176.27750000000012</v>
      </c>
      <c r="DP51" s="17">
        <f>DO51*VLOOKUP('Données projet'!$B$14,Paramètres!$A$1:$I$89,3,0)*VLOOKUP('Données projet'!$B$14,Paramètres!$A$1:$I$89,5,0)</f>
        <v>170.49559800000011</v>
      </c>
      <c r="DQ51" s="13">
        <f t="shared" si="43"/>
        <v>43.201002238446733</v>
      </c>
      <c r="DR51" s="20">
        <f t="shared" si="16"/>
        <v>372.18824541529494</v>
      </c>
      <c r="DS51" s="59">
        <f t="shared" si="17"/>
        <v>665.52157874862826</v>
      </c>
      <c r="DT51" s="59">
        <f ca="1">AVERAGE(OFFSET($DS$3,0,0,'Données projet'!$E$14+1,1))-AVERAGE(OFFSET($H$3,0,0,'Données projet'!$E$14+1,1))</f>
        <v>506.9153247310901</v>
      </c>
      <c r="DU51" s="59">
        <f t="shared" si="44"/>
        <v>247.31254626788319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5.2921510658084827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5.2921510658084827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7.5280000000000014</v>
      </c>
      <c r="N52" s="13">
        <f>IF('Données projet'!$A$36&gt;35,N51+M52-V51,IF(A52&lt;'Données projet'!$A$36,$K$205^A52,IF(A52='Données projet'!$A$36,'Données projet'!$B$36,N51+M52-V51)))</f>
        <v>159.80200000000005</v>
      </c>
      <c r="O52" s="13">
        <f>N52*VLOOKUP('Données projet'!$B$9,Paramètres!$A$1:$I$89,3,0)*VLOOKUP('Données projet'!$B$9,Paramètres!$A$1:$I$89,5,0)</f>
        <v>95.561596000000051</v>
      </c>
      <c r="P52" s="13">
        <f t="shared" si="33"/>
        <v>25.901831401514194</v>
      </c>
      <c r="Q52" s="20">
        <f t="shared" si="53"/>
        <v>211.54880272430398</v>
      </c>
      <c r="R52" s="59">
        <f t="shared" si="0"/>
        <v>504.8821360576373</v>
      </c>
      <c r="S52" s="59">
        <f ca="1">AVERAGE(OFFSET($R$3,0,0,'Données projet'!$E$9+1,1))-AVERAGE(OFFSET($H$3,0,0,'Données projet'!$E$9+1,1))</f>
        <v>193.8828274189392</v>
      </c>
      <c r="T52" s="59">
        <f t="shared" si="34"/>
        <v>179.13381331066427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12.200613172467053</v>
      </c>
      <c r="AA52" s="21">
        <f>EXP(-LN(2)/25)*AA51+(1-EXP(-LN(2)/25))/(LN(2)/25)*Calculateur!V52*Calculateur!X52*VLOOKUP('Données projet'!$B$9,Paramètres!$A$1:$I$89,3,0)*0.475*44/12</f>
        <v>11.773536334085152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23.974149506552205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13.263000000000002</v>
      </c>
      <c r="AI52" s="13">
        <f>IF('Données projet'!$A$62&gt;35,AI51+AH52-AQ51,IF(A52&lt;'Données projet'!$A$62,$AF$205^A52,IF(A52='Données projet'!$A$62,'Données projet'!$B$62,AI51+AH52-AQ51)))</f>
        <v>287.79699999999997</v>
      </c>
      <c r="AJ52" s="13">
        <f>AI52*VLOOKUP('Données projet'!$B$10,Paramètres!$A$1:$I$89,3,0)*VLOOKUP('Données projet'!$B$10,Paramètres!$A$1:$I$89,5,0)</f>
        <v>172.10260600000001</v>
      </c>
      <c r="AK52" s="13">
        <f t="shared" si="35"/>
        <v>43.560599955376176</v>
      </c>
      <c r="AL52" s="20">
        <f t="shared" si="4"/>
        <v>375.61341703894681</v>
      </c>
      <c r="AM52" s="59">
        <f t="shared" si="5"/>
        <v>668.94675037228012</v>
      </c>
      <c r="AN52" s="59">
        <f ca="1">AVERAGE(OFFSET($AM$3,0,0,'Données projet'!$E$10+1,1))-AVERAGE(OFFSET($H$3,0,0,'Données projet'!$E$10+1,1))</f>
        <v>228.36873053496748</v>
      </c>
      <c r="AO52" s="59">
        <f t="shared" si="36"/>
        <v>177.73676400313303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9.7356754519382029</v>
      </c>
      <c r="AV52" s="21">
        <f>EXP(-LN(2)/25)*AV51+(1-EXP(-LN(2)/25))/(LN(2)/25)*Calculateur!AQ52*Calculateur!AS52*VLOOKUP('Données projet'!$B$10,Paramètres!$A$1:$I$89,3,0)*0.475*44/12</f>
        <v>20.316660218927304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30.052335670865507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188.24783250000013</v>
      </c>
      <c r="BF52" s="13">
        <f t="shared" si="37"/>
        <v>47.152364864692288</v>
      </c>
      <c r="BG52" s="20">
        <f t="shared" si="7"/>
        <v>409.98867707683922</v>
      </c>
      <c r="BH52" s="59">
        <f t="shared" si="8"/>
        <v>703.32201041017254</v>
      </c>
      <c r="BI52" s="59">
        <f ca="1">AVERAGE(OFFSET($BH$3,0,0,'Données projet'!$E$11+1,1))-AVERAGE(OFFSET($H$3,0,0,'Données projet'!$E$11+1,1))</f>
        <v>534.59150243554586</v>
      </c>
      <c r="BJ52" s="59">
        <f t="shared" si="38"/>
        <v>259.04458689606491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5.4394256247514683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5.4394256247514683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168.39999999999995</v>
      </c>
      <c r="BZ52" s="13">
        <f>BY52*VLOOKUP('Données projet'!$B$12,Paramètres!$A$1:$I$89,3,0)*VLOOKUP('Données projet'!$B$12,Paramètres!$A$1:$I$89,5,0)</f>
        <v>147.11423999999997</v>
      </c>
      <c r="CA52" s="13">
        <f t="shared" si="39"/>
        <v>37.922046712608186</v>
      </c>
      <c r="CB52" s="20">
        <f t="shared" si="10"/>
        <v>322.27153269112586</v>
      </c>
      <c r="CC52" s="59">
        <f t="shared" si="11"/>
        <v>615.60486602445917</v>
      </c>
      <c r="CD52" s="59">
        <f ca="1">AVERAGE(OFFSET($CC$3,0,0,'Données projet'!$E$12+1,1))-AVERAGE(OFFSET($H$3,0,0,'Données projet'!$E$12+1,1))</f>
        <v>211.91720528436969</v>
      </c>
      <c r="CE52" s="59">
        <f t="shared" si="40"/>
        <v>218.88548486038957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2.553441644585265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2.553441644585265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9.3712500000000034</v>
      </c>
      <c r="CT52" s="12">
        <f>IF('Données projet'!$A$140&gt;35,CT51+CS52-DB51,IF(A52&lt;'Données projet'!$A$140,$CQ$205^A52,IF(A52='Données projet'!$A$140,'Données projet'!$B$140,CT51+CS52-DB51)))</f>
        <v>185.64875000000012</v>
      </c>
      <c r="CU52" s="17">
        <f>CT52*VLOOKUP('Données projet'!$B$13,Paramètres!$A$1:$I$89,3,0)*VLOOKUP('Données projet'!$B$13,Paramètres!$A$1:$I$89,5,0)</f>
        <v>167.97498900000011</v>
      </c>
      <c r="CV52" s="13">
        <f t="shared" si="41"/>
        <v>42.636172660412917</v>
      </c>
      <c r="CW52" s="20">
        <f t="shared" si="13"/>
        <v>366.81443989188602</v>
      </c>
      <c r="CX52" s="59">
        <f t="shared" si="14"/>
        <v>660.14777322521934</v>
      </c>
      <c r="CY52" s="59">
        <f ca="1">AVERAGE(OFFSET($CX$3,0,0,'Données projet'!$E$13+1,1))-AVERAGE(OFFSET($H$3,0,0,'Données projet'!$E$13+1,1))</f>
        <v>469.97161976912071</v>
      </c>
      <c r="CZ52" s="59">
        <f t="shared" si="42"/>
        <v>231.65013084759306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4.853641326701311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4.853641326701311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9.3712500000000034</v>
      </c>
      <c r="DO52" s="12">
        <f>IF('Données projet'!$A$166&gt;35,DO51+DN52-DW51,IF(A52&lt;'Données projet'!$A$166,$DL$205^A52,IF(A52='Données projet'!$A$166,'Données projet'!$B$166,DO51+DN52-DW51)))</f>
        <v>185.64875000000012</v>
      </c>
      <c r="DP52" s="17">
        <f>DO52*VLOOKUP('Données projet'!$B$14,Paramètres!$A$1:$I$89,3,0)*VLOOKUP('Données projet'!$B$14,Paramètres!$A$1:$I$89,5,0)</f>
        <v>179.55947100000012</v>
      </c>
      <c r="DQ52" s="13">
        <f t="shared" si="43"/>
        <v>45.224162607337405</v>
      </c>
      <c r="DR52" s="20">
        <f t="shared" si="16"/>
        <v>391.49816186611287</v>
      </c>
      <c r="DS52" s="59">
        <f t="shared" si="17"/>
        <v>684.83149519944618</v>
      </c>
      <c r="DT52" s="59">
        <f ca="1">AVERAGE(OFFSET($DS$3,0,0,'Données projet'!$E$14+1,1))-AVERAGE(OFFSET($H$3,0,0,'Données projet'!$E$14+1,1))</f>
        <v>506.9153247310901</v>
      </c>
      <c r="DU52" s="59">
        <f t="shared" si="44"/>
        <v>247.31254626788319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5.1883752113014001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5.1883752113014001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7.5280000000000014</v>
      </c>
      <c r="N53" s="13">
        <f>IF('Données projet'!$A$36&gt;35,N52+M53-V52,IF(A53&lt;'Données projet'!$A$36,$K$205^A53,IF(A53='Données projet'!$A$36,'Données projet'!$B$36,N52+M53-V52)))</f>
        <v>167.33000000000004</v>
      </c>
      <c r="O53" s="13">
        <f>N53*VLOOKUP('Données projet'!$B$9,Paramètres!$A$1:$I$89,3,0)*VLOOKUP('Données projet'!$B$9,Paramètres!$A$1:$I$89,5,0)</f>
        <v>100.06334000000003</v>
      </c>
      <c r="P53" s="13">
        <f t="shared" si="33"/>
        <v>26.977086873773239</v>
      </c>
      <c r="Q53" s="20">
        <f t="shared" si="53"/>
        <v>221.26207680515509</v>
      </c>
      <c r="R53" s="59">
        <f t="shared" si="0"/>
        <v>514.59541013848843</v>
      </c>
      <c r="S53" s="59">
        <f ca="1">AVERAGE(OFFSET($R$3,0,0,'Données projet'!$E$9+1,1))-AVERAGE(OFFSET($H$3,0,0,'Données projet'!$E$9+1,1))</f>
        <v>193.8828274189392</v>
      </c>
      <c r="T53" s="59">
        <f t="shared" si="34"/>
        <v>179.13381331066427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11.961366589794208</v>
      </c>
      <c r="AA53" s="21">
        <f>EXP(-LN(2)/25)*AA52+(1-EXP(-LN(2)/25))/(LN(2)/25)*Calculateur!V53*Calculateur!X53*VLOOKUP('Données projet'!$B$9,Paramètres!$A$1:$I$89,3,0)*0.475*44/12</f>
        <v>11.451588363886227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23.412954953680433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301.06</v>
      </c>
      <c r="AG53" s="12">
        <f>VLOOKUP(A53,'Données projet'!$A$61:$I$81,9,0)</f>
        <v>13.263000000000002</v>
      </c>
      <c r="AH53" s="12">
        <f t="array" ref="AH53">INDEX(AG:AG,MIN(IF(ISNUMBER(AG53:AG249),ROW(AG53:AG249),"")))</f>
        <v>13.263000000000002</v>
      </c>
      <c r="AI53" s="13">
        <f>IF('Données projet'!$A$62&gt;35,AI52+AH53-AQ52,IF(A53&lt;'Données projet'!$A$62,$AF$205^A53,IF(A53='Données projet'!$A$62,'Données projet'!$B$62,AI52+AH53-AQ52)))</f>
        <v>301.05999999999995</v>
      </c>
      <c r="AJ53" s="13">
        <f>AI53*VLOOKUP('Données projet'!$B$10,Paramètres!$A$1:$I$89,3,0)*VLOOKUP('Données projet'!$B$10,Paramètres!$A$1:$I$89,5,0)</f>
        <v>180.03387999999998</v>
      </c>
      <c r="AK53" s="13">
        <f t="shared" si="35"/>
        <v>45.329723759796117</v>
      </c>
      <c r="AL53" s="20">
        <f t="shared" si="4"/>
        <v>392.50827654831147</v>
      </c>
      <c r="AM53" s="59">
        <f t="shared" si="5"/>
        <v>685.84160988164479</v>
      </c>
      <c r="AN53" s="59">
        <f ca="1">AVERAGE(OFFSET($AM$3,0,0,'Données projet'!$E$10+1,1))-AVERAGE(OFFSET($H$3,0,0,'Données projet'!$E$10+1,1))</f>
        <v>228.36873053496748</v>
      </c>
      <c r="AO53" s="59">
        <f t="shared" si="36"/>
        <v>177.73676400313303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69.17</v>
      </c>
      <c r="AR53" s="16">
        <f>IF(ISNA(VLOOKUP(A53,'Données projet'!$A$61:$I$81,5,0)),0%,VLOOKUP(A53,'Données projet'!$A$61:$I$81,5,0)*VLOOKUP('Données projet'!$B$10,Paramètres!$A$1:$I$89,7,0))</f>
        <v>0.13500000000000001</v>
      </c>
      <c r="AS53" s="16">
        <f>IF(ISNA(VLOOKUP(A53,'Données projet'!$A$61:$I$81,6,0)),0%,VLOOKUP(A53,'Données projet'!$A$61:$I$81,6,0)*VLOOKUP('Données projet'!$B$10,Paramètres!$A$1:$I$89,7,0))</f>
        <v>0.22500000000000001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16.952425543391026</v>
      </c>
      <c r="AV53" s="21">
        <f>EXP(-LN(2)/25)*AV52+(1-EXP(-LN(2)/25))/(LN(2)/25)*Calculateur!AQ53*Calculateur!AS53*VLOOKUP('Données projet'!$B$10,Paramètres!$A$1:$I$89,3,0)*0.475*44/12</f>
        <v>32.05859002013608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49.01101556352711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197.75028000000015</v>
      </c>
      <c r="BF53" s="13">
        <f t="shared" si="37"/>
        <v>49.24942231714175</v>
      </c>
      <c r="BG53" s="20">
        <f t="shared" si="7"/>
        <v>430.19114820235546</v>
      </c>
      <c r="BH53" s="59">
        <f t="shared" si="8"/>
        <v>723.52448153568878</v>
      </c>
      <c r="BI53" s="59">
        <f ca="1">AVERAGE(OFFSET($BH$3,0,0,'Données projet'!$E$11+1,1))-AVERAGE(OFFSET($H$3,0,0,'Données projet'!$E$11+1,1))</f>
        <v>534.59150243554586</v>
      </c>
      <c r="BJ53" s="59">
        <f t="shared" si="38"/>
        <v>259.04458689606491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10.477706604163481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10.477706604163481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174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173.99999999999994</v>
      </c>
      <c r="BZ53" s="13">
        <f>BY53*VLOOKUP('Données projet'!$B$12,Paramètres!$A$1:$I$89,3,0)*VLOOKUP('Données projet'!$B$12,Paramètres!$A$1:$I$89,5,0)</f>
        <v>152.00639999999999</v>
      </c>
      <c r="CA53" s="13">
        <f t="shared" si="39"/>
        <v>39.03419401656145</v>
      </c>
      <c r="CB53" s="20">
        <f t="shared" si="10"/>
        <v>332.72903457884451</v>
      </c>
      <c r="CC53" s="59">
        <f t="shared" si="11"/>
        <v>626.06236791217782</v>
      </c>
      <c r="CD53" s="59">
        <f ca="1">AVERAGE(OFFSET($CC$3,0,0,'Données projet'!$E$12+1,1))-AVERAGE(OFFSET($H$3,0,0,'Données projet'!$E$12+1,1))</f>
        <v>211.91720528436969</v>
      </c>
      <c r="CE53" s="59">
        <f t="shared" si="40"/>
        <v>218.88548486038957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13</v>
      </c>
      <c r="CH53" s="16">
        <f>IF(ISNA(VLOOKUP(A53,'Données projet'!$A$113:$I$133,5,0)),0%,VLOOKUP(A53,'Données projet'!$A$113:$I$133,5,0)*VLOOKUP('Données projet'!$B$12,Paramètres!$A$1:$I$89,7,0))</f>
        <v>0.159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4.4995525663790561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4.4995525663790561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195.02</v>
      </c>
      <c r="CR53" s="12">
        <f>VLOOKUP(A53,'Données projet'!$A$139:$I$159,9,0)</f>
        <v>9.3712500000000034</v>
      </c>
      <c r="CS53" s="12">
        <f t="array" ref="CS53">INDEX(CR:CR,MIN(IF(ISNUMBER(CR53:CR249),ROW(CR53:CR249),"")))</f>
        <v>9.3712500000000034</v>
      </c>
      <c r="CT53" s="12">
        <f>IF('Données projet'!$A$140&gt;35,CT52+CS53-DB52,IF(A53&lt;'Données projet'!$A$140,$CQ$205^A53,IF(A53='Données projet'!$A$140,'Données projet'!$B$140,CT52+CS53-DB52)))</f>
        <v>195.02000000000012</v>
      </c>
      <c r="CU53" s="17">
        <f>CT53*VLOOKUP('Données projet'!$B$13,Paramètres!$A$1:$I$89,3,0)*VLOOKUP('Données projet'!$B$13,Paramètres!$A$1:$I$89,5,0)</f>
        <v>176.45409600000011</v>
      </c>
      <c r="CV53" s="13">
        <f t="shared" si="41"/>
        <v>44.532376676436577</v>
      </c>
      <c r="CW53" s="20">
        <f t="shared" si="13"/>
        <v>384.88477324479385</v>
      </c>
      <c r="CX53" s="59">
        <f t="shared" si="14"/>
        <v>678.21810657812716</v>
      </c>
      <c r="CY53" s="59">
        <f ca="1">AVERAGE(OFFSET($CX$3,0,0,'Données projet'!$E$13+1,1))-AVERAGE(OFFSET($H$3,0,0,'Données projet'!$E$13+1,1))</f>
        <v>469.97161976912071</v>
      </c>
      <c r="CZ53" s="59">
        <f t="shared" si="42"/>
        <v>231.65013084759306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9.3493382006381829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9.3493382006381829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195.02</v>
      </c>
      <c r="DM53" s="12">
        <f>VLOOKUP(A53,'Données projet'!$A$165:$I$185,9,0)</f>
        <v>9.3712500000000034</v>
      </c>
      <c r="DN53" s="12">
        <f t="array" ref="DN53">INDEX(DM:DM,MIN(IF(ISNUMBER(DM53:DM249),ROW(DM53:DM249),"")))</f>
        <v>9.3712500000000034</v>
      </c>
      <c r="DO53" s="12">
        <f>IF('Données projet'!$A$166&gt;35,DO52+DN53-DW52,IF(A53&lt;'Données projet'!$A$166,$DL$205^A53,IF(A53='Données projet'!$A$166,'Données projet'!$B$166,DO52+DN53-DW52)))</f>
        <v>195.02000000000012</v>
      </c>
      <c r="DP53" s="17">
        <f>DO53*VLOOKUP('Données projet'!$B$14,Paramètres!$A$1:$I$89,3,0)*VLOOKUP('Données projet'!$B$14,Paramètres!$A$1:$I$89,5,0)</f>
        <v>188.62334400000012</v>
      </c>
      <c r="DQ53" s="13">
        <f t="shared" si="43"/>
        <v>47.235465062657511</v>
      </c>
      <c r="DR53" s="20">
        <f t="shared" si="16"/>
        <v>410.78742578412863</v>
      </c>
      <c r="DS53" s="59">
        <f t="shared" si="17"/>
        <v>704.12075911746194</v>
      </c>
      <c r="DT53" s="59">
        <f ca="1">AVERAGE(OFFSET($DS$3,0,0,'Données projet'!$E$14+1,1))-AVERAGE(OFFSET($H$3,0,0,'Données projet'!$E$14+1,1))</f>
        <v>506.9153247310901</v>
      </c>
      <c r="DU53" s="59">
        <f t="shared" si="44"/>
        <v>247.31254626788319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35.58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9.9941201455097826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9.9941201455097826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7.5280000000000014</v>
      </c>
      <c r="N54" s="13">
        <f>IF('Données projet'!$A$36&gt;35,N53+M54-V53,IF(A54&lt;'Données projet'!$A$36,$K$205^A54,IF(A54='Données projet'!$A$36,'Données projet'!$B$36,N53+M54-V53)))</f>
        <v>174.85800000000003</v>
      </c>
      <c r="O54" s="13">
        <f>N54*VLOOKUP('Données projet'!$B$9,Paramètres!$A$1:$I$89,3,0)*VLOOKUP('Données projet'!$B$9,Paramètres!$A$1:$I$89,5,0)</f>
        <v>104.56508400000003</v>
      </c>
      <c r="P54" s="13">
        <f t="shared" si="33"/>
        <v>28.046724258177839</v>
      </c>
      <c r="Q54" s="20">
        <f t="shared" si="53"/>
        <v>230.96556604965974</v>
      </c>
      <c r="R54" s="59">
        <f t="shared" si="0"/>
        <v>524.29889938299311</v>
      </c>
      <c r="S54" s="59">
        <f ca="1">AVERAGE(OFFSET($R$3,0,0,'Données projet'!$E$9+1,1))-AVERAGE(OFFSET($H$3,0,0,'Données projet'!$E$9+1,1))</f>
        <v>193.8828274189392</v>
      </c>
      <c r="T54" s="59">
        <f t="shared" si="34"/>
        <v>179.13381331066427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11.726811486681571</v>
      </c>
      <c r="AA54" s="21">
        <f>EXP(-LN(2)/25)*AA53+(1-EXP(-LN(2)/25))/(LN(2)/25)*Calculateur!V54*Calculateur!X54*VLOOKUP('Données projet'!$B$9,Paramètres!$A$1:$I$89,3,0)*0.475*44/12</f>
        <v>11.1384440778629</v>
      </c>
      <c r="AB54" s="21">
        <f>EXP(-LN(2)/2)*AB53+(1-EXP(-LN(2)/2))/(LN(2)/2)*V54*Y54*VLOOKUP('Données projet'!$B$9,Paramètres!$A$1:$I$89,3,0)*0.475*44/12</f>
        <v>0</v>
      </c>
      <c r="AC54" s="22">
        <f t="shared" si="3"/>
        <v>22.865255564544469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11.852000000000004</v>
      </c>
      <c r="AI54" s="13">
        <f>IF('Données projet'!$A$62&gt;35,AI53+AH54-AQ53,IF(A54&lt;'Données projet'!$A$62,$AF$205^A54,IF(A54='Données projet'!$A$62,'Données projet'!$B$62,AI53+AH54-AQ53)))</f>
        <v>243.7419999999999</v>
      </c>
      <c r="AJ54" s="13">
        <f>AI54*VLOOKUP('Données projet'!$B$10,Paramètres!$A$1:$I$89,3,0)*VLOOKUP('Données projet'!$B$10,Paramètres!$A$1:$I$89,5,0)</f>
        <v>145.75771599999996</v>
      </c>
      <c r="AK54" s="13">
        <f t="shared" si="35"/>
        <v>37.612907531129814</v>
      </c>
      <c r="AL54" s="20">
        <f t="shared" si="4"/>
        <v>319.37050265005104</v>
      </c>
      <c r="AM54" s="59">
        <f t="shared" si="5"/>
        <v>612.70383598338435</v>
      </c>
      <c r="AN54" s="59">
        <f ca="1">AVERAGE(OFFSET($AM$3,0,0,'Données projet'!$E$10+1,1))-AVERAGE(OFFSET($H$3,0,0,'Données projet'!$E$10+1,1))</f>
        <v>228.36873053496748</v>
      </c>
      <c r="AO54" s="59">
        <f t="shared" si="36"/>
        <v>177.73676400313303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16.619998818443722</v>
      </c>
      <c r="AV54" s="21">
        <f>EXP(-LN(2)/25)*AV53+(1-EXP(-LN(2)/25))/(LN(2)/25)*Calculateur!AQ54*Calculateur!AS54*VLOOKUP('Données projet'!$B$10,Paramètres!$A$1:$I$89,3,0)*0.475*44/12</f>
        <v>31.181946190147482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47.801945008591204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171.35966250000016</v>
      </c>
      <c r="BF54" s="13">
        <f t="shared" si="37"/>
        <v>43.39440142643388</v>
      </c>
      <c r="BG54" s="20">
        <f t="shared" si="7"/>
        <v>374.0299946718726</v>
      </c>
      <c r="BH54" s="59">
        <f t="shared" si="8"/>
        <v>667.36332800520586</v>
      </c>
      <c r="BI54" s="59">
        <f ca="1">AVERAGE(OFFSET($BH$3,0,0,'Données projet'!$E$11+1,1))-AVERAGE(OFFSET($H$3,0,0,'Données projet'!$E$11+1,1))</f>
        <v>534.59150243554586</v>
      </c>
      <c r="BJ54" s="59">
        <f t="shared" si="38"/>
        <v>259.04458689606491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10.272245168425828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10.272245168425828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4.8</v>
      </c>
      <c r="BY54" s="12">
        <f>IF('Données projet'!$A$114&gt;35,BY53+BX54-CG53,IF(A54&lt;'Données projet'!$A$114,$BV$205^A54,IF(A54='Données projet'!$A$114,'Données projet'!$B$114,BY53+BX54-CG53)))</f>
        <v>165.79999999999995</v>
      </c>
      <c r="BZ54" s="13">
        <f>BY54*VLOOKUP('Données projet'!$B$12,Paramètres!$A$1:$I$89,3,0)*VLOOKUP('Données projet'!$B$12,Paramètres!$A$1:$I$89,5,0)</f>
        <v>144.84287999999998</v>
      </c>
      <c r="CA54" s="13">
        <f t="shared" si="39"/>
        <v>37.40423595784457</v>
      </c>
      <c r="CB54" s="20">
        <f t="shared" si="10"/>
        <v>317.41372695991259</v>
      </c>
      <c r="CC54" s="59">
        <f t="shared" si="11"/>
        <v>610.74706029324591</v>
      </c>
      <c r="CD54" s="59">
        <f ca="1">AVERAGE(OFFSET($CC$3,0,0,'Données projet'!$E$12+1,1))-AVERAGE(OFFSET($H$3,0,0,'Données projet'!$E$12+1,1))</f>
        <v>211.91720528436969</v>
      </c>
      <c r="CE54" s="59">
        <f t="shared" si="40"/>
        <v>218.88548486038957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4.4113190850084356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4.4113190850084356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9.5537500000000009</v>
      </c>
      <c r="CT54" s="12">
        <f>IF('Données projet'!$A$140&gt;35,CT53+CS54-DB53,IF(A54&lt;'Données projet'!$A$140,$CQ$205^A54,IF(A54='Données projet'!$A$140,'Données projet'!$B$140,CT53+CS54-DB53)))</f>
        <v>168.99375000000015</v>
      </c>
      <c r="CU54" s="17">
        <f>CT54*VLOOKUP('Données projet'!$B$13,Paramètres!$A$1:$I$89,3,0)*VLOOKUP('Données projet'!$B$13,Paramètres!$A$1:$I$89,5,0)</f>
        <v>152.90554500000013</v>
      </c>
      <c r="CV54" s="13">
        <f t="shared" si="41"/>
        <v>39.238142074568863</v>
      </c>
      <c r="CW54" s="20">
        <f t="shared" si="13"/>
        <v>334.65025498820768</v>
      </c>
      <c r="CX54" s="59">
        <f t="shared" si="14"/>
        <v>627.98358832154099</v>
      </c>
      <c r="CY54" s="59">
        <f ca="1">AVERAGE(OFFSET($CX$3,0,0,'Données projet'!$E$13+1,1))-AVERAGE(OFFSET($H$3,0,0,'Données projet'!$E$13+1,1))</f>
        <v>469.97161976912071</v>
      </c>
      <c r="CZ54" s="59">
        <f t="shared" si="42"/>
        <v>231.65013084759306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9.1660033810568926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9.1660033810568926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9.5537500000000009</v>
      </c>
      <c r="DO54" s="12">
        <f>IF('Données projet'!$A$166&gt;35,DO53+DN54-DW53,IF(A54&lt;'Données projet'!$A$166,$DL$205^A54,IF(A54='Données projet'!$A$166,'Données projet'!$B$166,DO53+DN54-DW53)))</f>
        <v>168.99375000000015</v>
      </c>
      <c r="DP54" s="17">
        <f>DO54*VLOOKUP('Données projet'!$B$14,Paramètres!$A$1:$I$89,3,0)*VLOOKUP('Données projet'!$B$14,Paramètres!$A$1:$I$89,5,0)</f>
        <v>163.45075500000016</v>
      </c>
      <c r="DQ54" s="13">
        <f t="shared" si="43"/>
        <v>41.619873615853834</v>
      </c>
      <c r="DR54" s="20">
        <f t="shared" si="16"/>
        <v>357.16467817261235</v>
      </c>
      <c r="DS54" s="59">
        <f t="shared" si="17"/>
        <v>650.49801150594567</v>
      </c>
      <c r="DT54" s="59">
        <f ca="1">AVERAGE(OFFSET($DS$3,0,0,'Données projet'!$E$14+1,1))-AVERAGE(OFFSET($H$3,0,0,'Données projet'!$E$14+1,1))</f>
        <v>506.9153247310901</v>
      </c>
      <c r="DU54" s="59">
        <f t="shared" si="44"/>
        <v>247.31254626788319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9.798141545267713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9.798141545267713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7.5280000000000014</v>
      </c>
      <c r="N55" s="13">
        <f>IF('Données projet'!$A$36&gt;35,N54+M55-V54,IF(A55&lt;'Données projet'!$A$36,$K$205^A55,IF(A55='Données projet'!$A$36,'Données projet'!$B$36,N54+M55-V54)))</f>
        <v>182.38600000000002</v>
      </c>
      <c r="O55" s="13">
        <f>N55*VLOOKUP('Données projet'!$B$9,Paramètres!$A$1:$I$89,3,0)*VLOOKUP('Données projet'!$B$9,Paramètres!$A$1:$I$89,5,0)</f>
        <v>109.06682800000002</v>
      </c>
      <c r="P55" s="13">
        <f t="shared" si="33"/>
        <v>29.111013073259617</v>
      </c>
      <c r="Q55" s="20">
        <f t="shared" si="53"/>
        <v>240.65973986926053</v>
      </c>
      <c r="R55" s="59">
        <f t="shared" si="0"/>
        <v>533.99307320259391</v>
      </c>
      <c r="S55" s="59">
        <f ca="1">AVERAGE(OFFSET($R$3,0,0,'Données projet'!$E$9+1,1))-AVERAGE(OFFSET($H$3,0,0,'Données projet'!$E$9+1,1))</f>
        <v>193.8828274189392</v>
      </c>
      <c r="T55" s="59">
        <f t="shared" si="34"/>
        <v>179.13381331066427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11.496855866076487</v>
      </c>
      <c r="AA55" s="21">
        <f>EXP(-LN(2)/25)*AA54+(1-EXP(-LN(2)/25))/(LN(2)/25)*Calculateur!V55*Calculateur!X55*VLOOKUP('Données projet'!$B$9,Paramètres!$A$1:$I$89,3,0)*0.475*44/12</f>
        <v>10.833862738808422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22.330718604884908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11.852000000000004</v>
      </c>
      <c r="AI55" s="13">
        <f>IF('Données projet'!$A$62&gt;35,AI54+AH55-AQ54,IF(A55&lt;'Données projet'!$A$62,$AF$205^A55,IF(A55='Données projet'!$A$62,'Données projet'!$B$62,AI54+AH55-AQ54)))</f>
        <v>255.59399999999991</v>
      </c>
      <c r="AJ55" s="13">
        <f>AI55*VLOOKUP('Données projet'!$B$10,Paramètres!$A$1:$I$89,3,0)*VLOOKUP('Données projet'!$B$10,Paramètres!$A$1:$I$89,5,0)</f>
        <v>152.84521199999998</v>
      </c>
      <c r="AK55" s="13">
        <f t="shared" si="35"/>
        <v>39.224461453843894</v>
      </c>
      <c r="AL55" s="20">
        <f t="shared" si="4"/>
        <v>334.52134793211144</v>
      </c>
      <c r="AM55" s="59">
        <f t="shared" si="5"/>
        <v>627.8546812654447</v>
      </c>
      <c r="AN55" s="59">
        <f ca="1">AVERAGE(OFFSET($AM$3,0,0,'Données projet'!$E$10+1,1))-AVERAGE(OFFSET($H$3,0,0,'Données projet'!$E$10+1,1))</f>
        <v>228.36873053496748</v>
      </c>
      <c r="AO55" s="59">
        <f t="shared" si="36"/>
        <v>177.73676400313303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16.294090778812354</v>
      </c>
      <c r="AV55" s="21">
        <f>EXP(-LN(2)/25)*AV54+(1-EXP(-LN(2)/25))/(LN(2)/25)*Calculateur!AQ55*Calculateur!AS55*VLOOKUP('Données projet'!$B$10,Paramètres!$A$1:$I$89,3,0)*0.475*44/12</f>
        <v>30.329274231790617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46.623365010602967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181.04716500000015</v>
      </c>
      <c r="BF55" s="13">
        <f t="shared" si="37"/>
        <v>45.55508237501288</v>
      </c>
      <c r="BG55" s="20">
        <f t="shared" si="7"/>
        <v>394.66558084481431</v>
      </c>
      <c r="BH55" s="59">
        <f t="shared" si="8"/>
        <v>687.99891417814763</v>
      </c>
      <c r="BI55" s="59">
        <f ca="1">AVERAGE(OFFSET($BH$3,0,0,'Données projet'!$E$11+1,1))-AVERAGE(OFFSET($H$3,0,0,'Données projet'!$E$11+1,1))</f>
        <v>534.59150243554586</v>
      </c>
      <c r="BJ55" s="59">
        <f t="shared" si="38"/>
        <v>259.04458689606491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10.070812706123888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10.070812706123888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4.8</v>
      </c>
      <c r="BY55" s="12">
        <f>IF('Données projet'!$A$114&gt;35,BY54+BX55-CG54,IF(A55&lt;'Données projet'!$A$114,$BV$205^A55,IF(A55='Données projet'!$A$114,'Données projet'!$B$114,BY54+BX55-CG54)))</f>
        <v>170.59999999999997</v>
      </c>
      <c r="BZ55" s="13">
        <f>BY55*VLOOKUP('Données projet'!$B$12,Paramètres!$A$1:$I$89,3,0)*VLOOKUP('Données projet'!$B$12,Paramètres!$A$1:$I$89,5,0)</f>
        <v>149.03616</v>
      </c>
      <c r="CA55" s="13">
        <f t="shared" si="39"/>
        <v>38.35946741279561</v>
      </c>
      <c r="CB55" s="20">
        <f t="shared" si="10"/>
        <v>326.38071774395229</v>
      </c>
      <c r="CC55" s="59">
        <f t="shared" si="11"/>
        <v>619.7140510772856</v>
      </c>
      <c r="CD55" s="59">
        <f ca="1">AVERAGE(OFFSET($CC$3,0,0,'Données projet'!$E$12+1,1))-AVERAGE(OFFSET($H$3,0,0,'Données projet'!$E$12+1,1))</f>
        <v>211.91720528436969</v>
      </c>
      <c r="CE55" s="59">
        <f t="shared" si="40"/>
        <v>218.88548486038957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4.3248158083903832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4.3248158083903832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9.5537500000000009</v>
      </c>
      <c r="CT55" s="12">
        <f>IF('Données projet'!$A$140&gt;35,CT54+CS55-DB54,IF(A55&lt;'Données projet'!$A$140,$CQ$205^A55,IF(A55='Données projet'!$A$140,'Données projet'!$B$140,CT54+CS55-DB54)))</f>
        <v>178.54750000000016</v>
      </c>
      <c r="CU55" s="17">
        <f>CT55*VLOOKUP('Données projet'!$B$13,Paramètres!$A$1:$I$89,3,0)*VLOOKUP('Données projet'!$B$13,Paramètres!$A$1:$I$89,5,0)</f>
        <v>161.54977800000012</v>
      </c>
      <c r="CV55" s="13">
        <f t="shared" si="41"/>
        <v>41.191875810979205</v>
      </c>
      <c r="CW55" s="20">
        <f t="shared" si="13"/>
        <v>353.10838038745561</v>
      </c>
      <c r="CX55" s="59">
        <f t="shared" si="14"/>
        <v>646.44171372078893</v>
      </c>
      <c r="CY55" s="59">
        <f ca="1">AVERAGE(OFFSET($CX$3,0,0,'Données projet'!$E$13+1,1))-AVERAGE(OFFSET($H$3,0,0,'Données projet'!$E$13+1,1))</f>
        <v>469.97161976912071</v>
      </c>
      <c r="CZ55" s="59">
        <f t="shared" si="42"/>
        <v>231.65013084759306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8.9862636454643923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8.9862636454643923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9.5537500000000009</v>
      </c>
      <c r="DO55" s="12">
        <f>IF('Données projet'!$A$166&gt;35,DO54+DN55-DW54,IF(A55&lt;'Données projet'!$A$166,$DL$205^A55,IF(A55='Données projet'!$A$166,'Données projet'!$B$166,DO54+DN55-DW54)))</f>
        <v>178.54750000000016</v>
      </c>
      <c r="DP55" s="17">
        <f>DO55*VLOOKUP('Données projet'!$B$14,Paramètres!$A$1:$I$89,3,0)*VLOOKUP('Données projet'!$B$14,Paramètres!$A$1:$I$89,5,0)</f>
        <v>172.69114200000016</v>
      </c>
      <c r="DQ55" s="13">
        <f t="shared" si="43"/>
        <v>43.69219781086543</v>
      </c>
      <c r="DR55" s="20">
        <f t="shared" si="16"/>
        <v>376.86765017059088</v>
      </c>
      <c r="DS55" s="59">
        <f t="shared" si="17"/>
        <v>670.20098350392414</v>
      </c>
      <c r="DT55" s="59">
        <f ca="1">AVERAGE(OFFSET($DS$3,0,0,'Données projet'!$E$14+1,1))-AVERAGE(OFFSET($H$3,0,0,'Données projet'!$E$14+1,1))</f>
        <v>506.9153247310901</v>
      </c>
      <c r="DU55" s="59">
        <f t="shared" si="44"/>
        <v>247.31254626788319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9.6060059658412467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9.6060059658412467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7.5280000000000014</v>
      </c>
      <c r="N56" s="13">
        <f>IF('Données projet'!$A$36&gt;35,N55+M56-V55,IF(A56&lt;'Données projet'!$A$36,$K$205^A56,IF(A56='Données projet'!$A$36,'Données projet'!$B$36,N55+M56-V55)))</f>
        <v>189.91400000000002</v>
      </c>
      <c r="O56" s="13">
        <f>N56*VLOOKUP('Données projet'!$B$9,Paramètres!$A$1:$I$89,3,0)*VLOOKUP('Données projet'!$B$9,Paramètres!$A$1:$I$89,5,0)</f>
        <v>113.56857200000002</v>
      </c>
      <c r="P56" s="13">
        <f t="shared" si="33"/>
        <v>30.170199329859695</v>
      </c>
      <c r="Q56" s="20">
        <f t="shared" si="53"/>
        <v>250.34502673283899</v>
      </c>
      <c r="R56" s="59">
        <f t="shared" si="0"/>
        <v>543.67836006617233</v>
      </c>
      <c r="S56" s="59">
        <f ca="1">AVERAGE(OFFSET($R$3,0,0,'Données projet'!$E$9+1,1))-AVERAGE(OFFSET($H$3,0,0,'Données projet'!$E$9+1,1))</f>
        <v>193.8828274189392</v>
      </c>
      <c r="T56" s="59">
        <f t="shared" si="34"/>
        <v>179.13381331066427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11.27140953493239</v>
      </c>
      <c r="AA56" s="21">
        <f>EXP(-LN(2)/25)*AA55+(1-EXP(-LN(2)/25))/(LN(2)/25)*Calculateur!V56*Calculateur!X56*VLOOKUP('Données projet'!$B$9,Paramètres!$A$1:$I$89,3,0)*0.475*44/12</f>
        <v>10.537610192487625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21.809019727420015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11.852000000000004</v>
      </c>
      <c r="AI56" s="13">
        <f>IF('Données projet'!$A$62&gt;35,AI55+AH56-AQ55,IF(A56&lt;'Données projet'!$A$62,$AF$205^A56,IF(A56='Données projet'!$A$62,'Données projet'!$B$62,AI55+AH56-AQ55)))</f>
        <v>267.44599999999991</v>
      </c>
      <c r="AJ56" s="13">
        <f>AI56*VLOOKUP('Données projet'!$B$10,Paramètres!$A$1:$I$89,3,0)*VLOOKUP('Données projet'!$B$10,Paramètres!$A$1:$I$89,5,0)</f>
        <v>159.93270799999996</v>
      </c>
      <c r="AK56" s="13">
        <f t="shared" si="35"/>
        <v>40.827337136686786</v>
      </c>
      <c r="AL56" s="20">
        <f t="shared" si="4"/>
        <v>349.65707861306277</v>
      </c>
      <c r="AM56" s="59">
        <f t="shared" si="5"/>
        <v>642.99041194639608</v>
      </c>
      <c r="AN56" s="59">
        <f ca="1">AVERAGE(OFFSET($AM$3,0,0,'Données projet'!$E$10+1,1))-AVERAGE(OFFSET($H$3,0,0,'Données projet'!$E$10+1,1))</f>
        <v>228.36873053496748</v>
      </c>
      <c r="AO56" s="59">
        <f t="shared" si="36"/>
        <v>177.73676400313303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15.974573597053881</v>
      </c>
      <c r="AV56" s="21">
        <f>EXP(-LN(2)/25)*AV55+(1-EXP(-LN(2)/25))/(LN(2)/25)*Calculateur!AQ56*Calculateur!AS56*VLOOKUP('Données projet'!$B$10,Paramètres!$A$1:$I$89,3,0)*0.475*44/12</f>
        <v>29.499918632975088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45.474492230028972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190.73466750000017</v>
      </c>
      <c r="BF56" s="13">
        <f t="shared" si="37"/>
        <v>47.70234090493684</v>
      </c>
      <c r="BG56" s="20">
        <f t="shared" si="7"/>
        <v>415.27778963859856</v>
      </c>
      <c r="BH56" s="59">
        <f t="shared" si="8"/>
        <v>708.61112297193188</v>
      </c>
      <c r="BI56" s="59">
        <f ca="1">AVERAGE(OFFSET($BH$3,0,0,'Données projet'!$E$11+1,1))-AVERAGE(OFFSET($H$3,0,0,'Données projet'!$E$11+1,1))</f>
        <v>534.59150243554586</v>
      </c>
      <c r="BJ56" s="59">
        <f t="shared" si="38"/>
        <v>259.04458689606491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9.8733302115460191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9.8733302115460191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4.8</v>
      </c>
      <c r="BY56" s="12">
        <f>IF('Données projet'!$A$114&gt;35,BY55+BX56-CG55,IF(A56&lt;'Données projet'!$A$114,$BV$205^A56,IF(A56='Données projet'!$A$114,'Données projet'!$B$114,BY55+BX56-CG55)))</f>
        <v>175.39999999999998</v>
      </c>
      <c r="BZ56" s="13">
        <f>BY56*VLOOKUP('Données projet'!$B$12,Paramètres!$A$1:$I$89,3,0)*VLOOKUP('Données projet'!$B$12,Paramètres!$A$1:$I$89,5,0)</f>
        <v>153.22943999999998</v>
      </c>
      <c r="CA56" s="13">
        <f t="shared" si="39"/>
        <v>39.311575138468363</v>
      </c>
      <c r="CB56" s="20">
        <f t="shared" si="10"/>
        <v>335.34226803283235</v>
      </c>
      <c r="CC56" s="59">
        <f t="shared" si="11"/>
        <v>628.67560136616567</v>
      </c>
      <c r="CD56" s="59">
        <f ca="1">AVERAGE(OFFSET($CC$3,0,0,'Données projet'!$E$12+1,1))-AVERAGE(OFFSET($H$3,0,0,'Données projet'!$E$12+1,1))</f>
        <v>211.91720528436969</v>
      </c>
      <c r="CE56" s="59">
        <f t="shared" si="40"/>
        <v>218.88548486038957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4.2400088082650225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4.2400088082650225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9.5537500000000009</v>
      </c>
      <c r="CT56" s="12">
        <f>IF('Données projet'!$A$140&gt;35,CT55+CS56-DB55,IF(A56&lt;'Données projet'!$A$140,$CQ$205^A56,IF(A56='Données projet'!$A$140,'Données projet'!$B$140,CT55+CS56-DB55)))</f>
        <v>188.10125000000016</v>
      </c>
      <c r="CU56" s="17">
        <f>CT56*VLOOKUP('Données projet'!$B$13,Paramètres!$A$1:$I$89,3,0)*VLOOKUP('Données projet'!$B$13,Paramètres!$A$1:$I$89,5,0)</f>
        <v>170.19401100000013</v>
      </c>
      <c r="CV56" s="13">
        <f t="shared" si="41"/>
        <v>43.133472710542861</v>
      </c>
      <c r="CW56" s="20">
        <f t="shared" si="13"/>
        <v>371.54536746252899</v>
      </c>
      <c r="CX56" s="59">
        <f t="shared" si="14"/>
        <v>664.8787007958623</v>
      </c>
      <c r="CY56" s="59">
        <f ca="1">AVERAGE(OFFSET($CX$3,0,0,'Données projet'!$E$13+1,1))-AVERAGE(OFFSET($H$3,0,0,'Données projet'!$E$13+1,1))</f>
        <v>469.97161976912071</v>
      </c>
      <c r="CZ56" s="59">
        <f t="shared" si="42"/>
        <v>231.65013084759306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8.8100484964564476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8.8100484964564476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9.5537500000000009</v>
      </c>
      <c r="DO56" s="12">
        <f>IF('Données projet'!$A$166&gt;35,DO55+DN56-DW55,IF(A56&lt;'Données projet'!$A$166,$DL$205^A56,IF(A56='Données projet'!$A$166,'Données projet'!$B$166,DO55+DN56-DW55)))</f>
        <v>188.10125000000016</v>
      </c>
      <c r="DP56" s="17">
        <f>DO56*VLOOKUP('Données projet'!$B$14,Paramètres!$A$1:$I$89,3,0)*VLOOKUP('Données projet'!$B$14,Paramètres!$A$1:$I$89,5,0)</f>
        <v>181.93152900000015</v>
      </c>
      <c r="DQ56" s="13">
        <f t="shared" si="43"/>
        <v>45.751648470358951</v>
      </c>
      <c r="DR56" s="20">
        <f t="shared" si="16"/>
        <v>396.54820076087543</v>
      </c>
      <c r="DS56" s="59">
        <f t="shared" si="17"/>
        <v>689.88153409420875</v>
      </c>
      <c r="DT56" s="59">
        <f ca="1">AVERAGE(OFFSET($DS$3,0,0,'Données projet'!$E$14+1,1))-AVERAGE(OFFSET($H$3,0,0,'Données projet'!$E$14+1,1))</f>
        <v>506.9153247310901</v>
      </c>
      <c r="DU56" s="59">
        <f t="shared" si="44"/>
        <v>247.31254626788319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9.4176380479362027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9.4176380479362027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7.5280000000000014</v>
      </c>
      <c r="N57" s="13">
        <f>IF('Données projet'!$A$36&gt;35,N56+M57-V56,IF(A57&lt;'Données projet'!$A$36,$K$205^A57,IF(A57='Données projet'!$A$36,'Données projet'!$B$36,N56+M57-V56)))</f>
        <v>197.44200000000001</v>
      </c>
      <c r="O57" s="13">
        <f>N57*VLOOKUP('Données projet'!$B$9,Paramètres!$A$1:$I$89,3,0)*VLOOKUP('Données projet'!$B$9,Paramètres!$A$1:$I$89,5,0)</f>
        <v>118.07031600000002</v>
      </c>
      <c r="P57" s="13">
        <f t="shared" si="33"/>
        <v>31.224508431504951</v>
      </c>
      <c r="Q57" s="20">
        <f t="shared" si="53"/>
        <v>260.02181921820448</v>
      </c>
      <c r="R57" s="59">
        <f t="shared" si="0"/>
        <v>553.3551525515378</v>
      </c>
      <c r="S57" s="59">
        <f ca="1">AVERAGE(OFFSET($R$3,0,0,'Données projet'!$E$9+1,1))-AVERAGE(OFFSET($H$3,0,0,'Données projet'!$E$9+1,1))</f>
        <v>193.8828274189392</v>
      </c>
      <c r="T57" s="59">
        <f t="shared" si="34"/>
        <v>179.13381331066427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11.050384068833344</v>
      </c>
      <c r="AA57" s="21">
        <f>EXP(-LN(2)/25)*AA56+(1-EXP(-LN(2)/25))/(LN(2)/25)*Calculateur!V57*Calculateur!X57*VLOOKUP('Données projet'!$B$9,Paramètres!$A$1:$I$89,3,0)*0.475*44/12</f>
        <v>10.249458687625214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21.29984275645856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11.852000000000004</v>
      </c>
      <c r="AI57" s="13">
        <f>IF('Données projet'!$A$62&gt;35,AI56+AH57-AQ56,IF(A57&lt;'Données projet'!$A$62,$AF$205^A57,IF(A57='Données projet'!$A$62,'Données projet'!$B$62,AI56+AH57-AQ56)))</f>
        <v>279.29799999999989</v>
      </c>
      <c r="AJ57" s="13">
        <f>AI57*VLOOKUP('Données projet'!$B$10,Paramètres!$A$1:$I$89,3,0)*VLOOKUP('Données projet'!$B$10,Paramètres!$A$1:$I$89,5,0)</f>
        <v>167.02020399999992</v>
      </c>
      <c r="AK57" s="13">
        <f t="shared" si="35"/>
        <v>42.421963106256541</v>
      </c>
      <c r="AL57" s="20">
        <f t="shared" si="4"/>
        <v>364.7784410433967</v>
      </c>
      <c r="AM57" s="59">
        <f t="shared" si="5"/>
        <v>658.11177437672995</v>
      </c>
      <c r="AN57" s="59">
        <f ca="1">AVERAGE(OFFSET($AM$3,0,0,'Données projet'!$E$10+1,1))-AVERAGE(OFFSET($H$3,0,0,'Données projet'!$E$10+1,1))</f>
        <v>228.36873053496748</v>
      </c>
      <c r="AO57" s="59">
        <f t="shared" si="36"/>
        <v>177.73676400313303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15.661321952343455</v>
      </c>
      <c r="AV57" s="21">
        <f>EXP(-LN(2)/25)*AV56+(1-EXP(-LN(2)/25))/(LN(2)/25)*Calculateur!AQ57*Calculateur!AS57*VLOOKUP('Données projet'!$B$10,Paramètres!$A$1:$I$89,3,0)*0.475*44/12</f>
        <v>28.693241806623085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44.354563758966542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200.42217000000019</v>
      </c>
      <c r="BF57" s="13">
        <f t="shared" si="37"/>
        <v>49.83693652432936</v>
      </c>
      <c r="BG57" s="20">
        <f t="shared" si="7"/>
        <v>435.8679438632073</v>
      </c>
      <c r="BH57" s="59">
        <f t="shared" si="8"/>
        <v>729.20127719654056</v>
      </c>
      <c r="BI57" s="59">
        <f ca="1">AVERAGE(OFFSET($BH$3,0,0,'Données projet'!$E$11+1,1))-AVERAGE(OFFSET($H$3,0,0,'Données projet'!$E$11+1,1))</f>
        <v>534.59150243554586</v>
      </c>
      <c r="BJ57" s="59">
        <f t="shared" si="38"/>
        <v>259.04458689606491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9.6797202282343946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9.6797202282343946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4.8</v>
      </c>
      <c r="BY57" s="12">
        <f>IF('Données projet'!$A$114&gt;35,BY56+BX57-CG56,IF(A57&lt;'Données projet'!$A$114,$BV$205^A57,IF(A57='Données projet'!$A$114,'Données projet'!$B$114,BY56+BX57-CG56)))</f>
        <v>180.2</v>
      </c>
      <c r="BZ57" s="13">
        <f>BY57*VLOOKUP('Données projet'!$B$12,Paramètres!$A$1:$I$89,3,0)*VLOOKUP('Données projet'!$B$12,Paramètres!$A$1:$I$89,5,0)</f>
        <v>157.42272000000003</v>
      </c>
      <c r="CA57" s="13">
        <f t="shared" si="39"/>
        <v>40.260654441499831</v>
      </c>
      <c r="CB57" s="20">
        <f t="shared" si="10"/>
        <v>344.29854381894557</v>
      </c>
      <c r="CC57" s="59">
        <f t="shared" si="11"/>
        <v>637.63187715227889</v>
      </c>
      <c r="CD57" s="59">
        <f ca="1">AVERAGE(OFFSET($CC$3,0,0,'Données projet'!$E$12+1,1))-AVERAGE(OFFSET($H$3,0,0,'Données projet'!$E$12+1,1))</f>
        <v>211.91720528436969</v>
      </c>
      <c r="CE57" s="59">
        <f t="shared" si="40"/>
        <v>218.88548486038957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4.1568648216849571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4.1568648216849571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9.5537500000000009</v>
      </c>
      <c r="CT57" s="12">
        <f>IF('Données projet'!$A$140&gt;35,CT56+CS57-DB56,IF(A57&lt;'Données projet'!$A$140,$CQ$205^A57,IF(A57='Données projet'!$A$140,'Données projet'!$B$140,CT56+CS57-DB56)))</f>
        <v>197.65500000000017</v>
      </c>
      <c r="CU57" s="17">
        <f>CT57*VLOOKUP('Données projet'!$B$13,Paramètres!$A$1:$I$89,3,0)*VLOOKUP('Données projet'!$B$13,Paramètres!$A$1:$I$89,5,0)</f>
        <v>178.83824400000015</v>
      </c>
      <c r="CV57" s="13">
        <f t="shared" si="41"/>
        <v>45.06361953668285</v>
      </c>
      <c r="CW57" s="20">
        <f t="shared" si="13"/>
        <v>389.96241232638954</v>
      </c>
      <c r="CX57" s="59">
        <f t="shared" si="14"/>
        <v>683.2957456597228</v>
      </c>
      <c r="CY57" s="59">
        <f ca="1">AVERAGE(OFFSET($CX$3,0,0,'Données projet'!$E$13+1,1))-AVERAGE(OFFSET($H$3,0,0,'Données projet'!$E$13+1,1))</f>
        <v>469.97161976912071</v>
      </c>
      <c r="CZ57" s="59">
        <f t="shared" si="42"/>
        <v>231.65013084759306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8.6372888190399202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8.6372888190399202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9.5537500000000009</v>
      </c>
      <c r="DO57" s="12">
        <f>IF('Données projet'!$A$166&gt;35,DO56+DN57-DW56,IF(A57&lt;'Données projet'!$A$166,$DL$205^A57,IF(A57='Données projet'!$A$166,'Données projet'!$B$166,DO56+DN57-DW56)))</f>
        <v>197.65500000000017</v>
      </c>
      <c r="DP57" s="17">
        <f>DO57*VLOOKUP('Données projet'!$B$14,Paramètres!$A$1:$I$89,3,0)*VLOOKUP('Données projet'!$B$14,Paramètres!$A$1:$I$89,5,0)</f>
        <v>191.17191600000018</v>
      </c>
      <c r="DQ57" s="13">
        <f t="shared" si="43"/>
        <v>47.798954043882908</v>
      </c>
      <c r="DR57" s="20">
        <f t="shared" si="16"/>
        <v>416.20759865976305</v>
      </c>
      <c r="DS57" s="59">
        <f t="shared" si="17"/>
        <v>709.54093199309636</v>
      </c>
      <c r="DT57" s="59">
        <f ca="1">AVERAGE(OFFSET($DS$3,0,0,'Données projet'!$E$14+1,1))-AVERAGE(OFFSET($H$3,0,0,'Données projet'!$E$14+1,1))</f>
        <v>506.9153247310901</v>
      </c>
      <c r="DU57" s="59">
        <f t="shared" si="44"/>
        <v>247.31254626788319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9.2329639100081913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9.2329639100081913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7.5280000000000014</v>
      </c>
      <c r="N58" s="13">
        <f>IF('Données projet'!$A$36&gt;35,N57+M58-V57,IF(A58&lt;'Données projet'!$A$36,$K$205^A58,IF(A58='Données projet'!$A$36,'Données projet'!$B$36,N57+M58-V57)))</f>
        <v>204.97</v>
      </c>
      <c r="O58" s="13">
        <f>N58*VLOOKUP('Données projet'!$B$9,Paramètres!$A$1:$I$89,3,0)*VLOOKUP('Données projet'!$B$9,Paramètres!$A$1:$I$89,5,0)</f>
        <v>122.57206000000001</v>
      </c>
      <c r="P58" s="13">
        <f t="shared" si="33"/>
        <v>32.274147620006104</v>
      </c>
      <c r="Q58" s="20">
        <f t="shared" si="53"/>
        <v>269.69047827151059</v>
      </c>
      <c r="R58" s="59">
        <f t="shared" si="0"/>
        <v>563.0238116048439</v>
      </c>
      <c r="S58" s="59">
        <f ca="1">AVERAGE(OFFSET($R$3,0,0,'Données projet'!$E$9+1,1))-AVERAGE(OFFSET($H$3,0,0,'Données projet'!$E$9+1,1))</f>
        <v>193.8828274189392</v>
      </c>
      <c r="T58" s="59">
        <f t="shared" si="34"/>
        <v>179.13381331066427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10.833692777312278</v>
      </c>
      <c r="AA58" s="21">
        <f>EXP(-LN(2)/25)*AA57+(1-EXP(-LN(2)/25))/(LN(2)/25)*Calculateur!V58*Calculateur!X58*VLOOKUP('Données projet'!$B$9,Paramètres!$A$1:$I$89,3,0)*0.475*44/12</f>
        <v>9.9691867008164952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20.802879478128773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11.852000000000004</v>
      </c>
      <c r="AI58" s="13">
        <f>IF('Données projet'!$A$62&gt;35,AI57+AH58-AQ57,IF(A58&lt;'Données projet'!$A$62,$AF$205^A58,IF(A58='Données projet'!$A$62,'Données projet'!$B$62,AI57+AH58-AQ57)))</f>
        <v>291.14999999999986</v>
      </c>
      <c r="AJ58" s="13">
        <f>AI58*VLOOKUP('Données projet'!$B$10,Paramètres!$A$1:$I$89,3,0)*VLOOKUP('Données projet'!$B$10,Paramètres!$A$1:$I$89,5,0)</f>
        <v>174.10769999999994</v>
      </c>
      <c r="AK58" s="13">
        <f t="shared" si="35"/>
        <v>44.008729462937033</v>
      </c>
      <c r="AL58" s="20">
        <f t="shared" si="4"/>
        <v>379.88611464794849</v>
      </c>
      <c r="AM58" s="59">
        <f t="shared" si="5"/>
        <v>673.21944798128175</v>
      </c>
      <c r="AN58" s="59">
        <f ca="1">AVERAGE(OFFSET($AM$3,0,0,'Données projet'!$E$10+1,1))-AVERAGE(OFFSET($H$3,0,0,'Données projet'!$E$10+1,1))</f>
        <v>228.36873053496748</v>
      </c>
      <c r="AO58" s="59">
        <f t="shared" si="36"/>
        <v>177.73676400313303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15.354212981321163</v>
      </c>
      <c r="AV58" s="21">
        <f>EXP(-LN(2)/25)*AV57+(1-EXP(-LN(2)/25))/(LN(2)/25)*Calculateur!AQ58*Calculateur!AS58*VLOOKUP('Données projet'!$B$10,Paramètres!$A$1:$I$89,3,0)*0.475*44/12</f>
        <v>27.908623600508971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43.262836581830136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210.10967250000019</v>
      </c>
      <c r="BF58" s="13">
        <f t="shared" si="37"/>
        <v>51.959551170560943</v>
      </c>
      <c r="BG58" s="20">
        <f t="shared" si="7"/>
        <v>456.43723122622731</v>
      </c>
      <c r="BH58" s="59">
        <f t="shared" si="8"/>
        <v>749.77056455956063</v>
      </c>
      <c r="BI58" s="59">
        <f ca="1">AVERAGE(OFFSET($BH$3,0,0,'Données projet'!$E$11+1,1))-AVERAGE(OFFSET($H$3,0,0,'Données projet'!$E$11+1,1))</f>
        <v>534.59150243554586</v>
      </c>
      <c r="BJ58" s="59">
        <f t="shared" si="38"/>
        <v>259.04458689606491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9.4899068186050819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9.4899068186050819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185</v>
      </c>
      <c r="BW58" s="12">
        <f>VLOOKUP(A58,'Données projet'!$A$113:$I$133,9,0)</f>
        <v>4.8</v>
      </c>
      <c r="BX58" s="12">
        <f t="array" ref="BX58">INDEX(BW:BW,MIN(IF(ISNUMBER(BW58:BW254),ROW(BW58:BW254),"")))</f>
        <v>4.8</v>
      </c>
      <c r="BY58" s="12">
        <f>IF('Données projet'!$A$114&gt;35,BY57+BX58-CG57,IF(A58&lt;'Données projet'!$A$114,$BV$205^A58,IF(A58='Données projet'!$A$114,'Données projet'!$B$114,BY57+BX58-CG57)))</f>
        <v>185</v>
      </c>
      <c r="BZ58" s="13">
        <f>BY58*VLOOKUP('Données projet'!$B$12,Paramètres!$A$1:$I$89,3,0)*VLOOKUP('Données projet'!$B$12,Paramètres!$A$1:$I$89,5,0)</f>
        <v>161.61600000000001</v>
      </c>
      <c r="CA58" s="13">
        <f t="shared" si="39"/>
        <v>41.20679526204917</v>
      </c>
      <c r="CB58" s="20">
        <f t="shared" si="10"/>
        <v>353.24970174806896</v>
      </c>
      <c r="CC58" s="59">
        <f t="shared" si="11"/>
        <v>646.58303508140227</v>
      </c>
      <c r="CD58" s="59">
        <f ca="1">AVERAGE(OFFSET($CC$3,0,0,'Données projet'!$E$12+1,1))-AVERAGE(OFFSET($H$3,0,0,'Données projet'!$E$12+1,1))</f>
        <v>211.91720528436969</v>
      </c>
      <c r="CE58" s="59">
        <f t="shared" si="40"/>
        <v>218.88548486038957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11</v>
      </c>
      <c r="CH58" s="16">
        <f>IF(ISNA(VLOOKUP(A58,'Données projet'!$A$113:$I$133,5,0)),0%,VLOOKUP(A58,'Données projet'!$A$113:$I$133,5,0)*VLOOKUP('Données projet'!$B$12,Paramètres!$A$1:$I$89,7,0))</f>
        <v>0.159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5.7644286152753175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5.7644286152753175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9.5537500000000009</v>
      </c>
      <c r="CT58" s="12">
        <f>IF('Données projet'!$A$140&gt;35,CT57+CS58-DB57,IF(A58&lt;'Données projet'!$A$140,$CQ$205^A58,IF(A58='Données projet'!$A$140,'Données projet'!$B$140,CT57+CS58-DB57)))</f>
        <v>207.20875000000018</v>
      </c>
      <c r="CU58" s="17">
        <f>CT58*VLOOKUP('Données projet'!$B$13,Paramètres!$A$1:$I$89,3,0)*VLOOKUP('Données projet'!$B$13,Paramètres!$A$1:$I$89,5,0)</f>
        <v>187.48247700000016</v>
      </c>
      <c r="CV58" s="13">
        <f t="shared" si="41"/>
        <v>46.982932911694917</v>
      </c>
      <c r="CW58" s="20">
        <f t="shared" si="13"/>
        <v>408.3605889295356</v>
      </c>
      <c r="CX58" s="59">
        <f t="shared" si="14"/>
        <v>701.69392226286891</v>
      </c>
      <c r="CY58" s="59">
        <f ca="1">AVERAGE(OFFSET($CX$3,0,0,'Données projet'!$E$13+1,1))-AVERAGE(OFFSET($H$3,0,0,'Données projet'!$E$13+1,1))</f>
        <v>469.97161976912071</v>
      </c>
      <c r="CZ58" s="59">
        <f t="shared" si="42"/>
        <v>231.65013084759306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8.4679168535245335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8.4679168535245335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9.5537500000000009</v>
      </c>
      <c r="DO58" s="12">
        <f>IF('Données projet'!$A$166&gt;35,DO57+DN58-DW57,IF(A58&lt;'Données projet'!$A$166,$DL$205^A58,IF(A58='Données projet'!$A$166,'Données projet'!$B$166,DO57+DN58-DW57)))</f>
        <v>207.20875000000018</v>
      </c>
      <c r="DP58" s="17">
        <f>DO58*VLOOKUP('Données projet'!$B$14,Paramètres!$A$1:$I$89,3,0)*VLOOKUP('Données projet'!$B$14,Paramètres!$A$1:$I$89,5,0)</f>
        <v>200.41230300000018</v>
      </c>
      <c r="DQ58" s="13">
        <f t="shared" si="43"/>
        <v>49.834768582334036</v>
      </c>
      <c r="DR58" s="20">
        <f t="shared" si="16"/>
        <v>435.84698300589872</v>
      </c>
      <c r="DS58" s="59">
        <f t="shared" si="17"/>
        <v>729.18031633923204</v>
      </c>
      <c r="DT58" s="59">
        <f ca="1">AVERAGE(OFFSET($DS$3,0,0,'Données projet'!$E$14+1,1))-AVERAGE(OFFSET($H$3,0,0,'Données projet'!$E$14+1,1))</f>
        <v>506.9153247310901</v>
      </c>
      <c r="DU58" s="59">
        <f t="shared" si="44"/>
        <v>247.31254626788319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9.0519111192848456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9.0519111192848456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7.5280000000000014</v>
      </c>
      <c r="N59" s="13">
        <f>IF('Données projet'!$A$36&gt;35,N58+M59-V58,IF(A59&lt;'Données projet'!$A$36,$K$205^A59,IF(A59='Données projet'!$A$36,'Données projet'!$B$36,N58+M59-V58)))</f>
        <v>212.49799999999999</v>
      </c>
      <c r="O59" s="13">
        <f>N59*VLOOKUP('Données projet'!$B$9,Paramètres!$A$1:$I$89,3,0)*VLOOKUP('Données projet'!$B$9,Paramètres!$A$1:$I$89,5,0)</f>
        <v>127.07380400000001</v>
      </c>
      <c r="P59" s="13">
        <f t="shared" si="33"/>
        <v>33.319308051675726</v>
      </c>
      <c r="Q59" s="20">
        <f t="shared" si="53"/>
        <v>279.3513368233352</v>
      </c>
      <c r="R59" s="59">
        <f t="shared" si="0"/>
        <v>572.68467015666852</v>
      </c>
      <c r="S59" s="59">
        <f ca="1">AVERAGE(OFFSET($R$3,0,0,'Données projet'!$E$9+1,1))-AVERAGE(OFFSET($H$3,0,0,'Données projet'!$E$9+1,1))</f>
        <v>193.8828274189392</v>
      </c>
      <c r="T59" s="59">
        <f t="shared" si="34"/>
        <v>179.13381331066427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10.621250669849303</v>
      </c>
      <c r="AA59" s="21">
        <f>EXP(-LN(2)/25)*AA58+(1-EXP(-LN(2)/25))/(LN(2)/25)*Calculateur!V59*Calculateur!X59*VLOOKUP('Données projet'!$B$9,Paramètres!$A$1:$I$89,3,0)*0.475*44/12</f>
        <v>9.6965787662259242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20.317829436075229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11.852000000000004</v>
      </c>
      <c r="AI59" s="13">
        <f>IF('Données projet'!$A$62&gt;35,AI58+AH59-AQ58,IF(A59&lt;'Données projet'!$A$62,$AF$205^A59,IF(A59='Données projet'!$A$62,'Données projet'!$B$62,AI58+AH59-AQ58)))</f>
        <v>303.00199999999984</v>
      </c>
      <c r="AJ59" s="13">
        <f>AI59*VLOOKUP('Données projet'!$B$10,Paramètres!$A$1:$I$89,3,0)*VLOOKUP('Données projet'!$B$10,Paramètres!$A$1:$I$89,5,0)</f>
        <v>181.1951959999999</v>
      </c>
      <c r="AK59" s="13">
        <f t="shared" si="35"/>
        <v>45.58799274971863</v>
      </c>
      <c r="AL59" s="20">
        <f t="shared" si="4"/>
        <v>394.98072040575977</v>
      </c>
      <c r="AM59" s="59">
        <f t="shared" si="5"/>
        <v>688.31405373909308</v>
      </c>
      <c r="AN59" s="59">
        <f ca="1">AVERAGE(OFFSET($AM$3,0,0,'Données projet'!$E$10+1,1))-AVERAGE(OFFSET($H$3,0,0,'Données projet'!$E$10+1,1))</f>
        <v>228.36873053496748</v>
      </c>
      <c r="AO59" s="59">
        <f t="shared" si="36"/>
        <v>177.73676400313303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15.053126229902643</v>
      </c>
      <c r="AV59" s="21">
        <f>EXP(-LN(2)/25)*AV58+(1-EXP(-LN(2)/25))/(LN(2)/25)*Calculateur!AQ59*Calculateur!AS59*VLOOKUP('Données projet'!$B$10,Paramètres!$A$1:$I$89,3,0)*0.475*44/12</f>
        <v>27.145460820502326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42.198587050404967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219.79717500000021</v>
      </c>
      <c r="BF59" s="13">
        <f t="shared" si="37"/>
        <v>54.070800342815986</v>
      </c>
      <c r="BG59" s="20">
        <f t="shared" si="7"/>
        <v>476.98672372207147</v>
      </c>
      <c r="BH59" s="59">
        <f t="shared" si="8"/>
        <v>770.32005705540473</v>
      </c>
      <c r="BI59" s="59">
        <f ca="1">AVERAGE(OFFSET($BH$3,0,0,'Données projet'!$E$11+1,1))-AVERAGE(OFFSET($H$3,0,0,'Données projet'!$E$11+1,1))</f>
        <v>534.59150243554586</v>
      </c>
      <c r="BJ59" s="59">
        <f t="shared" si="38"/>
        <v>259.04458689606491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9.3038155341638511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9.3038155341638511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</v>
      </c>
      <c r="BY59" s="12">
        <f>IF('Données projet'!$A$114&gt;35,BY58+BX59-CG58,IF(A59&lt;'Données projet'!$A$114,$BV$205^A59,IF(A59='Données projet'!$A$114,'Données projet'!$B$114,BY58+BX59-CG58)))</f>
        <v>178</v>
      </c>
      <c r="BZ59" s="13">
        <f>BY59*VLOOKUP('Données projet'!$B$12,Paramètres!$A$1:$I$89,3,0)*VLOOKUP('Données projet'!$B$12,Paramètres!$A$1:$I$89,5,0)</f>
        <v>155.50080000000003</v>
      </c>
      <c r="CA59" s="13">
        <f t="shared" si="39"/>
        <v>39.826029828200333</v>
      </c>
      <c r="CB59" s="20">
        <f t="shared" si="10"/>
        <v>340.19422861744891</v>
      </c>
      <c r="CC59" s="59">
        <f t="shared" si="11"/>
        <v>633.52756195078223</v>
      </c>
      <c r="CD59" s="59">
        <f ca="1">AVERAGE(OFFSET($CC$3,0,0,'Données projet'!$E$12+1,1))-AVERAGE(OFFSET($H$3,0,0,'Données projet'!$E$12+1,1))</f>
        <v>211.91720528436969</v>
      </c>
      <c r="CE59" s="59">
        <f t="shared" si="40"/>
        <v>218.88548486038957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5.6513916860840521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5.6513916860840521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9.5537500000000009</v>
      </c>
      <c r="CT59" s="12">
        <f>IF('Données projet'!$A$140&gt;35,CT58+CS59-DB58,IF(A59&lt;'Données projet'!$A$140,$CQ$205^A59,IF(A59='Données projet'!$A$140,'Données projet'!$B$140,CT58+CS59-DB58)))</f>
        <v>216.76250000000019</v>
      </c>
      <c r="CU59" s="17">
        <f>CT59*VLOOKUP('Données projet'!$B$13,Paramètres!$A$1:$I$89,3,0)*VLOOKUP('Données projet'!$B$13,Paramètres!$A$1:$I$89,5,0)</f>
        <v>196.12671000000017</v>
      </c>
      <c r="CV59" s="13">
        <f t="shared" si="41"/>
        <v>48.891969383051702</v>
      </c>
      <c r="CW59" s="20">
        <f t="shared" si="13"/>
        <v>426.74086659214868</v>
      </c>
      <c r="CX59" s="59">
        <f t="shared" si="14"/>
        <v>720.07419992548193</v>
      </c>
      <c r="CY59" s="59">
        <f ca="1">AVERAGE(OFFSET($CX$3,0,0,'Données projet'!$E$13+1,1))-AVERAGE(OFFSET($H$3,0,0,'Données projet'!$E$13+1,1))</f>
        <v>469.97161976912071</v>
      </c>
      <c r="CZ59" s="59">
        <f t="shared" si="42"/>
        <v>231.65013084759306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8.301866168946205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8.301866168946205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9.5537500000000009</v>
      </c>
      <c r="DO59" s="12">
        <f>IF('Données projet'!$A$166&gt;35,DO58+DN59-DW58,IF(A59&lt;'Données projet'!$A$166,$DL$205^A59,IF(A59='Données projet'!$A$166,'Données projet'!$B$166,DO58+DN59-DW58)))</f>
        <v>216.76250000000019</v>
      </c>
      <c r="DP59" s="17">
        <f>DO59*VLOOKUP('Données projet'!$B$14,Paramètres!$A$1:$I$89,3,0)*VLOOKUP('Données projet'!$B$14,Paramètres!$A$1:$I$89,5,0)</f>
        <v>209.65269000000021</v>
      </c>
      <c r="DQ59" s="13">
        <f t="shared" si="43"/>
        <v>51.859682415280766</v>
      </c>
      <c r="DR59" s="20">
        <f t="shared" si="16"/>
        <v>455.46738195661436</v>
      </c>
      <c r="DS59" s="59">
        <f t="shared" si="17"/>
        <v>748.80071528994768</v>
      </c>
      <c r="DT59" s="59">
        <f ca="1">AVERAGE(OFFSET($DS$3,0,0,'Données projet'!$E$14+1,1))-AVERAGE(OFFSET($H$3,0,0,'Données projet'!$E$14+1,1))</f>
        <v>506.9153247310901</v>
      </c>
      <c r="DU59" s="59">
        <f t="shared" si="44"/>
        <v>247.31254626788319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8.874408663356288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8.874408663356288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7.5280000000000014</v>
      </c>
      <c r="N60" s="13">
        <f>IF('Données projet'!$A$36&gt;35,N59+M60-V59,IF(A60&lt;'Données projet'!$A$36,$K$205^A60,IF(A60='Données projet'!$A$36,'Données projet'!$B$36,N59+M60-V59)))</f>
        <v>220.02599999999998</v>
      </c>
      <c r="O60" s="13">
        <f>N60*VLOOKUP('Données projet'!$B$9,Paramètres!$A$1:$I$89,3,0)*VLOOKUP('Données projet'!$B$9,Paramètres!$A$1:$I$89,5,0)</f>
        <v>131.575548</v>
      </c>
      <c r="P60" s="13">
        <f t="shared" si="33"/>
        <v>34.360166571069136</v>
      </c>
      <c r="Q60" s="20">
        <f t="shared" si="53"/>
        <v>289.00470287794536</v>
      </c>
      <c r="R60" s="59">
        <f t="shared" si="0"/>
        <v>582.33803621127868</v>
      </c>
      <c r="S60" s="59">
        <f ca="1">AVERAGE(OFFSET($R$3,0,0,'Données projet'!$E$9+1,1))-AVERAGE(OFFSET($H$3,0,0,'Données projet'!$E$9+1,1))</f>
        <v>193.8828274189392</v>
      </c>
      <c r="T60" s="59">
        <f t="shared" si="34"/>
        <v>179.13381331066427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10.412974422536786</v>
      </c>
      <c r="AA60" s="21">
        <f>EXP(-LN(2)/25)*AA59+(1-EXP(-LN(2)/25))/(LN(2)/25)*Calculateur!V60*Calculateur!X60*VLOOKUP('Données projet'!$B$9,Paramètres!$A$1:$I$89,3,0)*0.475*44/12</f>
        <v>9.4314253099425613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19.844399732479346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11.852000000000004</v>
      </c>
      <c r="AI60" s="13">
        <f>IF('Données projet'!$A$62&gt;35,AI59+AH60-AQ59,IF(A60&lt;'Données projet'!$A$62,$AF$205^A60,IF(A60='Données projet'!$A$62,'Données projet'!$B$62,AI59+AH60-AQ59)))</f>
        <v>314.85399999999981</v>
      </c>
      <c r="AJ60" s="13">
        <f>AI60*VLOOKUP('Données projet'!$B$10,Paramètres!$A$1:$I$89,3,0)*VLOOKUP('Données projet'!$B$10,Paramètres!$A$1:$I$89,5,0)</f>
        <v>188.28269199999991</v>
      </c>
      <c r="AK60" s="13">
        <f t="shared" si="35"/>
        <v>47.160080037805507</v>
      </c>
      <c r="AL60" s="20">
        <f t="shared" si="4"/>
        <v>410.06282796584441</v>
      </c>
      <c r="AM60" s="59">
        <f t="shared" si="5"/>
        <v>703.39616129917772</v>
      </c>
      <c r="AN60" s="59">
        <f ca="1">AVERAGE(OFFSET($AM$3,0,0,'Données projet'!$E$10+1,1))-AVERAGE(OFFSET($H$3,0,0,'Données projet'!$E$10+1,1))</f>
        <v>228.36873053496748</v>
      </c>
      <c r="AO60" s="59">
        <f t="shared" si="36"/>
        <v>177.73676400313303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14.757943606034654</v>
      </c>
      <c r="AV60" s="21">
        <f>EXP(-LN(2)/25)*AV59+(1-EXP(-LN(2)/25))/(LN(2)/25)*Calculateur!AQ60*Calculateur!AS60*VLOOKUP('Données projet'!$B$10,Paramètres!$A$1:$I$89,3,0)*0.475*44/12</f>
        <v>26.403166766847946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41.161110372882604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229.4846775000002</v>
      </c>
      <c r="BF60" s="13">
        <f t="shared" si="37"/>
        <v>56.171242216591338</v>
      </c>
      <c r="BG60" s="20">
        <f t="shared" si="7"/>
        <v>497.51739350639696</v>
      </c>
      <c r="BH60" s="59">
        <f t="shared" si="8"/>
        <v>790.85072683973021</v>
      </c>
      <c r="BI60" s="59">
        <f ca="1">AVERAGE(OFFSET($BH$3,0,0,'Données projet'!$E$11+1,1))-AVERAGE(OFFSET($H$3,0,0,'Données projet'!$E$11+1,1))</f>
        <v>534.59150243554586</v>
      </c>
      <c r="BJ60" s="59">
        <f t="shared" si="38"/>
        <v>259.04458689606491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9.1213733863060362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9.1213733863060362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</v>
      </c>
      <c r="BY60" s="12">
        <f>IF('Données projet'!$A$114&gt;35,BY59+BX60-CG59,IF(A60&lt;'Données projet'!$A$114,$BV$205^A60,IF(A60='Données projet'!$A$114,'Données projet'!$B$114,BY59+BX60-CG59)))</f>
        <v>182</v>
      </c>
      <c r="BZ60" s="13">
        <f>BY60*VLOOKUP('Données projet'!$B$12,Paramètres!$A$1:$I$89,3,0)*VLOOKUP('Données projet'!$B$12,Paramètres!$A$1:$I$89,5,0)</f>
        <v>158.99520000000004</v>
      </c>
      <c r="CA60" s="13">
        <f t="shared" si="39"/>
        <v>40.615796933386044</v>
      </c>
      <c r="CB60" s="20">
        <f t="shared" si="10"/>
        <v>347.65581965898076</v>
      </c>
      <c r="CC60" s="59">
        <f t="shared" si="11"/>
        <v>640.98915299231408</v>
      </c>
      <c r="CD60" s="59">
        <f ca="1">AVERAGE(OFFSET($CC$3,0,0,'Données projet'!$E$12+1,1))-AVERAGE(OFFSET($H$3,0,0,'Données projet'!$E$12+1,1))</f>
        <v>211.91720528436969</v>
      </c>
      <c r="CE60" s="59">
        <f t="shared" si="40"/>
        <v>218.88548486038957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5.5405713421285085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5.5405713421285085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9.5537500000000009</v>
      </c>
      <c r="CT60" s="12">
        <f>IF('Données projet'!$A$140&gt;35,CT59+CS60-DB59,IF(A60&lt;'Données projet'!$A$140,$CQ$205^A60,IF(A60='Données projet'!$A$140,'Données projet'!$B$140,CT59+CS60-DB59)))</f>
        <v>226.3162500000002</v>
      </c>
      <c r="CU60" s="17">
        <f>CT60*VLOOKUP('Données projet'!$B$13,Paramètres!$A$1:$I$89,3,0)*VLOOKUP('Données projet'!$B$13,Paramètres!$A$1:$I$89,5,0)</f>
        <v>204.77094300000016</v>
      </c>
      <c r="CV60" s="13">
        <f t="shared" si="41"/>
        <v>50.791233664926693</v>
      </c>
      <c r="CW60" s="20">
        <f t="shared" si="13"/>
        <v>445.10412435808092</v>
      </c>
      <c r="CX60" s="59">
        <f t="shared" si="14"/>
        <v>738.43745769141424</v>
      </c>
      <c r="CY60" s="59">
        <f ca="1">AVERAGE(OFFSET($CX$3,0,0,'Données projet'!$E$13+1,1))-AVERAGE(OFFSET($H$3,0,0,'Données projet'!$E$13+1,1))</f>
        <v>469.97161976912071</v>
      </c>
      <c r="CZ60" s="59">
        <f t="shared" si="42"/>
        <v>231.65013084759306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8.1390716370115399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8.1390716370115399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9.5537500000000009</v>
      </c>
      <c r="DO60" s="12">
        <f>IF('Données projet'!$A$166&gt;35,DO59+DN60-DW59,IF(A60&lt;'Données projet'!$A$166,$DL$205^A60,IF(A60='Données projet'!$A$166,'Données projet'!$B$166,DO59+DN60-DW59)))</f>
        <v>226.3162500000002</v>
      </c>
      <c r="DP60" s="17">
        <f>DO60*VLOOKUP('Données projet'!$B$14,Paramètres!$A$1:$I$89,3,0)*VLOOKUP('Données projet'!$B$14,Paramètres!$A$1:$I$89,5,0)</f>
        <v>218.8930770000002</v>
      </c>
      <c r="DQ60" s="13">
        <f t="shared" si="43"/>
        <v>53.874230892742354</v>
      </c>
      <c r="DR60" s="20">
        <f t="shared" si="16"/>
        <v>475.06972791319322</v>
      </c>
      <c r="DS60" s="59">
        <f t="shared" si="17"/>
        <v>768.40306124652648</v>
      </c>
      <c r="DT60" s="59">
        <f ca="1">AVERAGE(OFFSET($DS$3,0,0,'Données projet'!$E$14+1,1))-AVERAGE(OFFSET($H$3,0,0,'Données projet'!$E$14+1,1))</f>
        <v>506.9153247310901</v>
      </c>
      <c r="DU60" s="59">
        <f t="shared" si="44"/>
        <v>247.31254626788319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8.7003869223226804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8.7003869223226804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7.5280000000000014</v>
      </c>
      <c r="N61" s="13">
        <f>IF('Données projet'!$A$36&gt;35,N60+M61-V60,IF(A61&lt;'Données projet'!$A$36,$K$205^A61,IF(A61='Données projet'!$A$36,'Données projet'!$B$36,N60+M61-V60)))</f>
        <v>227.55399999999997</v>
      </c>
      <c r="O61" s="13">
        <f>N61*VLOOKUP('Données projet'!$B$9,Paramètres!$A$1:$I$89,3,0)*VLOOKUP('Données projet'!$B$9,Paramètres!$A$1:$I$89,5,0)</f>
        <v>136.077292</v>
      </c>
      <c r="P61" s="13">
        <f t="shared" si="33"/>
        <v>35.396887235157124</v>
      </c>
      <c r="Q61" s="20">
        <f t="shared" si="53"/>
        <v>298.65086216789865</v>
      </c>
      <c r="R61" s="59">
        <f t="shared" si="0"/>
        <v>591.98419550123197</v>
      </c>
      <c r="S61" s="59">
        <f ca="1">AVERAGE(OFFSET($R$3,0,0,'Données projet'!$E$9+1,1))-AVERAGE(OFFSET($H$3,0,0,'Données projet'!$E$9+1,1))</f>
        <v>193.8828274189392</v>
      </c>
      <c r="T61" s="59">
        <f t="shared" si="34"/>
        <v>179.13381331066427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10.208782345398101</v>
      </c>
      <c r="AA61" s="21">
        <f>EXP(-LN(2)/25)*AA60+(1-EXP(-LN(2)/25))/(LN(2)/25)*Calculateur!V61*Calculateur!X61*VLOOKUP('Données projet'!$B$9,Paramètres!$A$1:$I$89,3,0)*0.475*44/12</f>
        <v>9.1735224888650801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19.382304834263181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11.852000000000004</v>
      </c>
      <c r="AI61" s="13">
        <f>IF('Données projet'!$A$62&gt;35,AI60+AH61-AQ60,IF(A61&lt;'Données projet'!$A$62,$AF$205^A61,IF(A61='Données projet'!$A$62,'Données projet'!$B$62,AI60+AH61-AQ60)))</f>
        <v>326.70599999999979</v>
      </c>
      <c r="AJ61" s="13">
        <f>AI61*VLOOKUP('Données projet'!$B$10,Paramètres!$A$1:$I$89,3,0)*VLOOKUP('Données projet'!$B$10,Paramètres!$A$1:$I$89,5,0)</f>
        <v>195.3701879999999</v>
      </c>
      <c r="AK61" s="13">
        <f t="shared" si="35"/>
        <v>48.725292379749455</v>
      </c>
      <c r="AL61" s="20">
        <f t="shared" si="4"/>
        <v>425.13296166139679</v>
      </c>
      <c r="AM61" s="59">
        <f t="shared" si="5"/>
        <v>718.46629499473011</v>
      </c>
      <c r="AN61" s="59">
        <f ca="1">AVERAGE(OFFSET($AM$3,0,0,'Données projet'!$E$10+1,1))-AVERAGE(OFFSET($H$3,0,0,'Données projet'!$E$10+1,1))</f>
        <v>228.36873053496748</v>
      </c>
      <c r="AO61" s="59">
        <f t="shared" si="36"/>
        <v>177.73676400313303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14.468549333377094</v>
      </c>
      <c r="AV61" s="21">
        <f>EXP(-LN(2)/25)*AV60+(1-EXP(-LN(2)/25))/(LN(2)/25)*Calculateur!AQ61*Calculateur!AS61*VLOOKUP('Données projet'!$B$10,Paramètres!$A$1:$I$89,3,0)*0.475*44/12</f>
        <v>25.681170783126294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40.149720116503389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239.1721800000002</v>
      </c>
      <c r="BF61" s="13">
        <f t="shared" si="37"/>
        <v>58.261385175767472</v>
      </c>
      <c r="BG61" s="20">
        <f t="shared" si="7"/>
        <v>518.0301260144621</v>
      </c>
      <c r="BH61" s="59">
        <f t="shared" si="8"/>
        <v>811.36345934779547</v>
      </c>
      <c r="BI61" s="59">
        <f ca="1">AVERAGE(OFFSET($BH$3,0,0,'Données projet'!$E$11+1,1))-AVERAGE(OFFSET($H$3,0,0,'Données projet'!$E$11+1,1))</f>
        <v>534.59150243554586</v>
      </c>
      <c r="BJ61" s="59">
        <f t="shared" si="38"/>
        <v>259.04458689606491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15.439483797529846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15.439483797529846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4</v>
      </c>
      <c r="BY61" s="12">
        <f>IF('Données projet'!$A$114&gt;35,BY60+BX61-CG60,IF(A61&lt;'Données projet'!$A$114,$BV$205^A61,IF(A61='Données projet'!$A$114,'Données projet'!$B$114,BY60+BX61-CG60)))</f>
        <v>186</v>
      </c>
      <c r="BZ61" s="13">
        <f>BY61*VLOOKUP('Données projet'!$B$12,Paramètres!$A$1:$I$89,3,0)*VLOOKUP('Données projet'!$B$12,Paramètres!$A$1:$I$89,5,0)</f>
        <v>162.48960000000002</v>
      </c>
      <c r="CA61" s="13">
        <f t="shared" si="39"/>
        <v>41.403546033820696</v>
      </c>
      <c r="CB61" s="20">
        <f t="shared" si="10"/>
        <v>355.11389600890442</v>
      </c>
      <c r="CC61" s="59">
        <f t="shared" si="11"/>
        <v>648.44722934223773</v>
      </c>
      <c r="CD61" s="59">
        <f ca="1">AVERAGE(OFFSET($CC$3,0,0,'Données projet'!$E$12+1,1))-AVERAGE(OFFSET($H$3,0,0,'Données projet'!$E$12+1,1))</f>
        <v>211.91720528436969</v>
      </c>
      <c r="CE61" s="59">
        <f t="shared" si="40"/>
        <v>218.88548486038957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5.4319241175241979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5.4319241175241979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235.87</v>
      </c>
      <c r="CR61" s="12">
        <f>VLOOKUP(A61,'Données projet'!$A$139:$I$159,9,0)</f>
        <v>9.5537500000000009</v>
      </c>
      <c r="CS61" s="12">
        <f t="array" ref="CS61">INDEX(CR:CR,MIN(IF(ISNUMBER(CR61:CR257),ROW(CR61:CR257),"")))</f>
        <v>9.5537500000000009</v>
      </c>
      <c r="CT61" s="12">
        <f>IF('Données projet'!$A$140&gt;35,CT60+CS61-DB60,IF(A61&lt;'Données projet'!$A$140,$CQ$205^A61,IF(A61='Données projet'!$A$140,'Données projet'!$B$140,CT60+CS61-DB60)))</f>
        <v>235.8700000000002</v>
      </c>
      <c r="CU61" s="17">
        <f>CT61*VLOOKUP('Données projet'!$B$13,Paramètres!$A$1:$I$89,3,0)*VLOOKUP('Données projet'!$B$13,Paramètres!$A$1:$I$89,5,0)</f>
        <v>213.41517600000017</v>
      </c>
      <c r="CV61" s="13">
        <f t="shared" si="41"/>
        <v>52.681185448853228</v>
      </c>
      <c r="CW61" s="20">
        <f t="shared" si="13"/>
        <v>463.45116285675294</v>
      </c>
      <c r="CX61" s="59">
        <f t="shared" si="14"/>
        <v>756.7844961900862</v>
      </c>
      <c r="CY61" s="59">
        <f ca="1">AVERAGE(OFFSET($CX$3,0,0,'Données projet'!$E$13+1,1))-AVERAGE(OFFSET($H$3,0,0,'Données projet'!$E$13+1,1))</f>
        <v>469.97161976912071</v>
      </c>
      <c r="CZ61" s="59">
        <f t="shared" si="42"/>
        <v>231.65013084759306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0.129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13.776770157795863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13.776770157795863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235.87</v>
      </c>
      <c r="DM61" s="12">
        <f>VLOOKUP(A61,'Données projet'!$A$165:$I$185,9,0)</f>
        <v>9.5537500000000009</v>
      </c>
      <c r="DN61" s="12">
        <f t="array" ref="DN61">INDEX(DM:DM,MIN(IF(ISNUMBER(DM61:DM257),ROW(DM61:DM257),"")))</f>
        <v>9.5537500000000009</v>
      </c>
      <c r="DO61" s="12">
        <f>IF('Données projet'!$A$166&gt;35,DO60+DN61-DW60,IF(A61&lt;'Données projet'!$A$166,$DL$205^A61,IF(A61='Données projet'!$A$166,'Données projet'!$B$166,DO60+DN61-DW60)))</f>
        <v>235.8700000000002</v>
      </c>
      <c r="DP61" s="17">
        <f>DO61*VLOOKUP('Données projet'!$B$14,Paramètres!$A$1:$I$89,3,0)*VLOOKUP('Données projet'!$B$14,Paramètres!$A$1:$I$89,5,0)</f>
        <v>228.1334640000002</v>
      </c>
      <c r="DQ61" s="13">
        <f t="shared" si="43"/>
        <v>55.87890160925069</v>
      </c>
      <c r="DR61" s="20">
        <f t="shared" si="16"/>
        <v>494.6548701027786</v>
      </c>
      <c r="DS61" s="59">
        <f t="shared" si="17"/>
        <v>787.98820343611192</v>
      </c>
      <c r="DT61" s="59">
        <f ca="1">AVERAGE(OFFSET($DS$3,0,0,'Données projet'!$E$14+1,1))-AVERAGE(OFFSET($H$3,0,0,'Données projet'!$E$14+1,1))</f>
        <v>506.9153247310901</v>
      </c>
      <c r="DU61" s="59">
        <f t="shared" si="44"/>
        <v>247.31254626788319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44.93</v>
      </c>
      <c r="DX61" s="16">
        <f>IF(ISNA(VLOOKUP(A61,'Données projet'!$A$165:$I$185,5,0)),0%,VLOOKUP(A61,'Données projet'!$A$165:$I$185,5,0)*VLOOKUP('Données projet'!$B$14,Paramètres!$A$1:$I$89,7,0))</f>
        <v>0.129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14.726892237643852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14.726892237643852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7.5280000000000014</v>
      </c>
      <c r="N62" s="13">
        <f>IF('Données projet'!$A$36&gt;35,N61+M62-V61,IF(A62&lt;'Données projet'!$A$36,$K$205^A62,IF(A62='Données projet'!$A$36,'Données projet'!$B$36,N61+M62-V61)))</f>
        <v>235.08199999999997</v>
      </c>
      <c r="O62" s="13">
        <f>N62*VLOOKUP('Données projet'!$B$9,Paramètres!$A$1:$I$89,3,0)*VLOOKUP('Données projet'!$B$9,Paramètres!$A$1:$I$89,5,0)</f>
        <v>140.579036</v>
      </c>
      <c r="P62" s="13">
        <f t="shared" si="33"/>
        <v>36.429622630141161</v>
      </c>
      <c r="Q62" s="20">
        <f t="shared" si="53"/>
        <v>308.29008044749582</v>
      </c>
      <c r="R62" s="59">
        <f t="shared" si="0"/>
        <v>601.6234137808292</v>
      </c>
      <c r="S62" s="59">
        <f ca="1">AVERAGE(OFFSET($R$3,0,0,'Données projet'!$E$9+1,1))-AVERAGE(OFFSET($H$3,0,0,'Données projet'!$E$9+1,1))</f>
        <v>193.8828274189392</v>
      </c>
      <c r="T62" s="59">
        <f t="shared" si="34"/>
        <v>179.13381331066427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10.008594350347234</v>
      </c>
      <c r="AA62" s="21">
        <f>EXP(-LN(2)/25)*AA61+(1-EXP(-LN(2)/25))/(LN(2)/25)*Calculateur!V62*Calculateur!X62*VLOOKUP('Données projet'!$B$9,Paramètres!$A$1:$I$89,3,0)*0.475*44/12</f>
        <v>8.9226720339924839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18.931266384339718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11.852000000000004</v>
      </c>
      <c r="AI62" s="13">
        <f>IF('Données projet'!$A$62&gt;35,AI61+AH62-AQ61,IF(A62&lt;'Données projet'!$A$62,$AF$205^A62,IF(A62='Données projet'!$A$62,'Données projet'!$B$62,AI61+AH62-AQ61)))</f>
        <v>338.55799999999977</v>
      </c>
      <c r="AJ62" s="13">
        <f>AI62*VLOOKUP('Données projet'!$B$10,Paramètres!$A$1:$I$89,3,0)*VLOOKUP('Données projet'!$B$10,Paramètres!$A$1:$I$89,5,0)</f>
        <v>202.45768399999986</v>
      </c>
      <c r="AK62" s="13">
        <f t="shared" si="35"/>
        <v>50.283907747420365</v>
      </c>
      <c r="AL62" s="20">
        <f t="shared" si="4"/>
        <v>440.19160562675683</v>
      </c>
      <c r="AM62" s="59">
        <f t="shared" si="5"/>
        <v>733.52493896009014</v>
      </c>
      <c r="AN62" s="59">
        <f ca="1">AVERAGE(OFFSET($AM$3,0,0,'Données projet'!$E$10+1,1))-AVERAGE(OFFSET($H$3,0,0,'Données projet'!$E$10+1,1))</f>
        <v>228.36873053496748</v>
      </c>
      <c r="AO62" s="59">
        <f t="shared" si="36"/>
        <v>177.73676400313303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14.184829905893272</v>
      </c>
      <c r="AV62" s="21">
        <f>EXP(-LN(2)/25)*AV61+(1-EXP(-LN(2)/25))/(LN(2)/25)*Calculateur!AQ62*Calculateur!AS62*VLOOKUP('Données projet'!$B$10,Paramètres!$A$1:$I$89,3,0)*0.475*44/12</f>
        <v>24.978917817547629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39.163747723440899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202.99519500000022</v>
      </c>
      <c r="BF62" s="13">
        <f t="shared" si="37"/>
        <v>50.40185036856122</v>
      </c>
      <c r="BG62" s="20">
        <f t="shared" si="7"/>
        <v>441.33318735024449</v>
      </c>
      <c r="BH62" s="59">
        <f t="shared" si="8"/>
        <v>734.6665206835778</v>
      </c>
      <c r="BI62" s="59">
        <f ca="1">AVERAGE(OFFSET($BH$3,0,0,'Données projet'!$E$11+1,1))-AVERAGE(OFFSET($H$3,0,0,'Données projet'!$E$11+1,1))</f>
        <v>534.59150243554586</v>
      </c>
      <c r="BJ62" s="59">
        <f t="shared" si="38"/>
        <v>259.04458689606491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15.136724937415535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15.136724937415535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</v>
      </c>
      <c r="BY62" s="12">
        <f>IF('Données projet'!$A$114&gt;35,BY61+BX62-CG61,IF(A62&lt;'Données projet'!$A$114,$BV$205^A62,IF(A62='Données projet'!$A$114,'Données projet'!$B$114,BY61+BX62-CG61)))</f>
        <v>190</v>
      </c>
      <c r="BZ62" s="13">
        <f>BY62*VLOOKUP('Données projet'!$B$12,Paramètres!$A$1:$I$89,3,0)*VLOOKUP('Données projet'!$B$12,Paramètres!$A$1:$I$89,5,0)</f>
        <v>165.98400000000001</v>
      </c>
      <c r="CA62" s="13">
        <f t="shared" si="39"/>
        <v>42.189325525922243</v>
      </c>
      <c r="CB62" s="20">
        <f t="shared" si="10"/>
        <v>362.56854195764794</v>
      </c>
      <c r="CC62" s="59">
        <f t="shared" si="11"/>
        <v>655.90187529098125</v>
      </c>
      <c r="CD62" s="59">
        <f ca="1">AVERAGE(OFFSET($CC$3,0,0,'Données projet'!$E$12+1,1))-AVERAGE(OFFSET($H$3,0,0,'Données projet'!$E$12+1,1))</f>
        <v>211.91720528436969</v>
      </c>
      <c r="CE62" s="59">
        <f t="shared" si="40"/>
        <v>218.88548486038957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5.3254073987261137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5.3254073987261137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9.2524999999999977</v>
      </c>
      <c r="CT62" s="12">
        <f>IF('Données projet'!$A$140&gt;35,CT61+CS62-DB61,IF(A62&lt;'Données projet'!$A$140,$CQ$205^A62,IF(A62='Données projet'!$A$140,'Données projet'!$B$140,CT61+CS62-DB61)))</f>
        <v>200.19250000000019</v>
      </c>
      <c r="CU62" s="17">
        <f>CT62*VLOOKUP('Données projet'!$B$13,Paramètres!$A$1:$I$89,3,0)*VLOOKUP('Données projet'!$B$13,Paramètres!$A$1:$I$89,5,0)</f>
        <v>181.13417400000017</v>
      </c>
      <c r="CV62" s="13">
        <f t="shared" si="41"/>
        <v>45.574426667354729</v>
      </c>
      <c r="CW62" s="20">
        <f t="shared" si="13"/>
        <v>394.85081282897653</v>
      </c>
      <c r="CX62" s="59">
        <f t="shared" si="14"/>
        <v>688.18414616230984</v>
      </c>
      <c r="CY62" s="59">
        <f ca="1">AVERAGE(OFFSET($CX$3,0,0,'Données projet'!$E$13+1,1))-AVERAGE(OFFSET($H$3,0,0,'Données projet'!$E$13+1,1))</f>
        <v>469.97161976912071</v>
      </c>
      <c r="CZ62" s="59">
        <f t="shared" si="42"/>
        <v>231.65013084759306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13.506616098001555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13.506616098001555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9.2524999999999977</v>
      </c>
      <c r="DO62" s="12">
        <f>IF('Données projet'!$A$166&gt;35,DO61+DN62-DW61,IF(A62&lt;'Données projet'!$A$166,$DL$205^A62,IF(A62='Données projet'!$A$166,'Données projet'!$B$166,DO61+DN62-DW61)))</f>
        <v>200.19250000000019</v>
      </c>
      <c r="DP62" s="17">
        <f>DO62*VLOOKUP('Données projet'!$B$14,Paramètres!$A$1:$I$89,3,0)*VLOOKUP('Données projet'!$B$14,Paramètres!$A$1:$I$89,5,0)</f>
        <v>193.62618600000019</v>
      </c>
      <c r="DQ62" s="13">
        <f t="shared" si="43"/>
        <v>48.340766859082926</v>
      </c>
      <c r="DR62" s="20">
        <f t="shared" si="16"/>
        <v>421.42577622956969</v>
      </c>
      <c r="DS62" s="59">
        <f t="shared" si="17"/>
        <v>714.75910956290295</v>
      </c>
      <c r="DT62" s="59">
        <f ca="1">AVERAGE(OFFSET($DS$3,0,0,'Données projet'!$E$14+1,1))-AVERAGE(OFFSET($H$3,0,0,'Données projet'!$E$14+1,1))</f>
        <v>506.9153247310901</v>
      </c>
      <c r="DU62" s="59">
        <f t="shared" si="44"/>
        <v>247.31254626788319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14.438106863380971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14.438106863380971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242.61</v>
      </c>
      <c r="L63" s="12">
        <f>VLOOKUP(A63,'Données projet'!$A$35:$I$55,9,0)</f>
        <v>7.5280000000000014</v>
      </c>
      <c r="M63" s="12">
        <f t="array" ref="M63">INDEX(L:L,MIN(IF(ISNUMBER(L63:L259),ROW(L63:L259),"")))</f>
        <v>7.5280000000000014</v>
      </c>
      <c r="N63" s="13">
        <f>IF('Données projet'!$A$36&gt;35,N62+M63-V62,IF(A63&lt;'Données projet'!$A$36,$K$205^A63,IF(A63='Données projet'!$A$36,'Données projet'!$B$36,N62+M63-V62)))</f>
        <v>242.60999999999996</v>
      </c>
      <c r="O63" s="13">
        <f>N63*VLOOKUP('Données projet'!$B$9,Paramètres!$A$1:$I$89,3,0)*VLOOKUP('Données projet'!$B$9,Paramètres!$A$1:$I$89,5,0)</f>
        <v>145.08077999999998</v>
      </c>
      <c r="P63" s="13">
        <f t="shared" si="33"/>
        <v>37.458515014857234</v>
      </c>
      <c r="Q63" s="20">
        <f t="shared" si="53"/>
        <v>317.92260548420961</v>
      </c>
      <c r="R63" s="59">
        <f t="shared" si="0"/>
        <v>611.25593881754298</v>
      </c>
      <c r="S63" s="59">
        <f ca="1">AVERAGE(OFFSET($R$3,0,0,'Données projet'!$E$9+1,1))-AVERAGE(OFFSET($H$3,0,0,'Données projet'!$E$9+1,1))</f>
        <v>193.8828274189392</v>
      </c>
      <c r="T63" s="59">
        <f t="shared" si="34"/>
        <v>179.13381331066427</v>
      </c>
      <c r="U63" s="15">
        <f>IF(ISNA(VLOOKUP(A63,'Données projet'!$A$35:$I$55,3,0)),0,VLOOKUP(A63,'Données projet'!$A$35:$I$55,3,0))</f>
        <v>2</v>
      </c>
      <c r="V63" s="15">
        <f>IF(ISNA(VLOOKUP(A63,'Données projet'!$A$35:$I$55,4,0)),0,VLOOKUP(A63,'Données projet'!$A$35:$I$55,4,0))</f>
        <v>71.69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27.726583732293168</v>
      </c>
      <c r="AA63" s="21">
        <f>EXP(-LN(2)/25)*AA62+(1-EXP(-LN(2)/25))/(LN(2)/25)*Calculateur!V63*Calculateur!X63*VLOOKUP('Données projet'!$B$9,Paramètres!$A$1:$I$89,3,0)*0.475*44/12</f>
        <v>16.325988202542394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44.052571934835562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350.41</v>
      </c>
      <c r="AG63" s="12">
        <f>VLOOKUP(A63,'Données projet'!$A$61:$I$81,9,0)</f>
        <v>11.852000000000004</v>
      </c>
      <c r="AH63" s="12">
        <f t="array" ref="AH63">INDEX(AG:AG,MIN(IF(ISNUMBER(AG63:AG259),ROW(AG63:AG259),"")))</f>
        <v>11.852000000000004</v>
      </c>
      <c r="AI63" s="13">
        <f>IF('Données projet'!$A$62&gt;35,AI62+AH63-AQ62,IF(A63&lt;'Données projet'!$A$62,$AF$205^A63,IF(A63='Données projet'!$A$62,'Données projet'!$B$62,AI62+AH63-AQ62)))</f>
        <v>350.40999999999974</v>
      </c>
      <c r="AJ63" s="13">
        <f>AI63*VLOOKUP('Données projet'!$B$10,Paramètres!$A$1:$I$89,3,0)*VLOOKUP('Données projet'!$B$10,Paramètres!$A$1:$I$89,5,0)</f>
        <v>209.54517999999987</v>
      </c>
      <c r="AK63" s="13">
        <f t="shared" si="35"/>
        <v>51.83618354701553</v>
      </c>
      <c r="AL63" s="20">
        <f t="shared" si="4"/>
        <v>455.23920817771847</v>
      </c>
      <c r="AM63" s="59">
        <f t="shared" si="5"/>
        <v>748.57254151105178</v>
      </c>
      <c r="AN63" s="59">
        <f ca="1">AVERAGE(OFFSET($AM$3,0,0,'Données projet'!$E$10+1,1))-AVERAGE(OFFSET($H$3,0,0,'Données projet'!$E$10+1,1))</f>
        <v>228.36873053496748</v>
      </c>
      <c r="AO63" s="59">
        <f t="shared" si="36"/>
        <v>177.73676400313303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63.69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29.821846284077942</v>
      </c>
      <c r="AV63" s="21">
        <f>EXP(-LN(2)/25)*AV62+(1-EXP(-LN(2)/25))/(LN(2)/25)*Calculateur!AQ63*Calculateur!AS63*VLOOKUP('Données projet'!$B$10,Paramètres!$A$1:$I$89,3,0)*0.475*44/12</f>
        <v>31.089800057733779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60.911646341811718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212.3772300000002</v>
      </c>
      <c r="BF63" s="13">
        <f t="shared" si="37"/>
        <v>52.454729443519689</v>
      </c>
      <c r="BG63" s="20">
        <f t="shared" si="7"/>
        <v>461.24899603079712</v>
      </c>
      <c r="BH63" s="59">
        <f t="shared" si="8"/>
        <v>754.58232936413037</v>
      </c>
      <c r="BI63" s="59">
        <f ca="1">AVERAGE(OFFSET($BH$3,0,0,'Données projet'!$E$11+1,1))-AVERAGE(OFFSET($H$3,0,0,'Données projet'!$E$11+1,1))</f>
        <v>534.59150243554586</v>
      </c>
      <c r="BJ63" s="59">
        <f t="shared" si="38"/>
        <v>259.04458689606491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14.839902993883396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14.839902993883396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194</v>
      </c>
      <c r="BW63" s="12">
        <f>VLOOKUP(A63,'Données projet'!$A$113:$I$133,9,0)</f>
        <v>4</v>
      </c>
      <c r="BX63" s="12">
        <f t="array" ref="BX63">INDEX(BW:BW,MIN(IF(ISNUMBER(BW63:BW259),ROW(BW63:BW259),"")))</f>
        <v>4</v>
      </c>
      <c r="BY63" s="12">
        <f>IF('Données projet'!$A$114&gt;35,BY62+BX63-CG62,IF(A63&lt;'Données projet'!$A$114,$BV$205^A63,IF(A63='Données projet'!$A$114,'Données projet'!$B$114,BY62+BX63-CG62)))</f>
        <v>194</v>
      </c>
      <c r="BZ63" s="13">
        <f>BY63*VLOOKUP('Données projet'!$B$12,Paramètres!$A$1:$I$89,3,0)*VLOOKUP('Données projet'!$B$12,Paramètres!$A$1:$I$89,5,0)</f>
        <v>169.47840000000002</v>
      </c>
      <c r="CA63" s="13">
        <f t="shared" si="39"/>
        <v>42.973181651930332</v>
      </c>
      <c r="CB63" s="20">
        <f t="shared" si="10"/>
        <v>370.01983804377869</v>
      </c>
      <c r="CC63" s="59">
        <f t="shared" si="11"/>
        <v>663.35317137711195</v>
      </c>
      <c r="CD63" s="59">
        <f ca="1">AVERAGE(OFFSET($CC$3,0,0,'Données projet'!$E$12+1,1))-AVERAGE(OFFSET($H$3,0,0,'Données projet'!$E$12+1,1))</f>
        <v>211.91720528436969</v>
      </c>
      <c r="CE63" s="59">
        <f t="shared" si="40"/>
        <v>218.88548486038957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9</v>
      </c>
      <c r="CH63" s="16">
        <f>IF(ISNA(VLOOKUP(A63,'Données projet'!$A$113:$I$133,5,0)),0%,VLOOKUP(A63,'Données projet'!$A$113:$I$133,5,0)*VLOOKUP('Données projet'!$B$12,Paramètres!$A$1:$I$89,7,0))</f>
        <v>0.159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6.6029518074292159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6.6029518074292159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9.2524999999999977</v>
      </c>
      <c r="CT63" s="12">
        <f>IF('Données projet'!$A$140&gt;35,CT62+CS63-DB62,IF(A63&lt;'Données projet'!$A$140,$CQ$205^A63,IF(A63='Données projet'!$A$140,'Données projet'!$B$140,CT62+CS63-DB62)))</f>
        <v>209.44500000000019</v>
      </c>
      <c r="CU63" s="17">
        <f>CT63*VLOOKUP('Données projet'!$B$13,Paramètres!$A$1:$I$89,3,0)*VLOOKUP('Données projet'!$B$13,Paramètres!$A$1:$I$89,5,0)</f>
        <v>189.50583600000016</v>
      </c>
      <c r="CV63" s="13">
        <f t="shared" si="41"/>
        <v>47.430683653447495</v>
      </c>
      <c r="CW63" s="20">
        <f t="shared" si="13"/>
        <v>412.6644383964213</v>
      </c>
      <c r="CX63" s="59">
        <f t="shared" si="14"/>
        <v>705.99777172975462</v>
      </c>
      <c r="CY63" s="59">
        <f ca="1">AVERAGE(OFFSET($CX$3,0,0,'Données projet'!$E$13+1,1))-AVERAGE(OFFSET($H$3,0,0,'Données projet'!$E$13+1,1))</f>
        <v>469.97161976912071</v>
      </c>
      <c r="CZ63" s="59">
        <f t="shared" si="42"/>
        <v>231.65013084759306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13.241759594542106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13.241759594542106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9.2524999999999977</v>
      </c>
      <c r="DO63" s="12">
        <f>IF('Données projet'!$A$166&gt;35,DO62+DN63-DW62,IF(A63&lt;'Données projet'!$A$166,$DL$205^A63,IF(A63='Données projet'!$A$166,'Données projet'!$B$166,DO62+DN63-DW62)))</f>
        <v>209.44500000000019</v>
      </c>
      <c r="DP63" s="17">
        <f>DO63*VLOOKUP('Données projet'!$B$14,Paramètres!$A$1:$I$89,3,0)*VLOOKUP('Données projet'!$B$14,Paramètres!$A$1:$I$89,5,0)</f>
        <v>202.57520400000018</v>
      </c>
      <c r="DQ63" s="13">
        <f t="shared" si="43"/>
        <v>50.309697523865829</v>
      </c>
      <c r="DR63" s="20">
        <f t="shared" si="16"/>
        <v>440.44120348739995</v>
      </c>
      <c r="DS63" s="59">
        <f t="shared" si="17"/>
        <v>733.77453682073326</v>
      </c>
      <c r="DT63" s="59">
        <f ca="1">AVERAGE(OFFSET($DS$3,0,0,'Données projet'!$E$14+1,1))-AVERAGE(OFFSET($H$3,0,0,'Données projet'!$E$14+1,1))</f>
        <v>506.9153247310901</v>
      </c>
      <c r="DU63" s="59">
        <f t="shared" si="44"/>
        <v>247.31254626788319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14.1549843941657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14.1549843941657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6.7866666666666671</v>
      </c>
      <c r="N64" s="13">
        <f>IF('Données projet'!$A$36&gt;35,N63+M64-V63,IF(A64&lt;'Données projet'!$A$36,$K$205^A64,IF(A64='Données projet'!$A$36,'Données projet'!$B$36,N63+M64-V63)))</f>
        <v>177.70666666666662</v>
      </c>
      <c r="O64" s="13">
        <f>N64*VLOOKUP('Données projet'!$B$9,Paramètres!$A$1:$I$89,3,0)*VLOOKUP('Données projet'!$B$9,Paramètres!$A$1:$I$89,5,0)</f>
        <v>106.26858666666664</v>
      </c>
      <c r="P64" s="13">
        <f t="shared" si="33"/>
        <v>28.45007650724062</v>
      </c>
      <c r="Q64" s="20">
        <f t="shared" si="53"/>
        <v>234.63500502788847</v>
      </c>
      <c r="R64" s="59">
        <f t="shared" si="0"/>
        <v>527.96833836122175</v>
      </c>
      <c r="S64" s="59">
        <f ca="1">AVERAGE(OFFSET($R$3,0,0,'Données projet'!$E$9+1,1))-AVERAGE(OFFSET($H$3,0,0,'Données projet'!$E$9+1,1))</f>
        <v>193.8828274189392</v>
      </c>
      <c r="T64" s="59">
        <f t="shared" si="34"/>
        <v>179.13381331066427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27.182882336849101</v>
      </c>
      <c r="AA64" s="21">
        <f>EXP(-LN(2)/25)*AA63+(1-EXP(-LN(2)/25))/(LN(2)/25)*Calculateur!V64*Calculateur!X64*VLOOKUP('Données projet'!$B$9,Paramètres!$A$1:$I$89,3,0)*0.475*44/12</f>
        <v>15.879553196597467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43.062435533446568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10.238999999999999</v>
      </c>
      <c r="AI64" s="13">
        <f>IF('Données projet'!$A$62&gt;35,AI63+AH64-AQ63,IF(A64&lt;'Données projet'!$A$62,$AF$205^A64,IF(A64='Données projet'!$A$62,'Données projet'!$B$62,AI63+AH64-AQ63)))</f>
        <v>296.95899999999972</v>
      </c>
      <c r="AJ64" s="13">
        <f>AI64*VLOOKUP('Données projet'!$B$10,Paramètres!$A$1:$I$89,3,0)*VLOOKUP('Données projet'!$B$10,Paramètres!$A$1:$I$89,5,0)</f>
        <v>177.58148199999985</v>
      </c>
      <c r="AK64" s="13">
        <f t="shared" si="35"/>
        <v>44.783687582701269</v>
      </c>
      <c r="AL64" s="20">
        <f t="shared" si="4"/>
        <v>387.28600368987105</v>
      </c>
      <c r="AM64" s="59">
        <f t="shared" si="5"/>
        <v>680.61933702320437</v>
      </c>
      <c r="AN64" s="59">
        <f ca="1">AVERAGE(OFFSET($AM$3,0,0,'Données projet'!$E$10+1,1))-AVERAGE(OFFSET($H$3,0,0,'Données projet'!$E$10+1,1))</f>
        <v>228.36873053496748</v>
      </c>
      <c r="AO64" s="59">
        <f t="shared" si="36"/>
        <v>177.73676400313303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29.23705806797734</v>
      </c>
      <c r="AV64" s="21">
        <f>EXP(-LN(2)/25)*AV63+(1-EXP(-LN(2)/25))/(LN(2)/25)*Calculateur!AQ64*Calculateur!AS64*VLOOKUP('Données projet'!$B$10,Paramètres!$A$1:$I$89,3,0)*0.475*44/12</f>
        <v>30.239647840213522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59.476705908190866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221.7592650000002</v>
      </c>
      <c r="BF64" s="13">
        <f t="shared" si="37"/>
        <v>54.497075847509379</v>
      </c>
      <c r="BG64" s="20">
        <f t="shared" si="7"/>
        <v>481.14646030941248</v>
      </c>
      <c r="BH64" s="59">
        <f t="shared" si="8"/>
        <v>774.47979364274579</v>
      </c>
      <c r="BI64" s="59">
        <f ca="1">AVERAGE(OFFSET($BH$3,0,0,'Données projet'!$E$11+1,1))-AVERAGE(OFFSET($H$3,0,0,'Données projet'!$E$11+1,1))</f>
        <v>534.59150243554586</v>
      </c>
      <c r="BJ64" s="59">
        <f t="shared" si="38"/>
        <v>259.04458689606491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14.548901547620412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14.548901547620412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3.4</v>
      </c>
      <c r="BY64" s="12">
        <f>IF('Données projet'!$A$114&gt;35,BY63+BX64-CG63,IF(A64&lt;'Données projet'!$A$114,$BV$205^A64,IF(A64='Données projet'!$A$114,'Données projet'!$B$114,BY63+BX64-CG63)))</f>
        <v>188.4</v>
      </c>
      <c r="BZ64" s="13">
        <f>BY64*VLOOKUP('Données projet'!$B$12,Paramètres!$A$1:$I$89,3,0)*VLOOKUP('Données projet'!$B$12,Paramètres!$A$1:$I$89,5,0)</f>
        <v>164.58624000000003</v>
      </c>
      <c r="CA64" s="13">
        <f t="shared" si="39"/>
        <v>41.875247075991886</v>
      </c>
      <c r="CB64" s="20">
        <f t="shared" si="10"/>
        <v>359.58708999068591</v>
      </c>
      <c r="CC64" s="59">
        <f t="shared" si="11"/>
        <v>652.92042332401923</v>
      </c>
      <c r="CD64" s="59">
        <f ca="1">AVERAGE(OFFSET($CC$3,0,0,'Données projet'!$E$12+1,1))-AVERAGE(OFFSET($H$3,0,0,'Données projet'!$E$12+1,1))</f>
        <v>211.91720528436969</v>
      </c>
      <c r="CE64" s="59">
        <f t="shared" si="40"/>
        <v>218.88548486038957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6.4734719498884585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6.4734719498884585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9.2524999999999977</v>
      </c>
      <c r="CT64" s="12">
        <f>IF('Données projet'!$A$140&gt;35,CT63+CS64-DB63,IF(A64&lt;'Données projet'!$A$140,$CQ$205^A64,IF(A64='Données projet'!$A$140,'Données projet'!$B$140,CT63+CS64-DB63)))</f>
        <v>218.69750000000019</v>
      </c>
      <c r="CU64" s="17">
        <f>CT64*VLOOKUP('Données projet'!$B$13,Paramètres!$A$1:$I$89,3,0)*VLOOKUP('Données projet'!$B$13,Paramètres!$A$1:$I$89,5,0)</f>
        <v>197.87749800000014</v>
      </c>
      <c r="CV64" s="13">
        <f t="shared" si="41"/>
        <v>49.277416774103372</v>
      </c>
      <c r="CW64" s="20">
        <f t="shared" si="13"/>
        <v>430.46147656489694</v>
      </c>
      <c r="CX64" s="59">
        <f t="shared" si="14"/>
        <v>723.79480989823026</v>
      </c>
      <c r="CY64" s="59">
        <f ca="1">AVERAGE(OFFSET($CX$3,0,0,'Données projet'!$E$13+1,1))-AVERAGE(OFFSET($H$3,0,0,'Données projet'!$E$13+1,1))</f>
        <v>469.97161976912071</v>
      </c>
      <c r="CZ64" s="59">
        <f t="shared" si="42"/>
        <v>231.65013084759306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12.982096765568983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12.982096765568983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9.2524999999999977</v>
      </c>
      <c r="DO64" s="12">
        <f>IF('Données projet'!$A$166&gt;35,DO63+DN64-DW63,IF(A64&lt;'Données projet'!$A$166,$DL$205^A64,IF(A64='Données projet'!$A$166,'Données projet'!$B$166,DO63+DN64-DW63)))</f>
        <v>218.69750000000019</v>
      </c>
      <c r="DP64" s="17">
        <f>DO64*VLOOKUP('Données projet'!$B$14,Paramètres!$A$1:$I$89,3,0)*VLOOKUP('Données projet'!$B$14,Paramètres!$A$1:$I$89,5,0)</f>
        <v>211.52422200000021</v>
      </c>
      <c r="DQ64" s="13">
        <f t="shared" si="43"/>
        <v>52.268526230328021</v>
      </c>
      <c r="DR64" s="20">
        <f t="shared" si="16"/>
        <v>459.43903650115499</v>
      </c>
      <c r="DS64" s="59">
        <f t="shared" si="17"/>
        <v>752.77236983448825</v>
      </c>
      <c r="DT64" s="59">
        <f ca="1">AVERAGE(OFFSET($DS$3,0,0,'Données projet'!$E$14+1,1))-AVERAGE(OFFSET($H$3,0,0,'Données projet'!$E$14+1,1))</f>
        <v>506.9153247310901</v>
      </c>
      <c r="DU64" s="59">
        <f t="shared" si="44"/>
        <v>247.31254626788319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13.877413783884085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13.877413783884085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6.7866666666666671</v>
      </c>
      <c r="N65" s="13">
        <f>IF('Données projet'!$A$36&gt;35,N64+M65-V64,IF(A65&lt;'Données projet'!$A$36,$K$205^A65,IF(A65='Données projet'!$A$36,'Données projet'!$B$36,N64+M65-V64)))</f>
        <v>184.49333333333328</v>
      </c>
      <c r="O65" s="13">
        <f>N65*VLOOKUP('Données projet'!$B$9,Paramètres!$A$1:$I$89,3,0)*VLOOKUP('Données projet'!$B$9,Paramètres!$A$1:$I$89,5,0)</f>
        <v>110.3270133333333</v>
      </c>
      <c r="P65" s="13">
        <f t="shared" si="33"/>
        <v>29.408018148590212</v>
      </c>
      <c r="Q65" s="20">
        <f t="shared" si="53"/>
        <v>243.37184649768338</v>
      </c>
      <c r="R65" s="59">
        <f t="shared" si="0"/>
        <v>536.70517983101672</v>
      </c>
      <c r="S65" s="59">
        <f ca="1">AVERAGE(OFFSET($R$3,0,0,'Données projet'!$E$9+1,1))-AVERAGE(OFFSET($H$3,0,0,'Données projet'!$E$9+1,1))</f>
        <v>193.8828274189392</v>
      </c>
      <c r="T65" s="59">
        <f t="shared" si="34"/>
        <v>179.13381331066427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26.649842594144584</v>
      </c>
      <c r="AA65" s="21">
        <f>EXP(-LN(2)/25)*AA64+(1-EXP(-LN(2)/25))/(LN(2)/25)*Calculateur!V65*Calculateur!X65*VLOOKUP('Données projet'!$B$9,Paramètres!$A$1:$I$89,3,0)*0.475*44/12</f>
        <v>15.4453259793671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42.095168573511685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10.238999999999999</v>
      </c>
      <c r="AI65" s="13">
        <f>IF('Données projet'!$A$62&gt;35,AI64+AH65-AQ64,IF(A65&lt;'Données projet'!$A$62,$AF$205^A65,IF(A65='Données projet'!$A$62,'Données projet'!$B$62,AI64+AH65-AQ64)))</f>
        <v>307.19799999999969</v>
      </c>
      <c r="AJ65" s="13">
        <f>AI65*VLOOKUP('Données projet'!$B$10,Paramètres!$A$1:$I$89,3,0)*VLOOKUP('Données projet'!$B$10,Paramètres!$A$1:$I$89,5,0)</f>
        <v>183.70440399999984</v>
      </c>
      <c r="AK65" s="13">
        <f t="shared" si="35"/>
        <v>46.145368140141613</v>
      </c>
      <c r="AL65" s="20">
        <f t="shared" si="4"/>
        <v>400.32168647741304</v>
      </c>
      <c r="AM65" s="59">
        <f t="shared" si="5"/>
        <v>693.65501981074635</v>
      </c>
      <c r="AN65" s="59">
        <f ca="1">AVERAGE(OFFSET($AM$3,0,0,'Données projet'!$E$10+1,1))-AVERAGE(OFFSET($H$3,0,0,'Données projet'!$E$10+1,1))</f>
        <v>228.36873053496748</v>
      </c>
      <c r="AO65" s="59">
        <f t="shared" si="36"/>
        <v>177.73676400313303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28.663737192108879</v>
      </c>
      <c r="AV65" s="21">
        <f>EXP(-LN(2)/25)*AV64+(1-EXP(-LN(2)/25))/(LN(2)/25)*Calculateur!AQ65*Calculateur!AS65*VLOOKUP('Données projet'!$B$10,Paramètres!$A$1:$I$89,3,0)*0.475*44/12</f>
        <v>29.412743079788918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58.076480271897793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231.1413000000002</v>
      </c>
      <c r="BF65" s="13">
        <f t="shared" si="37"/>
        <v>56.529386137528874</v>
      </c>
      <c r="BG65" s="20">
        <f t="shared" si="7"/>
        <v>501.02644502286307</v>
      </c>
      <c r="BH65" s="59">
        <f t="shared" si="8"/>
        <v>794.35977835619633</v>
      </c>
      <c r="BI65" s="59">
        <f ca="1">AVERAGE(OFFSET($BH$3,0,0,'Données projet'!$E$11+1,1))-AVERAGE(OFFSET($H$3,0,0,'Données projet'!$E$11+1,1))</f>
        <v>534.59150243554586</v>
      </c>
      <c r="BJ65" s="59">
        <f t="shared" si="38"/>
        <v>259.04458689606491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14.26360646222529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14.26360646222529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3.4</v>
      </c>
      <c r="BY65" s="12">
        <f>IF('Données projet'!$A$114&gt;35,BY64+BX65-CG64,IF(A65&lt;'Données projet'!$A$114,$BV$205^A65,IF(A65='Données projet'!$A$114,'Données projet'!$B$114,BY64+BX65-CG64)))</f>
        <v>191.8</v>
      </c>
      <c r="BZ65" s="13">
        <f>BY65*VLOOKUP('Données projet'!$B$12,Paramètres!$A$1:$I$89,3,0)*VLOOKUP('Données projet'!$B$12,Paramètres!$A$1:$I$89,5,0)</f>
        <v>167.55648000000002</v>
      </c>
      <c r="CA65" s="13">
        <f t="shared" si="39"/>
        <v>42.542296108660942</v>
      </c>
      <c r="CB65" s="20">
        <f t="shared" si="10"/>
        <v>365.92203505591783</v>
      </c>
      <c r="CC65" s="59">
        <f t="shared" si="11"/>
        <v>659.25536838925109</v>
      </c>
      <c r="CD65" s="59">
        <f ca="1">AVERAGE(OFFSET($CC$3,0,0,'Données projet'!$E$12+1,1))-AVERAGE(OFFSET($H$3,0,0,'Données projet'!$E$12+1,1))</f>
        <v>211.91720528436969</v>
      </c>
      <c r="CE65" s="59">
        <f t="shared" si="40"/>
        <v>218.88548486038957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6.34653111337916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6.34653111337916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9.2524999999999977</v>
      </c>
      <c r="CT65" s="12">
        <f>IF('Données projet'!$A$140&gt;35,CT64+CS65-DB64,IF(A65&lt;'Données projet'!$A$140,$CQ$205^A65,IF(A65='Données projet'!$A$140,'Données projet'!$B$140,CT64+CS65-DB64)))</f>
        <v>227.95000000000019</v>
      </c>
      <c r="CU65" s="17">
        <f>CT65*VLOOKUP('Données projet'!$B$13,Paramètres!$A$1:$I$89,3,0)*VLOOKUP('Données projet'!$B$13,Paramètres!$A$1:$I$89,5,0)</f>
        <v>206.24916000000016</v>
      </c>
      <c r="CV65" s="13">
        <f t="shared" si="41"/>
        <v>51.115075026737237</v>
      </c>
      <c r="CW65" s="20">
        <f t="shared" si="13"/>
        <v>448.24270933823431</v>
      </c>
      <c r="CX65" s="59">
        <f t="shared" si="14"/>
        <v>741.57604267156762</v>
      </c>
      <c r="CY65" s="59">
        <f ca="1">AVERAGE(OFFSET($CX$3,0,0,'Données projet'!$E$13+1,1))-AVERAGE(OFFSET($H$3,0,0,'Données projet'!$E$13+1,1))</f>
        <v>469.97161976912071</v>
      </c>
      <c r="CZ65" s="59">
        <f t="shared" si="42"/>
        <v>231.65013084759306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12.727525766293335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12.727525766293335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9.2524999999999977</v>
      </c>
      <c r="DO65" s="12">
        <f>IF('Données projet'!$A$166&gt;35,DO64+DN65-DW64,IF(A65&lt;'Données projet'!$A$166,$DL$205^A65,IF(A65='Données projet'!$A$166,'Données projet'!$B$166,DO64+DN65-DW64)))</f>
        <v>227.95000000000019</v>
      </c>
      <c r="DP65" s="17">
        <f>DO65*VLOOKUP('Données projet'!$B$14,Paramètres!$A$1:$I$89,3,0)*VLOOKUP('Données projet'!$B$14,Paramètres!$A$1:$I$89,5,0)</f>
        <v>220.4732400000002</v>
      </c>
      <c r="DQ65" s="13">
        <f t="shared" si="43"/>
        <v>54.2177292297565</v>
      </c>
      <c r="DR65" s="20">
        <f t="shared" si="16"/>
        <v>478.42010474182621</v>
      </c>
      <c r="DS65" s="59">
        <f t="shared" si="17"/>
        <v>771.75343807515947</v>
      </c>
      <c r="DT65" s="59">
        <f ca="1">AVERAGE(OFFSET($DS$3,0,0,'Données projet'!$E$14+1,1))-AVERAGE(OFFSET($H$3,0,0,'Données projet'!$E$14+1,1))</f>
        <v>506.9153247310901</v>
      </c>
      <c r="DU65" s="59">
        <f t="shared" si="44"/>
        <v>247.31254626788319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13.605286163968739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13.605286163968739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6.7866666666666671</v>
      </c>
      <c r="N66" s="13">
        <f>IF('Données projet'!$A$36&gt;35,N65+M66-V65,IF(A66&lt;'Données projet'!$A$36,$K$205^A66,IF(A66='Données projet'!$A$36,'Données projet'!$B$36,N65+M66-V65)))</f>
        <v>191.27999999999994</v>
      </c>
      <c r="O66" s="13">
        <f>N66*VLOOKUP('Données projet'!$B$9,Paramètres!$A$1:$I$89,3,0)*VLOOKUP('Données projet'!$B$9,Paramètres!$A$1:$I$89,5,0)</f>
        <v>114.38543999999999</v>
      </c>
      <c r="P66" s="13">
        <f t="shared" si="33"/>
        <v>30.361865846013131</v>
      </c>
      <c r="Q66" s="20">
        <f t="shared" si="53"/>
        <v>252.10155768180616</v>
      </c>
      <c r="R66" s="59">
        <f t="shared" si="0"/>
        <v>545.43489101513944</v>
      </c>
      <c r="S66" s="59">
        <f ca="1">AVERAGE(OFFSET($R$3,0,0,'Données projet'!$E$9+1,1))-AVERAGE(OFFSET($H$3,0,0,'Données projet'!$E$9+1,1))</f>
        <v>193.8828274189392</v>
      </c>
      <c r="T66" s="59">
        <f t="shared" si="34"/>
        <v>179.13381331066427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26.127255435672364</v>
      </c>
      <c r="AA66" s="21">
        <f>EXP(-LN(2)/25)*AA65+(1-EXP(-LN(2)/25))/(LN(2)/25)*Calculateur!V66*Calculateur!X66*VLOOKUP('Données projet'!$B$9,Paramètres!$A$1:$I$89,3,0)*0.475*44/12</f>
        <v>15.022972728226915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41.150228163899278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10.238999999999999</v>
      </c>
      <c r="AI66" s="13">
        <f>IF('Données projet'!$A$62&gt;35,AI65+AH66-AQ65,IF(A66&lt;'Données projet'!$A$62,$AF$205^A66,IF(A66='Données projet'!$A$62,'Données projet'!$B$62,AI65+AH66-AQ65)))</f>
        <v>317.43699999999967</v>
      </c>
      <c r="AJ66" s="13">
        <f>AI66*VLOOKUP('Données projet'!$B$10,Paramètres!$A$1:$I$89,3,0)*VLOOKUP('Données projet'!$B$10,Paramètres!$A$1:$I$89,5,0)</f>
        <v>189.8273259999998</v>
      </c>
      <c r="AK66" s="13">
        <f t="shared" si="35"/>
        <v>47.501775061584858</v>
      </c>
      <c r="AL66" s="20">
        <f t="shared" si="4"/>
        <v>413.34818434892662</v>
      </c>
      <c r="AM66" s="59">
        <f t="shared" si="5"/>
        <v>706.68151768225994</v>
      </c>
      <c r="AN66" s="59">
        <f ca="1">AVERAGE(OFFSET($AM$3,0,0,'Données projet'!$E$10+1,1))-AVERAGE(OFFSET($H$3,0,0,'Données projet'!$E$10+1,1))</f>
        <v>228.36873053496748</v>
      </c>
      <c r="AO66" s="59">
        <f t="shared" si="36"/>
        <v>177.73676400313303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28.101658788924993</v>
      </c>
      <c r="AV66" s="21">
        <f>EXP(-LN(2)/25)*AV65+(1-EXP(-LN(2)/25))/(LN(2)/25)*Calculateur!AQ66*Calculateur!AS66*VLOOKUP('Données projet'!$B$10,Paramètres!$A$1:$I$89,3,0)*0.475*44/12</f>
        <v>28.608450073523155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56.710108862448152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240.52333500000023</v>
      </c>
      <c r="BF66" s="13">
        <f t="shared" si="37"/>
        <v>58.552114278737164</v>
      </c>
      <c r="BG66" s="20">
        <f t="shared" si="7"/>
        <v>520.88974082713423</v>
      </c>
      <c r="BH66" s="59">
        <f t="shared" si="8"/>
        <v>814.2230741604676</v>
      </c>
      <c r="BI66" s="59">
        <f ca="1">AVERAGE(OFFSET($BH$3,0,0,'Données projet'!$E$11+1,1))-AVERAGE(OFFSET($H$3,0,0,'Données projet'!$E$11+1,1))</f>
        <v>534.59150243554586</v>
      </c>
      <c r="BJ66" s="59">
        <f t="shared" si="38"/>
        <v>259.04458689606491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13.983905839441947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13.983905839441947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3.4</v>
      </c>
      <c r="BY66" s="12">
        <f>IF('Données projet'!$A$114&gt;35,BY65+BX66-CG65,IF(A66&lt;'Données projet'!$A$114,$BV$205^A66,IF(A66='Données projet'!$A$114,'Données projet'!$B$114,BY65+BX66-CG65)))</f>
        <v>195.20000000000002</v>
      </c>
      <c r="BZ66" s="13">
        <f>BY66*VLOOKUP('Données projet'!$B$12,Paramètres!$A$1:$I$89,3,0)*VLOOKUP('Données projet'!$B$12,Paramètres!$A$1:$I$89,5,0)</f>
        <v>170.52672000000004</v>
      </c>
      <c r="CA66" s="13">
        <f t="shared" si="39"/>
        <v>43.207970095682747</v>
      </c>
      <c r="CB66" s="20">
        <f t="shared" si="10"/>
        <v>372.25458524998089</v>
      </c>
      <c r="CC66" s="59">
        <f t="shared" si="11"/>
        <v>665.58791858331415</v>
      </c>
      <c r="CD66" s="59">
        <f ca="1">AVERAGE(OFFSET($CC$3,0,0,'Données projet'!$E$12+1,1))-AVERAGE(OFFSET($H$3,0,0,'Données projet'!$E$12+1,1))</f>
        <v>211.91720528436969</v>
      </c>
      <c r="CE66" s="59">
        <f t="shared" si="40"/>
        <v>218.88548486038957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6.2220795092475445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6.2220795092475445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9.2524999999999977</v>
      </c>
      <c r="CT66" s="12">
        <f>IF('Données projet'!$A$140&gt;35,CT65+CS66-DB65,IF(A66&lt;'Données projet'!$A$140,$CQ$205^A66,IF(A66='Données projet'!$A$140,'Données projet'!$B$140,CT65+CS66-DB65)))</f>
        <v>237.20250000000019</v>
      </c>
      <c r="CU66" s="17">
        <f>CT66*VLOOKUP('Données projet'!$B$13,Paramètres!$A$1:$I$89,3,0)*VLOOKUP('Données projet'!$B$13,Paramètres!$A$1:$I$89,5,0)</f>
        <v>214.62082200000015</v>
      </c>
      <c r="CV66" s="13">
        <f t="shared" si="41"/>
        <v>52.944068896315315</v>
      </c>
      <c r="CW66" s="20">
        <f t="shared" si="13"/>
        <v>466.0088516444161</v>
      </c>
      <c r="CX66" s="59">
        <f t="shared" si="14"/>
        <v>759.34218497774941</v>
      </c>
      <c r="CY66" s="59">
        <f ca="1">AVERAGE(OFFSET($CX$3,0,0,'Données projet'!$E$13+1,1))-AVERAGE(OFFSET($H$3,0,0,'Données projet'!$E$13+1,1))</f>
        <v>469.97161976912071</v>
      </c>
      <c r="CZ66" s="59">
        <f t="shared" si="42"/>
        <v>231.65013084759306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12.477946749040505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12.477946749040505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9.2524999999999977</v>
      </c>
      <c r="DO66" s="12">
        <f>IF('Données projet'!$A$166&gt;35,DO65+DN66-DW65,IF(A66&lt;'Données projet'!$A$166,$DL$205^A66,IF(A66='Données projet'!$A$166,'Données projet'!$B$166,DO65+DN66-DW65)))</f>
        <v>237.20250000000019</v>
      </c>
      <c r="DP66" s="17">
        <f>DO66*VLOOKUP('Données projet'!$B$14,Paramètres!$A$1:$I$89,3,0)*VLOOKUP('Données projet'!$B$14,Paramètres!$A$1:$I$89,5,0)</f>
        <v>229.4222580000002</v>
      </c>
      <c r="DQ66" s="13">
        <f t="shared" si="43"/>
        <v>56.157741923307334</v>
      </c>
      <c r="DR66" s="20">
        <f t="shared" si="16"/>
        <v>497.38516653309392</v>
      </c>
      <c r="DS66" s="59">
        <f t="shared" si="17"/>
        <v>790.71849986642724</v>
      </c>
      <c r="DT66" s="59">
        <f ca="1">AVERAGE(OFFSET($DS$3,0,0,'Données projet'!$E$14+1,1))-AVERAGE(OFFSET($H$3,0,0,'Données projet'!$E$14+1,1))</f>
        <v>506.9153247310901</v>
      </c>
      <c r="DU66" s="59">
        <f t="shared" si="44"/>
        <v>247.31254626788319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13.338494800698472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13.338494800698472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6.7866666666666671</v>
      </c>
      <c r="N67" s="13">
        <f>IF('Données projet'!$A$36&gt;35,N66+M67-V66,IF(A67&lt;'Données projet'!$A$36,$K$205^A67,IF(A67='Données projet'!$A$36,'Données projet'!$B$36,N66+M67-V66)))</f>
        <v>198.06666666666661</v>
      </c>
      <c r="O67" s="13">
        <f>N67*VLOOKUP('Données projet'!$B$9,Paramètres!$A$1:$I$89,3,0)*VLOOKUP('Données projet'!$B$9,Paramètres!$A$1:$I$89,5,0)</f>
        <v>118.44386666666664</v>
      </c>
      <c r="P67" s="13">
        <f t="shared" si="33"/>
        <v>31.311781496022643</v>
      </c>
      <c r="Q67" s="20">
        <f t="shared" ref="Q67:Q98" si="54">(O67+P67)*0.475*44/12</f>
        <v>260.82442055001712</v>
      </c>
      <c r="R67" s="59">
        <f t="shared" ref="R67:R130" si="55">Q67+(I67+J67)*44/12</f>
        <v>554.15775388335044</v>
      </c>
      <c r="S67" s="59">
        <f ca="1">AVERAGE(OFFSET($R$3,0,0,'Données projet'!$E$9+1,1))-AVERAGE(OFFSET($H$3,0,0,'Données projet'!$E$9+1,1))</f>
        <v>193.8828274189392</v>
      </c>
      <c r="T67" s="59">
        <f t="shared" si="34"/>
        <v>179.13381331066427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25.614915892631089</v>
      </c>
      <c r="AA67" s="21">
        <f>EXP(-LN(2)/25)*AA66+(1-EXP(-LN(2)/25))/(LN(2)/25)*Calculateur!V67*Calculateur!X67*VLOOKUP('Données projet'!$B$9,Paramètres!$A$1:$I$89,3,0)*0.475*44/12</f>
        <v>14.612168748949749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40.227084641580838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10.238999999999999</v>
      </c>
      <c r="AI67" s="13">
        <f>IF('Données projet'!$A$62&gt;35,AI66+AH67-AQ66,IF(A67&lt;'Données projet'!$A$62,$AF$205^A67,IF(A67='Données projet'!$A$62,'Données projet'!$B$62,AI66+AH67-AQ66)))</f>
        <v>327.67599999999965</v>
      </c>
      <c r="AJ67" s="13">
        <f>AI67*VLOOKUP('Données projet'!$B$10,Paramètres!$A$1:$I$89,3,0)*VLOOKUP('Données projet'!$B$10,Paramètres!$A$1:$I$89,5,0)</f>
        <v>195.95024799999979</v>
      </c>
      <c r="AK67" s="13">
        <f t="shared" si="35"/>
        <v>48.853097959920042</v>
      </c>
      <c r="AL67" s="20">
        <f t="shared" si="4"/>
        <v>426.36582754686032</v>
      </c>
      <c r="AM67" s="59">
        <f t="shared" si="5"/>
        <v>719.69916088019363</v>
      </c>
      <c r="AN67" s="59">
        <f ca="1">AVERAGE(OFFSET($AM$3,0,0,'Données projet'!$E$10+1,1))-AVERAGE(OFFSET($H$3,0,0,'Données projet'!$E$10+1,1))</f>
        <v>228.36873053496748</v>
      </c>
      <c r="AO67" s="59">
        <f t="shared" si="36"/>
        <v>177.73676400313303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27.550602400393569</v>
      </c>
      <c r="AV67" s="21">
        <f>EXP(-LN(2)/25)*AV66+(1-EXP(-LN(2)/25))/(LN(2)/25)*Calculateur!AQ67*Calculateur!AS67*VLOOKUP('Données projet'!$B$10,Paramètres!$A$1:$I$89,3,0)*0.475*44/12</f>
        <v>27.826150501809661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55.376752902203229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249.9053700000002</v>
      </c>
      <c r="BF67" s="13">
        <f t="shared" si="37"/>
        <v>60.565676815620975</v>
      </c>
      <c r="BG67" s="20">
        <f t="shared" si="7"/>
        <v>540.73707320387359</v>
      </c>
      <c r="BH67" s="59">
        <f t="shared" si="8"/>
        <v>834.07040653720696</v>
      </c>
      <c r="BI67" s="59">
        <f ca="1">AVERAGE(OFFSET($BH$3,0,0,'Données projet'!$E$11+1,1))-AVERAGE(OFFSET($H$3,0,0,'Données projet'!$E$11+1,1))</f>
        <v>534.59150243554586</v>
      </c>
      <c r="BJ67" s="59">
        <f t="shared" si="38"/>
        <v>259.04458689606491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13.70968997527085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13.70968997527085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3.4</v>
      </c>
      <c r="BY67" s="12">
        <f>IF('Données projet'!$A$114&gt;35,BY66+BX67-CG66,IF(A67&lt;'Données projet'!$A$114,$BV$205^A67,IF(A67='Données projet'!$A$114,'Données projet'!$B$114,BY66+BX67-CG66)))</f>
        <v>198.60000000000002</v>
      </c>
      <c r="BZ67" s="13">
        <f>BY67*VLOOKUP('Données projet'!$B$12,Paramètres!$A$1:$I$89,3,0)*VLOOKUP('Données projet'!$B$12,Paramètres!$A$1:$I$89,5,0)</f>
        <v>173.49696000000003</v>
      </c>
      <c r="CA67" s="13">
        <f t="shared" si="39"/>
        <v>43.872295751131787</v>
      </c>
      <c r="CB67" s="20">
        <f t="shared" si="10"/>
        <v>378.58478709988793</v>
      </c>
      <c r="CC67" s="59">
        <f t="shared" si="11"/>
        <v>671.91812043322125</v>
      </c>
      <c r="CD67" s="59">
        <f ca="1">AVERAGE(OFFSET($CC$3,0,0,'Données projet'!$E$12+1,1))-AVERAGE(OFFSET($H$3,0,0,'Données projet'!$E$12+1,1))</f>
        <v>211.91720528436969</v>
      </c>
      <c r="CE67" s="59">
        <f t="shared" si="40"/>
        <v>218.88548486038957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6.1000683251649663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6.1000683251649663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9.2524999999999977</v>
      </c>
      <c r="CT67" s="12">
        <f>IF('Données projet'!$A$140&gt;35,CT66+CS67-DB66,IF(A67&lt;'Données projet'!$A$140,$CQ$205^A67,IF(A67='Données projet'!$A$140,'Données projet'!$B$140,CT66+CS67-DB66)))</f>
        <v>246.45500000000018</v>
      </c>
      <c r="CU67" s="17">
        <f>CT67*VLOOKUP('Données projet'!$B$13,Paramètres!$A$1:$I$89,3,0)*VLOOKUP('Données projet'!$B$13,Paramètres!$A$1:$I$89,5,0)</f>
        <v>222.99248400000016</v>
      </c>
      <c r="CV67" s="13">
        <f t="shared" si="41"/>
        <v>54.764775031234961</v>
      </c>
      <c r="CW67" s="20">
        <f t="shared" si="13"/>
        <v>483.76055947940108</v>
      </c>
      <c r="CX67" s="59">
        <f t="shared" si="14"/>
        <v>777.09389281273434</v>
      </c>
      <c r="CY67" s="59">
        <f ca="1">AVERAGE(OFFSET($CX$3,0,0,'Données projet'!$E$13+1,1))-AVERAGE(OFFSET($H$3,0,0,'Données projet'!$E$13+1,1))</f>
        <v>469.97161976912071</v>
      </c>
      <c r="CZ67" s="59">
        <f t="shared" si="42"/>
        <v>231.65013084759306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12.233261824087835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12.233261824087835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9.2524999999999977</v>
      </c>
      <c r="DO67" s="12">
        <f>IF('Données projet'!$A$166&gt;35,DO66+DN67-DW66,IF(A67&lt;'Données projet'!$A$166,$DL$205^A67,IF(A67='Données projet'!$A$166,'Données projet'!$B$166,DO66+DN67-DW66)))</f>
        <v>246.45500000000018</v>
      </c>
      <c r="DP67" s="17">
        <f>DO67*VLOOKUP('Données projet'!$B$14,Paramètres!$A$1:$I$89,3,0)*VLOOKUP('Données projet'!$B$14,Paramètres!$A$1:$I$89,5,0)</f>
        <v>238.37127600000017</v>
      </c>
      <c r="DQ67" s="13">
        <f t="shared" si="43"/>
        <v>58.088963821708049</v>
      </c>
      <c r="DR67" s="20">
        <f t="shared" si="16"/>
        <v>516.33491768947522</v>
      </c>
      <c r="DS67" s="59">
        <f t="shared" si="17"/>
        <v>809.66825102280859</v>
      </c>
      <c r="DT67" s="59">
        <f ca="1">AVERAGE(OFFSET($DS$3,0,0,'Données projet'!$E$14+1,1))-AVERAGE(OFFSET($H$3,0,0,'Données projet'!$E$14+1,1))</f>
        <v>506.9153247310901</v>
      </c>
      <c r="DU67" s="59">
        <f t="shared" si="44"/>
        <v>247.31254626788319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13.076935053335271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13.076935053335271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6.7866666666666671</v>
      </c>
      <c r="N68" s="13">
        <f>IF('Données projet'!$A$36&gt;35,N67+M68-V67,IF(A68&lt;'Données projet'!$A$36,$K$205^A68,IF(A68='Données projet'!$A$36,'Données projet'!$B$36,N67+M68-V67)))</f>
        <v>204.85333333333327</v>
      </c>
      <c r="O68" s="13">
        <f>N68*VLOOKUP('Données projet'!$B$9,Paramètres!$A$1:$I$89,3,0)*VLOOKUP('Données projet'!$B$9,Paramètres!$A$1:$I$89,5,0)</f>
        <v>122.5022933333333</v>
      </c>
      <c r="P68" s="13">
        <f t="shared" si="33"/>
        <v>32.257915271198925</v>
      </c>
      <c r="Q68" s="20">
        <f t="shared" si="54"/>
        <v>269.54069665289364</v>
      </c>
      <c r="R68" s="59">
        <f t="shared" si="55"/>
        <v>562.87402998622701</v>
      </c>
      <c r="S68" s="59">
        <f ca="1">AVERAGE(OFFSET($R$3,0,0,'Données projet'!$E$9+1,1))-AVERAGE(OFFSET($H$3,0,0,'Données projet'!$E$9+1,1))</f>
        <v>193.8828274189392</v>
      </c>
      <c r="T68" s="59">
        <f t="shared" si="34"/>
        <v>179.13381331066427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25.112623015532591</v>
      </c>
      <c r="AA68" s="21">
        <f>EXP(-LN(2)/25)*AA67+(1-EXP(-LN(2)/25))/(LN(2)/25)*Calculateur!V68*Calculateur!X68*VLOOKUP('Données projet'!$B$9,Paramètres!$A$1:$I$89,3,0)*0.475*44/12</f>
        <v>14.21259822608916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39.325221241621747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10.238999999999999</v>
      </c>
      <c r="AI68" s="13">
        <f>IF('Données projet'!$A$62&gt;35,AI67+AH68-AQ67,IF(A68&lt;'Données projet'!$A$62,$AF$205^A68,IF(A68='Données projet'!$A$62,'Données projet'!$B$62,AI67+AH68-AQ67)))</f>
        <v>337.91499999999962</v>
      </c>
      <c r="AJ68" s="13">
        <f>AI68*VLOOKUP('Données projet'!$B$10,Paramètres!$A$1:$I$89,3,0)*VLOOKUP('Données projet'!$B$10,Paramètres!$A$1:$I$89,5,0)</f>
        <v>202.07316999999978</v>
      </c>
      <c r="AK68" s="13">
        <f t="shared" si="35"/>
        <v>50.199513925178543</v>
      </c>
      <c r="AL68" s="20">
        <f t="shared" ref="AL68:AL131" si="58">(AJ68+AK68)*0.475*44/12</f>
        <v>439.37492450301892</v>
      </c>
      <c r="AM68" s="59">
        <f t="shared" ref="AM68:AM131" si="59">AL68+(AD68+AE68)*44/12</f>
        <v>732.70825783635223</v>
      </c>
      <c r="AN68" s="59">
        <f ca="1">AVERAGE(OFFSET($AM$3,0,0,'Données projet'!$E$10+1,1))-AVERAGE(OFFSET($H$3,0,0,'Données projet'!$E$10+1,1))</f>
        <v>228.36873053496748</v>
      </c>
      <c r="AO68" s="59">
        <f t="shared" si="36"/>
        <v>177.73676400313303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27.010351891530036</v>
      </c>
      <c r="AV68" s="21">
        <f>EXP(-LN(2)/25)*AV67+(1-EXP(-LN(2)/25))/(LN(2)/25)*Calculateur!AQ68*Calculateur!AS68*VLOOKUP('Données projet'!$B$10,Paramètres!$A$1:$I$89,3,0)*0.475*44/12</f>
        <v>27.065242953024018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54.075594844554054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259.28740500000021</v>
      </c>
      <c r="BF68" s="13">
        <f t="shared" si="37"/>
        <v>62.570457244776364</v>
      </c>
      <c r="BG68" s="20">
        <f t="shared" ref="BG68:BG131" si="61">(BE68+BF68)*0.475*44/12</f>
        <v>560.56911007631913</v>
      </c>
      <c r="BH68" s="59">
        <f t="shared" ref="BH68:BH131" si="62">BG68+(AY68+AZ68)*44/12</f>
        <v>853.90244340965251</v>
      </c>
      <c r="BI68" s="59">
        <f ca="1">AVERAGE(OFFSET($BH$3,0,0,'Données projet'!$E$11+1,1))-AVERAGE(OFFSET($H$3,0,0,'Données projet'!$E$11+1,1))</f>
        <v>534.59150243554586</v>
      </c>
      <c r="BJ68" s="59">
        <f t="shared" si="38"/>
        <v>259.04458689606491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13.440851316940986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13.440851316940986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202</v>
      </c>
      <c r="BW68" s="12">
        <f>VLOOKUP(A68,'Données projet'!$A$113:$I$133,9,0)</f>
        <v>3.4</v>
      </c>
      <c r="BX68" s="12">
        <f t="array" ref="BX68">INDEX(BW:BW,MIN(IF(ISNUMBER(BW68:BW264),ROW(BW68:BW264),"")))</f>
        <v>3.4</v>
      </c>
      <c r="BY68" s="12">
        <f>IF('Données projet'!$A$114&gt;35,BY67+BX68-CG67,IF(A68&lt;'Données projet'!$A$114,$BV$205^A68,IF(A68='Données projet'!$A$114,'Données projet'!$B$114,BY67+BX68-CG67)))</f>
        <v>202.00000000000003</v>
      </c>
      <c r="BZ68" s="13">
        <f>BY68*VLOOKUP('Données projet'!$B$12,Paramètres!$A$1:$I$89,3,0)*VLOOKUP('Données projet'!$B$12,Paramètres!$A$1:$I$89,5,0)</f>
        <v>176.46720000000005</v>
      </c>
      <c r="CA68" s="13">
        <f t="shared" si="39"/>
        <v>44.535298821989393</v>
      </c>
      <c r="CB68" s="20">
        <f t="shared" ref="CB68:CB131" si="64">(BZ68+CA68)*0.475*44/12</f>
        <v>384.91268544829819</v>
      </c>
      <c r="CC68" s="59">
        <f t="shared" ref="CC68:CC131" si="65">CB68+(BT68+BU68)*44/12</f>
        <v>678.24601878163151</v>
      </c>
      <c r="CD68" s="59">
        <f ca="1">AVERAGE(OFFSET($CC$3,0,0,'Données projet'!$E$12+1,1))-AVERAGE(OFFSET($H$3,0,0,'Données projet'!$E$12+1,1))</f>
        <v>211.91720528436969</v>
      </c>
      <c r="CE68" s="59">
        <f t="shared" si="40"/>
        <v>218.88548486038957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8</v>
      </c>
      <c r="CH68" s="16">
        <f>IF(ISNA(VLOOKUP(A68,'Données projet'!$A$113:$I$133,5,0)),0%,VLOOKUP(A68,'Données projet'!$A$113:$I$133,5,0)*VLOOKUP('Données projet'!$B$12,Paramètres!$A$1:$I$89,7,0))</f>
        <v>0.318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8.4372895275193756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8.4372895275193756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9.2524999999999977</v>
      </c>
      <c r="CT68" s="12">
        <f>IF('Données projet'!$A$140&gt;35,CT67+CS68-DB67,IF(A68&lt;'Données projet'!$A$140,$CQ$205^A68,IF(A68='Données projet'!$A$140,'Données projet'!$B$140,CT67+CS68-DB67)))</f>
        <v>255.70750000000018</v>
      </c>
      <c r="CU68" s="17">
        <f>CT68*VLOOKUP('Données projet'!$B$13,Paramètres!$A$1:$I$89,3,0)*VLOOKUP('Données projet'!$B$13,Paramètres!$A$1:$I$89,5,0)</f>
        <v>231.36414600000015</v>
      </c>
      <c r="CV68" s="13">
        <f t="shared" si="41"/>
        <v>56.57754019728695</v>
      </c>
      <c r="CW68" s="20">
        <f t="shared" ref="CW68:CW131" si="67">(CU68+CV68)*0.475*44/12</f>
        <v>501.49843679360833</v>
      </c>
      <c r="CX68" s="59">
        <f t="shared" ref="CX68:CX131" si="68">CW68+(CO68+CP68)*44/12</f>
        <v>794.83177012694159</v>
      </c>
      <c r="CY68" s="59">
        <f ca="1">AVERAGE(OFFSET($CX$3,0,0,'Données projet'!$E$13+1,1))-AVERAGE(OFFSET($H$3,0,0,'Données projet'!$E$13+1,1))</f>
        <v>469.97161976912071</v>
      </c>
      <c r="CZ68" s="59">
        <f t="shared" si="42"/>
        <v>231.65013084759306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11.993375021270419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11.993375021270419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9.2524999999999977</v>
      </c>
      <c r="DO68" s="12">
        <f>IF('Données projet'!$A$166&gt;35,DO67+DN68-DW67,IF(A68&lt;'Données projet'!$A$166,$DL$205^A68,IF(A68='Données projet'!$A$166,'Données projet'!$B$166,DO67+DN68-DW67)))</f>
        <v>255.70750000000018</v>
      </c>
      <c r="DP68" s="17">
        <f>DO68*VLOOKUP('Données projet'!$B$14,Paramètres!$A$1:$I$89,3,0)*VLOOKUP('Données projet'!$B$14,Paramètres!$A$1:$I$89,5,0)</f>
        <v>247.32029400000016</v>
      </c>
      <c r="DQ68" s="13">
        <f t="shared" si="43"/>
        <v>60.011762739223698</v>
      </c>
      <c r="DR68" s="20">
        <f t="shared" ref="DR68:DR131" si="70">(DP68+DQ68)*0.475*44/12</f>
        <v>535.26999882081486</v>
      </c>
      <c r="DS68" s="59">
        <f t="shared" ref="DS68:DS131" si="71">DR68+(DJ68+DK68)*44/12</f>
        <v>828.60333215414812</v>
      </c>
      <c r="DT68" s="59">
        <f ca="1">AVERAGE(OFFSET($DS$3,0,0,'Données projet'!$E$14+1,1))-AVERAGE(OFFSET($H$3,0,0,'Données projet'!$E$14+1,1))</f>
        <v>506.9153247310901</v>
      </c>
      <c r="DU68" s="59">
        <f t="shared" si="44"/>
        <v>247.31254626788319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12.82050433308217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12.82050433308217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6.7866666666666671</v>
      </c>
      <c r="N69" s="13">
        <f>IF('Données projet'!$A$36&gt;35,N68+M69-V68,IF(A69&lt;'Données projet'!$A$36,$K$205^A69,IF(A69='Données projet'!$A$36,'Données projet'!$B$36,N68+M69-V68)))</f>
        <v>211.63999999999993</v>
      </c>
      <c r="O69" s="13">
        <f>N69*VLOOKUP('Données projet'!$B$9,Paramètres!$A$1:$I$89,3,0)*VLOOKUP('Données projet'!$B$9,Paramètres!$A$1:$I$89,5,0)</f>
        <v>126.56071999999996</v>
      </c>
      <c r="P69" s="13">
        <f t="shared" ref="P69:P132" si="87">EXP(-1.0587+0.8836*LN(O69)+0.284)</f>
        <v>33.200406829192687</v>
      </c>
      <c r="Q69" s="20">
        <f t="shared" si="54"/>
        <v>278.2506292275105</v>
      </c>
      <c r="R69" s="59">
        <f t="shared" si="55"/>
        <v>571.58396256084382</v>
      </c>
      <c r="S69" s="59">
        <f ca="1">AVERAGE(OFFSET($R$3,0,0,'Données projet'!$E$9+1,1))-AVERAGE(OFFSET($H$3,0,0,'Données projet'!$E$9+1,1))</f>
        <v>193.8828274189392</v>
      </c>
      <c r="T69" s="59">
        <f t="shared" ref="T69:T132" si="88">$T$3</f>
        <v>179.13381331066427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24.620179795385589</v>
      </c>
      <c r="AA69" s="21">
        <f>EXP(-LN(2)/25)*AA68+(1-EXP(-LN(2)/25))/(LN(2)/25)*Calculateur!V69*Calculateur!X69*VLOOKUP('Données projet'!$B$9,Paramètres!$A$1:$I$89,3,0)*0.475*44/12</f>
        <v>13.823953980188694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38.444133775574286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10.238999999999999</v>
      </c>
      <c r="AI69" s="13">
        <f>IF('Données projet'!$A$62&gt;35,AI68+AH69-AQ68,IF(A69&lt;'Données projet'!$A$62,$AF$205^A69,IF(A69='Données projet'!$A$62,'Données projet'!$B$62,AI68+AH69-AQ68)))</f>
        <v>348.1539999999996</v>
      </c>
      <c r="AJ69" s="13">
        <f>AI69*VLOOKUP('Données projet'!$B$10,Paramètres!$A$1:$I$89,3,0)*VLOOKUP('Données projet'!$B$10,Paramètres!$A$1:$I$89,5,0)</f>
        <v>208.19609199999977</v>
      </c>
      <c r="AK69" s="13">
        <f t="shared" ref="AK69:AK132" si="89">EXP(-1.0587+0.8836*LN(AJ69)+0.284)</f>
        <v>51.541188705701558</v>
      </c>
      <c r="AL69" s="20">
        <f t="shared" si="58"/>
        <v>452.37576389576316</v>
      </c>
      <c r="AM69" s="59">
        <f t="shared" si="59"/>
        <v>745.70909722909641</v>
      </c>
      <c r="AN69" s="59">
        <f ca="1">AVERAGE(OFFSET($AM$3,0,0,'Données projet'!$E$10+1,1))-AVERAGE(OFFSET($H$3,0,0,'Données projet'!$E$10+1,1))</f>
        <v>228.36873053496748</v>
      </c>
      <c r="AO69" s="59">
        <f t="shared" ref="AO69:AO132" si="90">$AO$3</f>
        <v>177.73676400313303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26.480695365625046</v>
      </c>
      <c r="AV69" s="21">
        <f>EXP(-LN(2)/25)*AV68+(1-EXP(-LN(2)/25))/(LN(2)/25)*Calculateur!AQ69*Calculateur!AS69*VLOOKUP('Données projet'!$B$10,Paramètres!$A$1:$I$89,3,0)*0.475*44/12</f>
        <v>26.325142461174309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52.805837826799355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268.66944000000018</v>
      </c>
      <c r="BF69" s="13">
        <f t="shared" ref="BF69:BF132" si="91">EXP(-1.0587+0.8836*LN(BE69)+0.284)</f>
        <v>64.566809737006352</v>
      </c>
      <c r="BG69" s="20">
        <f t="shared" si="61"/>
        <v>580.38646829195295</v>
      </c>
      <c r="BH69" s="59">
        <f t="shared" si="62"/>
        <v>873.71980162528621</v>
      </c>
      <c r="BI69" s="59">
        <f ca="1">AVERAGE(OFFSET($BH$3,0,0,'Données projet'!$E$11+1,1))-AVERAGE(OFFSET($H$3,0,0,'Données projet'!$E$11+1,1))</f>
        <v>534.59150243554586</v>
      </c>
      <c r="BJ69" s="59">
        <f t="shared" ref="BJ69:BJ132" si="92">$BJ$3</f>
        <v>259.04458689606491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27.611471878720558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27.611471878720558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</v>
      </c>
      <c r="BY69" s="12">
        <f>IF('Données projet'!$A$114&gt;35,BY68+BX69-CG68,IF(A69&lt;'Données projet'!$A$114,$BV$205^A69,IF(A69='Données projet'!$A$114,'Données projet'!$B$114,BY68+BX69-CG68)))</f>
        <v>197.00000000000003</v>
      </c>
      <c r="BZ69" s="13">
        <f>BY69*VLOOKUP('Données projet'!$B$12,Paramètres!$A$1:$I$89,3,0)*VLOOKUP('Données projet'!$B$12,Paramètres!$A$1:$I$89,5,0)</f>
        <v>172.09920000000005</v>
      </c>
      <c r="CA69" s="13">
        <f t="shared" ref="CA69:CA132" si="93">EXP(-1.0587+0.8836*LN(BZ69)+0.284)</f>
        <v>43.559838214506989</v>
      </c>
      <c r="CB69" s="20">
        <f t="shared" si="64"/>
        <v>375.60615822359978</v>
      </c>
      <c r="CC69" s="59">
        <f t="shared" si="65"/>
        <v>668.93949155693304</v>
      </c>
      <c r="CD69" s="59">
        <f ca="1">AVERAGE(OFFSET($CC$3,0,0,'Données projet'!$E$12+1,1))-AVERAGE(OFFSET($H$3,0,0,'Données projet'!$E$12+1,1))</f>
        <v>211.91720528436969</v>
      </c>
      <c r="CE69" s="59">
        <f t="shared" ref="CE69:CE132" si="94">$CE$3</f>
        <v>218.88548486038957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8.2718394261231829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8.2718394261231829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264.95999999999998</v>
      </c>
      <c r="CR69" s="12">
        <f>VLOOKUP(A69,'Données projet'!$A$139:$I$159,9,0)</f>
        <v>9.2524999999999977</v>
      </c>
      <c r="CS69" s="12">
        <f t="array" ref="CS69">INDEX(CR:CR,MIN(IF(ISNUMBER(CR69:CR265),ROW(CR69:CR265),"")))</f>
        <v>9.2524999999999977</v>
      </c>
      <c r="CT69" s="12">
        <f>IF('Données projet'!$A$140&gt;35,CT68+CS69-DB68,IF(A69&lt;'Données projet'!$A$140,$CQ$205^A69,IF(A69='Données projet'!$A$140,'Données projet'!$B$140,CT68+CS69-DB68)))</f>
        <v>264.96000000000015</v>
      </c>
      <c r="CU69" s="17">
        <f>CT69*VLOOKUP('Données projet'!$B$13,Paramètres!$A$1:$I$89,3,0)*VLOOKUP('Données projet'!$B$13,Paramètres!$A$1:$I$89,5,0)</f>
        <v>239.73580800000011</v>
      </c>
      <c r="CV69" s="13">
        <f t="shared" ref="CV69:CV132" si="95">EXP(-1.0587+0.8836*LN(CU69)+0.284)</f>
        <v>58.38268464325516</v>
      </c>
      <c r="CW69" s="20">
        <f t="shared" si="67"/>
        <v>519.22304135366949</v>
      </c>
      <c r="CX69" s="59">
        <f t="shared" si="68"/>
        <v>812.55637468700274</v>
      </c>
      <c r="CY69" s="59">
        <f ca="1">AVERAGE(OFFSET($CX$3,0,0,'Données projet'!$E$13+1,1))-AVERAGE(OFFSET($H$3,0,0,'Données projet'!$E$13+1,1))</f>
        <v>469.97161976912071</v>
      </c>
      <c r="CZ69" s="59">
        <f t="shared" ref="CZ69:CZ132" si="96">$CZ$3</f>
        <v>231.65013084759306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0.25800000000000001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24.637928753319876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24.637928753319876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264.95999999999998</v>
      </c>
      <c r="DM69" s="12">
        <f>VLOOKUP(A69,'Données projet'!$A$165:$I$185,9,0)</f>
        <v>9.2524999999999977</v>
      </c>
      <c r="DN69" s="12">
        <f t="array" ref="DN69">INDEX(DM:DM,MIN(IF(ISNUMBER(DM69:DM265),ROW(DM69:DM265),"")))</f>
        <v>9.2524999999999977</v>
      </c>
      <c r="DO69" s="12">
        <f>IF('Données projet'!$A$166&gt;35,DO68+DN69-DW68,IF(A69&lt;'Données projet'!$A$166,$DL$205^A69,IF(A69='Données projet'!$A$166,'Données projet'!$B$166,DO68+DN69-DW68)))</f>
        <v>264.96000000000015</v>
      </c>
      <c r="DP69" s="17">
        <f>DO69*VLOOKUP('Données projet'!$B$14,Paramètres!$A$1:$I$89,3,0)*VLOOKUP('Données projet'!$B$14,Paramètres!$A$1:$I$89,5,0)</f>
        <v>256.26931200000018</v>
      </c>
      <c r="DQ69" s="13">
        <f t="shared" ref="DQ69:DQ132" si="97">EXP(-1.0587+0.8836*LN(DP69)+0.284)</f>
        <v>61.926478363546003</v>
      </c>
      <c r="DR69" s="20">
        <f t="shared" si="70"/>
        <v>554.19100154984289</v>
      </c>
      <c r="DS69" s="59">
        <f t="shared" si="71"/>
        <v>847.52433488317615</v>
      </c>
      <c r="DT69" s="59">
        <f ca="1">AVERAGE(OFFSET($DS$3,0,0,'Données projet'!$E$14+1,1))-AVERAGE(OFFSET($H$3,0,0,'Données projet'!$E$14+1,1))</f>
        <v>506.9153247310901</v>
      </c>
      <c r="DU69" s="59">
        <f t="shared" ref="DU69:DU132" si="98">$DU$3</f>
        <v>247.31254626788319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49.91</v>
      </c>
      <c r="DX69" s="16">
        <f>IF(ISNA(VLOOKUP(A69,'Données projet'!$A$165:$I$185,5,0)),0%,VLOOKUP(A69,'Données projet'!$A$165:$I$185,5,0)*VLOOKUP('Données projet'!$B$14,Paramètres!$A$1:$I$89,7,0))</f>
        <v>0.25800000000000001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26.337096253548836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26.337096253548836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6.7866666666666671</v>
      </c>
      <c r="N70" s="13">
        <f>IF('Données projet'!$A$36&gt;35,N69+M70-V69,IF(A70&lt;'Données projet'!$A$36,$K$205^A70,IF(A70='Données projet'!$A$36,'Données projet'!$B$36,N69+M70-V69)))</f>
        <v>218.42666666666659</v>
      </c>
      <c r="O70" s="13">
        <f>N70*VLOOKUP('Données projet'!$B$9,Paramètres!$A$1:$I$89,3,0)*VLOOKUP('Données projet'!$B$9,Paramètres!$A$1:$I$89,5,0)</f>
        <v>130.61914666666664</v>
      </c>
      <c r="P70" s="13">
        <f t="shared" si="87"/>
        <v>34.139386362296193</v>
      </c>
      <c r="Q70" s="20">
        <f t="shared" si="54"/>
        <v>286.95444502544359</v>
      </c>
      <c r="R70" s="59">
        <f t="shared" si="55"/>
        <v>580.2877783587769</v>
      </c>
      <c r="S70" s="59">
        <f ca="1">AVERAGE(OFFSET($R$3,0,0,'Données projet'!$E$9+1,1))-AVERAGE(OFFSET($H$3,0,0,'Données projet'!$E$9+1,1))</f>
        <v>193.8828274189392</v>
      </c>
      <c r="T70" s="59">
        <f t="shared" si="88"/>
        <v>179.13381331066427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24.137393086424964</v>
      </c>
      <c r="AA70" s="21">
        <f>EXP(-LN(2)/25)*AA69+(1-EXP(-LN(2)/25))/(LN(2)/25)*Calculateur!V70*Calculateur!X70*VLOOKUP('Données projet'!$B$9,Paramètres!$A$1:$I$89,3,0)*0.475*44/12</f>
        <v>13.445937231630289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37.583330318055253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10.238999999999999</v>
      </c>
      <c r="AI70" s="13">
        <f>IF('Données projet'!$A$62&gt;35,AI69+AH70-AQ69,IF(A70&lt;'Données projet'!$A$62,$AF$205^A70,IF(A70='Données projet'!$A$62,'Données projet'!$B$62,AI69+AH70-AQ69)))</f>
        <v>358.39299999999957</v>
      </c>
      <c r="AJ70" s="13">
        <f>AI70*VLOOKUP('Données projet'!$B$10,Paramètres!$A$1:$I$89,3,0)*VLOOKUP('Données projet'!$B$10,Paramètres!$A$1:$I$89,5,0)</f>
        <v>214.31901399999975</v>
      </c>
      <c r="AK70" s="13">
        <f t="shared" si="89"/>
        <v>52.878277746453307</v>
      </c>
      <c r="AL70" s="20">
        <f t="shared" si="58"/>
        <v>465.36861645840571</v>
      </c>
      <c r="AM70" s="59">
        <f t="shared" si="59"/>
        <v>758.70194979173903</v>
      </c>
      <c r="AN70" s="59">
        <f ca="1">AVERAGE(OFFSET($AM$3,0,0,'Données projet'!$E$10+1,1))-AVERAGE(OFFSET($H$3,0,0,'Données projet'!$E$10+1,1))</f>
        <v>228.36873053496748</v>
      </c>
      <c r="AO70" s="59">
        <f t="shared" si="90"/>
        <v>177.73676400313303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25.961425081134472</v>
      </c>
      <c r="AV70" s="21">
        <f>EXP(-LN(2)/25)*AV69+(1-EXP(-LN(2)/25))/(LN(2)/25)*Calculateur!AQ70*Calculateur!AS70*VLOOKUP('Données projet'!$B$10,Paramètres!$A$1:$I$89,3,0)*0.475*44/12</f>
        <v>25.605280056194424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51.566705137328896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227.05107750000016</v>
      </c>
      <c r="BF70" s="13">
        <f t="shared" si="91"/>
        <v>55.644577455036639</v>
      </c>
      <c r="BG70" s="20">
        <f t="shared" si="61"/>
        <v>492.36159904668904</v>
      </c>
      <c r="BH70" s="59">
        <f t="shared" si="62"/>
        <v>785.69493238002235</v>
      </c>
      <c r="BI70" s="59">
        <f ca="1">AVERAGE(OFFSET($BH$3,0,0,'Données projet'!$E$11+1,1))-AVERAGE(OFFSET($H$3,0,0,'Données projet'!$E$11+1,1))</f>
        <v>534.59150243554586</v>
      </c>
      <c r="BJ70" s="59">
        <f t="shared" si="92"/>
        <v>259.04458689606491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27.070027756513749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27.070027756513749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</v>
      </c>
      <c r="BY70" s="12">
        <f>IF('Données projet'!$A$114&gt;35,BY69+BX70-CG69,IF(A70&lt;'Données projet'!$A$114,$BV$205^A70,IF(A70='Données projet'!$A$114,'Données projet'!$B$114,BY69+BX70-CG69)))</f>
        <v>200.00000000000003</v>
      </c>
      <c r="BZ70" s="13">
        <f>BY70*VLOOKUP('Données projet'!$B$12,Paramètres!$A$1:$I$89,3,0)*VLOOKUP('Données projet'!$B$12,Paramètres!$A$1:$I$89,5,0)</f>
        <v>174.72000000000006</v>
      </c>
      <c r="CA70" s="13">
        <f t="shared" si="93"/>
        <v>44.145455754865246</v>
      </c>
      <c r="CB70" s="20">
        <f t="shared" si="64"/>
        <v>381.19066877305704</v>
      </c>
      <c r="CC70" s="59">
        <f t="shared" si="65"/>
        <v>674.5240021063903</v>
      </c>
      <c r="CD70" s="59">
        <f ca="1">AVERAGE(OFFSET($CC$3,0,0,'Données projet'!$E$12+1,1))-AVERAGE(OFFSET($H$3,0,0,'Données projet'!$E$12+1,1))</f>
        <v>211.91720528436969</v>
      </c>
      <c r="CE70" s="59">
        <f t="shared" si="94"/>
        <v>218.88548486038957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8.1096337003007726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8.1096337003007726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8.8662500000000044</v>
      </c>
      <c r="CT70" s="12">
        <f>IF('Données projet'!$A$140&gt;35,CT69+CS70-DB69,IF(A70&lt;'Données projet'!$A$140,$CQ$205^A70,IF(A70='Données projet'!$A$140,'Données projet'!$B$140,CT69+CS70-DB69)))</f>
        <v>223.91625000000013</v>
      </c>
      <c r="CU70" s="17">
        <f>CT70*VLOOKUP('Données projet'!$B$13,Paramètres!$A$1:$I$89,3,0)*VLOOKUP('Données projet'!$B$13,Paramètres!$A$1:$I$89,5,0)</f>
        <v>202.59942300000012</v>
      </c>
      <c r="CV70" s="13">
        <f t="shared" si="95"/>
        <v>50.315012169520465</v>
      </c>
      <c r="CW70" s="20">
        <f t="shared" si="67"/>
        <v>440.49264125358167</v>
      </c>
      <c r="CX70" s="59">
        <f t="shared" si="68"/>
        <v>733.82597458691498</v>
      </c>
      <c r="CY70" s="59">
        <f ca="1">AVERAGE(OFFSET($CX$3,0,0,'Données projet'!$E$13+1,1))-AVERAGE(OFFSET($H$3,0,0,'Données projet'!$E$13+1,1))</f>
        <v>469.97161976912071</v>
      </c>
      <c r="CZ70" s="59">
        <f t="shared" si="96"/>
        <v>231.65013084759306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24.154793998119956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24.154793998119956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8.8662500000000044</v>
      </c>
      <c r="DO70" s="12">
        <f>IF('Données projet'!$A$166&gt;35,DO69+DN70-DW69,IF(A70&lt;'Données projet'!$A$166,$DL$205^A70,IF(A70='Données projet'!$A$166,'Données projet'!$B$166,DO69+DN70-DW69)))</f>
        <v>223.91625000000013</v>
      </c>
      <c r="DP70" s="17">
        <f>DO70*VLOOKUP('Données projet'!$B$14,Paramètres!$A$1:$I$89,3,0)*VLOOKUP('Données projet'!$B$14,Paramètres!$A$1:$I$89,5,0)</f>
        <v>216.57179700000012</v>
      </c>
      <c r="DQ70" s="13">
        <f t="shared" si="97"/>
        <v>53.369103039994094</v>
      </c>
      <c r="DR70" s="20">
        <f t="shared" si="70"/>
        <v>470.14706756965666</v>
      </c>
      <c r="DS70" s="59">
        <f t="shared" si="71"/>
        <v>763.48040090298991</v>
      </c>
      <c r="DT70" s="59">
        <f ca="1">AVERAGE(OFFSET($DS$3,0,0,'Données projet'!$E$14+1,1))-AVERAGE(OFFSET($H$3,0,0,'Données projet'!$E$14+1,1))</f>
        <v>506.9153247310901</v>
      </c>
      <c r="DU70" s="59">
        <f t="shared" si="98"/>
        <v>247.31254626788319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25.820641860059265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25.820641860059265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6.7866666666666671</v>
      </c>
      <c r="N71" s="13">
        <f>IF('Données projet'!$A$36&gt;35,N70+M71-V70,IF(A71&lt;'Données projet'!$A$36,$K$205^A71,IF(A71='Données projet'!$A$36,'Données projet'!$B$36,N70+M71-V70)))</f>
        <v>225.21333333333325</v>
      </c>
      <c r="O71" s="13">
        <f>N71*VLOOKUP('Données projet'!$B$9,Paramètres!$A$1:$I$89,3,0)*VLOOKUP('Données projet'!$B$9,Paramètres!$A$1:$I$89,5,0)</f>
        <v>134.6775733333333</v>
      </c>
      <c r="P71" s="13">
        <f t="shared" si="87"/>
        <v>35.074975512906107</v>
      </c>
      <c r="Q71" s="20">
        <f t="shared" si="54"/>
        <v>295.65235590720027</v>
      </c>
      <c r="R71" s="59">
        <f t="shared" si="55"/>
        <v>588.98568924053359</v>
      </c>
      <c r="S71" s="59">
        <f ca="1">AVERAGE(OFFSET($R$3,0,0,'Données projet'!$E$9+1,1))-AVERAGE(OFFSET($H$3,0,0,'Données projet'!$E$9+1,1))</f>
        <v>193.8828274189392</v>
      </c>
      <c r="T71" s="59">
        <f t="shared" si="88"/>
        <v>179.13381331066427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23.664073530356241</v>
      </c>
      <c r="AA71" s="21">
        <f>EXP(-LN(2)/25)*AA70+(1-EXP(-LN(2)/25))/(LN(2)/25)*Calculateur!V71*Calculateur!X71*VLOOKUP('Données projet'!$B$9,Paramètres!$A$1:$I$89,3,0)*0.475*44/12</f>
        <v>13.078257370940252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36.742330901296491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10.238999999999999</v>
      </c>
      <c r="AI71" s="13">
        <f>IF('Données projet'!$A$62&gt;35,AI70+AH71-AQ70,IF(A71&lt;'Données projet'!$A$62,$AF$205^A71,IF(A71='Données projet'!$A$62,'Données projet'!$B$62,AI70+AH71-AQ70)))</f>
        <v>368.63199999999955</v>
      </c>
      <c r="AJ71" s="13">
        <f>AI71*VLOOKUP('Données projet'!$B$10,Paramètres!$A$1:$I$89,3,0)*VLOOKUP('Données projet'!$B$10,Paramètres!$A$1:$I$89,5,0)</f>
        <v>220.44193599999974</v>
      </c>
      <c r="AK71" s="13">
        <f t="shared" si="89"/>
        <v>54.210927105344112</v>
      </c>
      <c r="AL71" s="20">
        <f t="shared" si="58"/>
        <v>478.35373657514043</v>
      </c>
      <c r="AM71" s="59">
        <f t="shared" si="59"/>
        <v>771.68706990847375</v>
      </c>
      <c r="AN71" s="59">
        <f ca="1">AVERAGE(OFFSET($AM$3,0,0,'Données projet'!$E$10+1,1))-AVERAGE(OFFSET($H$3,0,0,'Données projet'!$E$10+1,1))</f>
        <v>228.36873053496748</v>
      </c>
      <c r="AO71" s="59">
        <f t="shared" si="90"/>
        <v>177.73676400313303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25.452337370199157</v>
      </c>
      <c r="AV71" s="21">
        <f>EXP(-LN(2)/25)*AV70+(1-EXP(-LN(2)/25))/(LN(2)/25)*Calculateur!AQ71*Calculateur!AS71*VLOOKUP('Données projet'!$B$10,Paramètres!$A$1:$I$89,3,0)*0.475*44/12</f>
        <v>24.905102326534632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50.357439696733792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236.04145500000016</v>
      </c>
      <c r="BF71" s="13">
        <f t="shared" si="91"/>
        <v>57.587007592056594</v>
      </c>
      <c r="BG71" s="20">
        <f t="shared" si="61"/>
        <v>511.40290568116535</v>
      </c>
      <c r="BH71" s="59">
        <f t="shared" si="62"/>
        <v>804.73623901449866</v>
      </c>
      <c r="BI71" s="59">
        <f ca="1">AVERAGE(OFFSET($BH$3,0,0,'Données projet'!$E$11+1,1))-AVERAGE(OFFSET($H$3,0,0,'Données projet'!$E$11+1,1))</f>
        <v>534.59150243554586</v>
      </c>
      <c r="BJ71" s="59">
        <f t="shared" si="92"/>
        <v>259.04458689606491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26.53920102329511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26.53920102329511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</v>
      </c>
      <c r="BY71" s="12">
        <f>IF('Données projet'!$A$114&gt;35,BY70+BX71-CG70,IF(A71&lt;'Données projet'!$A$114,$BV$205^A71,IF(A71='Données projet'!$A$114,'Données projet'!$B$114,BY70+BX71-CG70)))</f>
        <v>203.00000000000003</v>
      </c>
      <c r="BZ71" s="13">
        <f>BY71*VLOOKUP('Données projet'!$B$12,Paramètres!$A$1:$I$89,3,0)*VLOOKUP('Données projet'!$B$12,Paramètres!$A$1:$I$89,5,0)</f>
        <v>177.34080000000003</v>
      </c>
      <c r="CA71" s="13">
        <f t="shared" si="93"/>
        <v>44.730051658603102</v>
      </c>
      <c r="CB71" s="20">
        <f t="shared" si="64"/>
        <v>386.77339997206712</v>
      </c>
      <c r="CC71" s="59">
        <f t="shared" si="65"/>
        <v>680.10673330540044</v>
      </c>
      <c r="CD71" s="59">
        <f ca="1">AVERAGE(OFFSET($CC$3,0,0,'Données projet'!$E$12+1,1))-AVERAGE(OFFSET($H$3,0,0,'Données projet'!$E$12+1,1))</f>
        <v>211.91720528436969</v>
      </c>
      <c r="CE71" s="59">
        <f t="shared" si="94"/>
        <v>218.88548486038957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7.9506087298260164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7.9506087298260164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8.8662500000000044</v>
      </c>
      <c r="CT71" s="12">
        <f>IF('Données projet'!$A$140&gt;35,CT70+CS71-DB70,IF(A71&lt;'Données projet'!$A$140,$CQ$205^A71,IF(A71='Données projet'!$A$140,'Données projet'!$B$140,CT70+CS71-DB70)))</f>
        <v>232.78250000000014</v>
      </c>
      <c r="CU71" s="17">
        <f>CT71*VLOOKUP('Données projet'!$B$13,Paramètres!$A$1:$I$89,3,0)*VLOOKUP('Données projet'!$B$13,Paramètres!$A$1:$I$89,5,0)</f>
        <v>210.62160600000013</v>
      </c>
      <c r="CV71" s="13">
        <f t="shared" si="95"/>
        <v>52.071398873356536</v>
      </c>
      <c r="CW71" s="20">
        <f t="shared" si="67"/>
        <v>457.5236501544295</v>
      </c>
      <c r="CX71" s="59">
        <f t="shared" si="68"/>
        <v>750.85698348776282</v>
      </c>
      <c r="CY71" s="59">
        <f ca="1">AVERAGE(OFFSET($CX$3,0,0,'Données projet'!$E$13+1,1))-AVERAGE(OFFSET($H$3,0,0,'Données projet'!$E$13+1,1))</f>
        <v>469.97161976912071</v>
      </c>
      <c r="CZ71" s="59">
        <f t="shared" si="96"/>
        <v>231.65013084759306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23.681133220786403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23.681133220786403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8.8662500000000044</v>
      </c>
      <c r="DO71" s="12">
        <f>IF('Données projet'!$A$166&gt;35,DO70+DN71-DW70,IF(A71&lt;'Données projet'!$A$166,$DL$205^A71,IF(A71='Données projet'!$A$166,'Données projet'!$B$166,DO70+DN71-DW70)))</f>
        <v>232.78250000000014</v>
      </c>
      <c r="DP71" s="17">
        <f>DO71*VLOOKUP('Données projet'!$B$14,Paramètres!$A$1:$I$89,3,0)*VLOOKUP('Données projet'!$B$14,Paramètres!$A$1:$I$89,5,0)</f>
        <v>225.14723400000014</v>
      </c>
      <c r="DQ71" s="13">
        <f t="shared" si="97"/>
        <v>55.232101356665147</v>
      </c>
      <c r="DR71" s="20">
        <f t="shared" si="70"/>
        <v>488.32734241285874</v>
      </c>
      <c r="DS71" s="59">
        <f t="shared" si="71"/>
        <v>781.66067574619206</v>
      </c>
      <c r="DT71" s="59">
        <f ca="1">AVERAGE(OFFSET($DS$3,0,0,'Données projet'!$E$14+1,1))-AVERAGE(OFFSET($H$3,0,0,'Données projet'!$E$14+1,1))</f>
        <v>506.9153247310901</v>
      </c>
      <c r="DU71" s="59">
        <f t="shared" si="98"/>
        <v>247.31254626788319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25.314314822219949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25.314314822219949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6.7866666666666671</v>
      </c>
      <c r="N72" s="13">
        <f>IF('Données projet'!$A$36&gt;35,N71+M72-V71,IF(A72&lt;'Données projet'!$A$36,$K$205^A72,IF(A72='Données projet'!$A$36,'Données projet'!$B$36,N71+M72-V71)))</f>
        <v>231.99999999999991</v>
      </c>
      <c r="O72" s="13">
        <f>N72*VLOOKUP('Données projet'!$B$9,Paramètres!$A$1:$I$89,3,0)*VLOOKUP('Données projet'!$B$9,Paramètres!$A$1:$I$89,5,0)</f>
        <v>138.73599999999996</v>
      </c>
      <c r="P72" s="13">
        <f t="shared" si="87"/>
        <v>36.007288175538044</v>
      </c>
      <c r="Q72" s="20">
        <f t="shared" si="54"/>
        <v>304.34456023906199</v>
      </c>
      <c r="R72" s="59">
        <f t="shared" si="55"/>
        <v>597.67789357239531</v>
      </c>
      <c r="S72" s="59">
        <f ca="1">AVERAGE(OFFSET($R$3,0,0,'Données projet'!$E$9+1,1))-AVERAGE(OFFSET($H$3,0,0,'Données projet'!$E$9+1,1))</f>
        <v>193.8828274189392</v>
      </c>
      <c r="T72" s="59">
        <f t="shared" si="88"/>
        <v>179.13381331066427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23.200035482085603</v>
      </c>
      <c r="AA72" s="21">
        <f>EXP(-LN(2)/25)*AA71+(1-EXP(-LN(2)/25))/(LN(2)/25)*Calculateur!V72*Calculateur!X72*VLOOKUP('Données projet'!$B$9,Paramètres!$A$1:$I$89,3,0)*0.475*44/12</f>
        <v>12.720631735376227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35.920667217461826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10.238999999999999</v>
      </c>
      <c r="AI72" s="13">
        <f>IF('Données projet'!$A$62&gt;35,AI71+AH72-AQ71,IF(A72&lt;'Données projet'!$A$62,$AF$205^A72,IF(A72='Données projet'!$A$62,'Données projet'!$B$62,AI71+AH72-AQ71)))</f>
        <v>378.87099999999953</v>
      </c>
      <c r="AJ72" s="13">
        <f>AI72*VLOOKUP('Données projet'!$B$10,Paramètres!$A$1:$I$89,3,0)*VLOOKUP('Données projet'!$B$10,Paramètres!$A$1:$I$89,5,0)</f>
        <v>226.56485799999973</v>
      </c>
      <c r="AK72" s="13">
        <f t="shared" si="89"/>
        <v>55.539274264885066</v>
      </c>
      <c r="AL72" s="20">
        <f t="shared" si="58"/>
        <v>491.33136369467434</v>
      </c>
      <c r="AM72" s="59">
        <f t="shared" si="59"/>
        <v>784.66469702800759</v>
      </c>
      <c r="AN72" s="59">
        <f ca="1">AVERAGE(OFFSET($AM$3,0,0,'Données projet'!$E$10+1,1))-AVERAGE(OFFSET($H$3,0,0,'Données projet'!$E$10+1,1))</f>
        <v>228.36873053496748</v>
      </c>
      <c r="AO72" s="59">
        <f t="shared" si="90"/>
        <v>177.73676400313303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24.953232558762441</v>
      </c>
      <c r="AV72" s="21">
        <f>EXP(-LN(2)/25)*AV71+(1-EXP(-LN(2)/25))/(LN(2)/25)*Calculateur!AQ72*Calculateur!AS72*VLOOKUP('Données projet'!$B$10,Paramètres!$A$1:$I$89,3,0)*0.475*44/12</f>
        <v>24.224070993713131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49.177303552475571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245.03183250000018</v>
      </c>
      <c r="BF72" s="13">
        <f t="shared" si="91"/>
        <v>59.520842912770703</v>
      </c>
      <c r="BG72" s="20">
        <f t="shared" si="61"/>
        <v>530.42924301057599</v>
      </c>
      <c r="BH72" s="59">
        <f t="shared" si="62"/>
        <v>823.76257634390936</v>
      </c>
      <c r="BI72" s="59">
        <f ca="1">AVERAGE(OFFSET($BH$3,0,0,'Données projet'!$E$11+1,1))-AVERAGE(OFFSET($H$3,0,0,'Données projet'!$E$11+1,1))</f>
        <v>534.59150243554586</v>
      </c>
      <c r="BJ72" s="59">
        <f t="shared" si="92"/>
        <v>259.04458689606491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26.018783478542552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26.018783478542552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</v>
      </c>
      <c r="BY72" s="12">
        <f>IF('Données projet'!$A$114&gt;35,BY71+BX72-CG71,IF(A72&lt;'Données projet'!$A$114,$BV$205^A72,IF(A72='Données projet'!$A$114,'Données projet'!$B$114,BY71+BX72-CG71)))</f>
        <v>206.00000000000003</v>
      </c>
      <c r="BZ72" s="13">
        <f>BY72*VLOOKUP('Données projet'!$B$12,Paramètres!$A$1:$I$89,3,0)*VLOOKUP('Données projet'!$B$12,Paramètres!$A$1:$I$89,5,0)</f>
        <v>179.96160000000006</v>
      </c>
      <c r="CA72" s="13">
        <f t="shared" si="93"/>
        <v>45.313642767960104</v>
      </c>
      <c r="CB72" s="20">
        <f t="shared" si="64"/>
        <v>392.3543811541972</v>
      </c>
      <c r="CC72" s="59">
        <f t="shared" si="65"/>
        <v>685.68771448753046</v>
      </c>
      <c r="CD72" s="59">
        <f ca="1">AVERAGE(OFFSET($CC$3,0,0,'Données projet'!$E$12+1,1))-AVERAGE(OFFSET($H$3,0,0,'Données projet'!$E$12+1,1))</f>
        <v>211.91720528436969</v>
      </c>
      <c r="CE72" s="59">
        <f t="shared" si="94"/>
        <v>218.88548486038957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7.7947021420266154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7.7947021420266154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8.8662500000000044</v>
      </c>
      <c r="CT72" s="12">
        <f>IF('Données projet'!$A$140&gt;35,CT71+CS72-DB71,IF(A72&lt;'Données projet'!$A$140,$CQ$205^A72,IF(A72='Données projet'!$A$140,'Données projet'!$B$140,CT71+CS72-DB71)))</f>
        <v>241.64875000000015</v>
      </c>
      <c r="CU72" s="17">
        <f>CT72*VLOOKUP('Données projet'!$B$13,Paramètres!$A$1:$I$89,3,0)*VLOOKUP('Données projet'!$B$13,Paramètres!$A$1:$I$89,5,0)</f>
        <v>218.64378900000014</v>
      </c>
      <c r="CV72" s="13">
        <f t="shared" si="95"/>
        <v>53.820013961218514</v>
      </c>
      <c r="CW72" s="20">
        <f t="shared" si="67"/>
        <v>474.54112349078923</v>
      </c>
      <c r="CX72" s="59">
        <f t="shared" si="68"/>
        <v>767.87445682412249</v>
      </c>
      <c r="CY72" s="59">
        <f ca="1">AVERAGE(OFFSET($CX$3,0,0,'Données projet'!$E$13+1,1))-AVERAGE(OFFSET($H$3,0,0,'Données projet'!$E$13+1,1))</f>
        <v>469.97161976912071</v>
      </c>
      <c r="CZ72" s="59">
        <f t="shared" si="96"/>
        <v>231.65013084759306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23.216760642391815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23.216760642391815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8.8662500000000044</v>
      </c>
      <c r="DO72" s="12">
        <f>IF('Données projet'!$A$166&gt;35,DO71+DN72-DW71,IF(A72&lt;'Données projet'!$A$166,$DL$205^A72,IF(A72='Données projet'!$A$166,'Données projet'!$B$166,DO71+DN72-DW71)))</f>
        <v>241.64875000000015</v>
      </c>
      <c r="DP72" s="17">
        <f>DO72*VLOOKUP('Données projet'!$B$14,Paramètres!$A$1:$I$89,3,0)*VLOOKUP('Données projet'!$B$14,Paramètres!$A$1:$I$89,5,0)</f>
        <v>233.72267100000013</v>
      </c>
      <c r="DQ72" s="13">
        <f t="shared" si="97"/>
        <v>57.086856324963186</v>
      </c>
      <c r="DR72" s="20">
        <f t="shared" si="70"/>
        <v>506.49326009097769</v>
      </c>
      <c r="DS72" s="59">
        <f t="shared" si="71"/>
        <v>799.826593424311</v>
      </c>
      <c r="DT72" s="59">
        <f ca="1">AVERAGE(OFFSET($DS$3,0,0,'Données projet'!$E$14+1,1))-AVERAGE(OFFSET($H$3,0,0,'Données projet'!$E$14+1,1))</f>
        <v>506.9153247310901</v>
      </c>
      <c r="DU72" s="59">
        <f t="shared" si="98"/>
        <v>247.31254626788319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24.817916548763662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24.817916548763662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6.7866666666666671</v>
      </c>
      <c r="N73" s="13">
        <f>IF('Données projet'!$A$36&gt;35,N72+M73-V72,IF(A73&lt;'Données projet'!$A$36,$K$205^A73,IF(A73='Données projet'!$A$36,'Données projet'!$B$36,N72+M73-V72)))</f>
        <v>238.78666666666658</v>
      </c>
      <c r="O73" s="13">
        <f>N73*VLOOKUP('Données projet'!$B$9,Paramètres!$A$1:$I$89,3,0)*VLOOKUP('Données projet'!$B$9,Paramètres!$A$1:$I$89,5,0)</f>
        <v>142.79442666666662</v>
      </c>
      <c r="P73" s="13">
        <f t="shared" si="87"/>
        <v>36.936431202359408</v>
      </c>
      <c r="Q73" s="20">
        <f t="shared" si="54"/>
        <v>313.03124412188703</v>
      </c>
      <c r="R73" s="59">
        <f t="shared" si="55"/>
        <v>606.36457745522034</v>
      </c>
      <c r="S73" s="59">
        <f ca="1">AVERAGE(OFFSET($R$3,0,0,'Données projet'!$E$9+1,1))-AVERAGE(OFFSET($H$3,0,0,'Données projet'!$E$9+1,1))</f>
        <v>193.8828274189392</v>
      </c>
      <c r="T73" s="59">
        <f t="shared" si="88"/>
        <v>179.13381331066427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22.74509693690629</v>
      </c>
      <c r="AA73" s="21">
        <f>EXP(-LN(2)/25)*AA72+(1-EXP(-LN(2)/25))/(LN(2)/25)*Calculateur!V73*Calculateur!X73*VLOOKUP('Données projet'!$B$9,Paramètres!$A$1:$I$89,3,0)*0.475*44/12</f>
        <v>12.372785391623415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35.117882328529703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389.11</v>
      </c>
      <c r="AG73" s="12">
        <f>VLOOKUP(A73,'Données projet'!$A$61:$I$81,9,0)</f>
        <v>10.238999999999999</v>
      </c>
      <c r="AH73" s="12">
        <f t="array" ref="AH73">INDEX(AG:AG,MIN(IF(ISNUMBER(AG73:AG269),ROW(AG73:AG269),"")))</f>
        <v>10.238999999999999</v>
      </c>
      <c r="AI73" s="13">
        <f>IF('Données projet'!$A$62&gt;35,AI72+AH73-AQ72,IF(A73&lt;'Données projet'!$A$62,$AF$205^A73,IF(A73='Données projet'!$A$62,'Données projet'!$B$62,AI72+AH73-AQ72)))</f>
        <v>389.1099999999995</v>
      </c>
      <c r="AJ73" s="13">
        <f>AI73*VLOOKUP('Données projet'!$B$10,Paramètres!$A$1:$I$89,3,0)*VLOOKUP('Données projet'!$B$10,Paramètres!$A$1:$I$89,5,0)</f>
        <v>232.68777999999972</v>
      </c>
      <c r="AK73" s="13">
        <f t="shared" si="89"/>
        <v>56.86344885363593</v>
      </c>
      <c r="AL73" s="20">
        <f t="shared" si="58"/>
        <v>504.30172358674866</v>
      </c>
      <c r="AM73" s="59">
        <f t="shared" si="59"/>
        <v>797.63505692008198</v>
      </c>
      <c r="AN73" s="59">
        <f ca="1">AVERAGE(OFFSET($AM$3,0,0,'Données projet'!$E$10+1,1))-AVERAGE(OFFSET($H$3,0,0,'Données projet'!$E$10+1,1))</f>
        <v>228.36873053496748</v>
      </c>
      <c r="AO73" s="59">
        <f t="shared" si="90"/>
        <v>177.73676400313303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69.790000000000006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0.13500000000000001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41.903385302475414</v>
      </c>
      <c r="AV73" s="21">
        <f>EXP(-LN(2)/25)*AV72+(1-EXP(-LN(2)/25))/(LN(2)/25)*Calculateur!AQ73*Calculateur!AS73*VLOOKUP('Données projet'!$B$10,Paramètres!$A$1:$I$89,3,0)*0.475*44/12</f>
        <v>31.006293030319227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72.909678332794641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254.02221000000017</v>
      </c>
      <c r="BF73" s="13">
        <f t="shared" si="91"/>
        <v>61.446434882983361</v>
      </c>
      <c r="BG73" s="20">
        <f t="shared" si="61"/>
        <v>549.44122317119627</v>
      </c>
      <c r="BH73" s="59">
        <f t="shared" si="62"/>
        <v>842.77455650452953</v>
      </c>
      <c r="BI73" s="59">
        <f ca="1">AVERAGE(OFFSET($BH$3,0,0,'Données projet'!$E$11+1,1))-AVERAGE(OFFSET($H$3,0,0,'Données projet'!$E$11+1,1))</f>
        <v>534.59150243554586</v>
      </c>
      <c r="BJ73" s="59">
        <f t="shared" si="92"/>
        <v>259.04458689606491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25.508571004419235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25.508571004419235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209</v>
      </c>
      <c r="BW73" s="12">
        <f>VLOOKUP(A73,'Données projet'!$A$113:$I$133,9,0)</f>
        <v>3</v>
      </c>
      <c r="BX73" s="12">
        <f t="array" ref="BX73">INDEX(BW:BW,MIN(IF(ISNUMBER(BW73:BW269),ROW(BW73:BW269),"")))</f>
        <v>3</v>
      </c>
      <c r="BY73" s="12">
        <f>IF('Données projet'!$A$114&gt;35,BY72+BX73-CG72,IF(A73&lt;'Données projet'!$A$114,$BV$205^A73,IF(A73='Données projet'!$A$114,'Données projet'!$B$114,BY72+BX73-CG72)))</f>
        <v>209.00000000000003</v>
      </c>
      <c r="BZ73" s="13">
        <f>BY73*VLOOKUP('Données projet'!$B$12,Paramètres!$A$1:$I$89,3,0)*VLOOKUP('Données projet'!$B$12,Paramètres!$A$1:$I$89,5,0)</f>
        <v>182.58240000000004</v>
      </c>
      <c r="CA73" s="13">
        <f t="shared" si="93"/>
        <v>45.896245406460288</v>
      </c>
      <c r="CB73" s="20">
        <f t="shared" si="64"/>
        <v>397.93364074958504</v>
      </c>
      <c r="CC73" s="59">
        <f t="shared" si="65"/>
        <v>691.2669740829183</v>
      </c>
      <c r="CD73" s="59">
        <f ca="1">AVERAGE(OFFSET($CC$3,0,0,'Données projet'!$E$12+1,1))-AVERAGE(OFFSET($H$3,0,0,'Données projet'!$E$12+1,1))</f>
        <v>211.91720528436969</v>
      </c>
      <c r="CE73" s="59">
        <f t="shared" si="94"/>
        <v>218.88548486038957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8</v>
      </c>
      <c r="CH73" s="16">
        <f>IF(ISNA(VLOOKUP(A73,'Données projet'!$A$113:$I$133,5,0)),0%,VLOOKUP(A73,'Données projet'!$A$113:$I$133,5,0)*VLOOKUP('Données projet'!$B$12,Paramètres!$A$1:$I$89,7,0))</f>
        <v>0.318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10.098692608856934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10.098692608856934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8.8662500000000044</v>
      </c>
      <c r="CT73" s="12">
        <f>IF('Données projet'!$A$140&gt;35,CT72+CS73-DB72,IF(A73&lt;'Données projet'!$A$140,$CQ$205^A73,IF(A73='Données projet'!$A$140,'Données projet'!$B$140,CT72+CS73-DB72)))</f>
        <v>250.51500000000016</v>
      </c>
      <c r="CU73" s="17">
        <f>CT73*VLOOKUP('Données projet'!$B$13,Paramètres!$A$1:$I$89,3,0)*VLOOKUP('Données projet'!$B$13,Paramètres!$A$1:$I$89,5,0)</f>
        <v>226.66597200000012</v>
      </c>
      <c r="CV73" s="13">
        <f t="shared" si="95"/>
        <v>55.561175235972904</v>
      </c>
      <c r="CW73" s="20">
        <f t="shared" si="67"/>
        <v>491.54561476931968</v>
      </c>
      <c r="CX73" s="59">
        <f t="shared" si="68"/>
        <v>784.878948102653</v>
      </c>
      <c r="CY73" s="59">
        <f ca="1">AVERAGE(OFFSET($CX$3,0,0,'Données projet'!$E$13+1,1))-AVERAGE(OFFSET($H$3,0,0,'Données projet'!$E$13+1,1))</f>
        <v>469.97161976912071</v>
      </c>
      <c r="CZ73" s="59">
        <f t="shared" si="96"/>
        <v>231.65013084759306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22.761494127020239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22.761494127020239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8.8662500000000044</v>
      </c>
      <c r="DO73" s="12">
        <f>IF('Données projet'!$A$166&gt;35,DO72+DN73-DW72,IF(A73&lt;'Données projet'!$A$166,$DL$205^A73,IF(A73='Données projet'!$A$166,'Données projet'!$B$166,DO72+DN73-DW72)))</f>
        <v>250.51500000000016</v>
      </c>
      <c r="DP73" s="17">
        <f>DO73*VLOOKUP('Données projet'!$B$14,Paramètres!$A$1:$I$89,3,0)*VLOOKUP('Données projet'!$B$14,Paramètres!$A$1:$I$89,5,0)</f>
        <v>242.29810800000013</v>
      </c>
      <c r="DQ73" s="13">
        <f t="shared" si="97"/>
        <v>58.933705038196834</v>
      </c>
      <c r="DR73" s="20">
        <f t="shared" si="70"/>
        <v>524.64540770819303</v>
      </c>
      <c r="DS73" s="59">
        <f t="shared" si="71"/>
        <v>817.97874104152629</v>
      </c>
      <c r="DT73" s="59">
        <f ca="1">AVERAGE(OFFSET($DS$3,0,0,'Données projet'!$E$14+1,1))-AVERAGE(OFFSET($H$3,0,0,'Données projet'!$E$14+1,1))</f>
        <v>506.9153247310901</v>
      </c>
      <c r="DU73" s="59">
        <f t="shared" si="98"/>
        <v>247.31254626788319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24.331252342676805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24.331252342676805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6.7866666666666671</v>
      </c>
      <c r="N74" s="13">
        <f>IF('Données projet'!$A$36&gt;35,N73+M74-V73,IF(A74&lt;'Données projet'!$A$36,$K$205^A74,IF(A74='Données projet'!$A$36,'Données projet'!$B$36,N73+M74-V73)))</f>
        <v>245.57333333333324</v>
      </c>
      <c r="O74" s="13">
        <f>N74*VLOOKUP('Données projet'!$B$9,Paramètres!$A$1:$I$89,3,0)*VLOOKUP('Données projet'!$B$9,Paramètres!$A$1:$I$89,5,0)</f>
        <v>146.85285333333329</v>
      </c>
      <c r="P74" s="13">
        <f t="shared" si="87"/>
        <v>37.862505026258198</v>
      </c>
      <c r="Q74" s="20">
        <f t="shared" si="54"/>
        <v>321.71258247628845</v>
      </c>
      <c r="R74" s="59">
        <f t="shared" si="55"/>
        <v>615.04591580962176</v>
      </c>
      <c r="S74" s="59">
        <f ca="1">AVERAGE(OFFSET($R$3,0,0,'Données projet'!$E$9+1,1))-AVERAGE(OFFSET($H$3,0,0,'Données projet'!$E$9+1,1))</f>
        <v>193.8828274189392</v>
      </c>
      <c r="T74" s="59">
        <f t="shared" si="88"/>
        <v>179.13381331066427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22.299079459112829</v>
      </c>
      <c r="AA74" s="21">
        <f>EXP(-LN(2)/25)*AA73+(1-EXP(-LN(2)/25))/(LN(2)/25)*Calculateur!V74*Calculateur!X74*VLOOKUP('Données projet'!$B$9,Paramètres!$A$1:$I$89,3,0)*0.475*44/12</f>
        <v>12.034450924432967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34.333530383545792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8.0829999999999984</v>
      </c>
      <c r="AI74" s="13">
        <f>IF('Données projet'!$A$62&gt;35,AI73+AH74-AQ73,IF(A74&lt;'Données projet'!$A$62,$AF$205^A74,IF(A74='Données projet'!$A$62,'Données projet'!$B$62,AI73+AH74-AQ73)))</f>
        <v>327.40299999999951</v>
      </c>
      <c r="AJ74" s="13">
        <f>AI74*VLOOKUP('Données projet'!$B$10,Paramètres!$A$1:$I$89,3,0)*VLOOKUP('Données projet'!$B$10,Paramètres!$A$1:$I$89,5,0)</f>
        <v>195.78699399999971</v>
      </c>
      <c r="AK74" s="13">
        <f t="shared" si="89"/>
        <v>48.817132394329121</v>
      </c>
      <c r="AL74" s="20">
        <f t="shared" si="58"/>
        <v>426.01885347012268</v>
      </c>
      <c r="AM74" s="59">
        <f t="shared" si="59"/>
        <v>719.35218680345599</v>
      </c>
      <c r="AN74" s="59">
        <f ca="1">AVERAGE(OFFSET($AM$3,0,0,'Données projet'!$E$10+1,1))-AVERAGE(OFFSET($H$3,0,0,'Données projet'!$E$10+1,1))</f>
        <v>228.36873053496748</v>
      </c>
      <c r="AO74" s="59">
        <f t="shared" si="90"/>
        <v>177.73676400313303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41.081685475235211</v>
      </c>
      <c r="AV74" s="21">
        <f>EXP(-LN(2)/25)*AV73+(1-EXP(-LN(2)/25))/(LN(2)/25)*Calculateur!AQ74*Calculateur!AS74*VLOOKUP('Données projet'!$B$10,Paramètres!$A$1:$I$89,3,0)*0.475*44/12</f>
        <v>30.158424316855065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71.24010979209028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263.01258750000017</v>
      </c>
      <c r="BF74" s="13">
        <f t="shared" si="91"/>
        <v>63.364108679793951</v>
      </c>
      <c r="BG74" s="20">
        <f t="shared" si="61"/>
        <v>568.43941251314141</v>
      </c>
      <c r="BH74" s="59">
        <f t="shared" si="62"/>
        <v>861.77274584647466</v>
      </c>
      <c r="BI74" s="59">
        <f ca="1">AVERAGE(OFFSET($BH$3,0,0,'Données projet'!$E$11+1,1))-AVERAGE(OFFSET($H$3,0,0,'Données projet'!$E$11+1,1))</f>
        <v>534.59150243554586</v>
      </c>
      <c r="BJ74" s="59">
        <f t="shared" si="92"/>
        <v>259.04458689606491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25.008363485714593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25.008363485714593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2.6</v>
      </c>
      <c r="BY74" s="12">
        <f>IF('Données projet'!$A$114&gt;35,BY73+BX74-CG73,IF(A74&lt;'Données projet'!$A$114,$BV$205^A74,IF(A74='Données projet'!$A$114,'Données projet'!$B$114,BY73+BX74-CG73)))</f>
        <v>203.60000000000002</v>
      </c>
      <c r="BZ74" s="13">
        <f>BY74*VLOOKUP('Données projet'!$B$12,Paramètres!$A$1:$I$89,3,0)*VLOOKUP('Données projet'!$B$12,Paramètres!$A$1:$I$89,5,0)</f>
        <v>177.86496000000002</v>
      </c>
      <c r="CA74" s="13">
        <f t="shared" si="93"/>
        <v>44.846849734353761</v>
      </c>
      <c r="CB74" s="20">
        <f t="shared" si="64"/>
        <v>387.88973528733283</v>
      </c>
      <c r="CC74" s="59">
        <f t="shared" si="65"/>
        <v>681.22306862066614</v>
      </c>
      <c r="CD74" s="59">
        <f ca="1">AVERAGE(OFFSET($CC$3,0,0,'Données projet'!$E$12+1,1))-AVERAGE(OFFSET($H$3,0,0,'Données projet'!$E$12+1,1))</f>
        <v>211.91720528436969</v>
      </c>
      <c r="CE74" s="59">
        <f t="shared" si="94"/>
        <v>218.88548486038957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9.9006634063915318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9.9006634063915318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8.8662500000000044</v>
      </c>
      <c r="CT74" s="12">
        <f>IF('Données projet'!$A$140&gt;35,CT73+CS74-DB73,IF(A74&lt;'Données projet'!$A$140,$CQ$205^A74,IF(A74='Données projet'!$A$140,'Données projet'!$B$140,CT73+CS74-DB73)))</f>
        <v>259.38125000000014</v>
      </c>
      <c r="CU74" s="17">
        <f>CT74*VLOOKUP('Données projet'!$B$13,Paramètres!$A$1:$I$89,3,0)*VLOOKUP('Données projet'!$B$13,Paramètres!$A$1:$I$89,5,0)</f>
        <v>234.68815500000011</v>
      </c>
      <c r="CV74" s="13">
        <f t="shared" si="95"/>
        <v>57.295176729679312</v>
      </c>
      <c r="CW74" s="20">
        <f t="shared" si="67"/>
        <v>508.53763609585832</v>
      </c>
      <c r="CX74" s="59">
        <f t="shared" si="68"/>
        <v>801.87096942919163</v>
      </c>
      <c r="CY74" s="59">
        <f ca="1">AVERAGE(OFFSET($CX$3,0,0,'Données projet'!$E$13+1,1))-AVERAGE(OFFSET($H$3,0,0,'Données projet'!$E$13+1,1))</f>
        <v>469.97161976912071</v>
      </c>
      <c r="CZ74" s="59">
        <f t="shared" si="96"/>
        <v>231.65013084759306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22.315155110329943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22.315155110329943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8.8662500000000044</v>
      </c>
      <c r="DO74" s="12">
        <f>IF('Données projet'!$A$166&gt;35,DO73+DN74-DW73,IF(A74&lt;'Données projet'!$A$166,$DL$205^A74,IF(A74='Données projet'!$A$166,'Données projet'!$B$166,DO73+DN74-DW73)))</f>
        <v>259.38125000000014</v>
      </c>
      <c r="DP74" s="17">
        <f>DO74*VLOOKUP('Données projet'!$B$14,Paramètres!$A$1:$I$89,3,0)*VLOOKUP('Données projet'!$B$14,Paramètres!$A$1:$I$89,5,0)</f>
        <v>250.87354500000012</v>
      </c>
      <c r="DQ74" s="13">
        <f t="shared" si="97"/>
        <v>60.772959375994262</v>
      </c>
      <c r="DR74" s="20">
        <f t="shared" si="70"/>
        <v>542.78432845485679</v>
      </c>
      <c r="DS74" s="59">
        <f t="shared" si="71"/>
        <v>836.11766178819016</v>
      </c>
      <c r="DT74" s="59">
        <f ca="1">AVERAGE(OFFSET($DS$3,0,0,'Données projet'!$E$14+1,1))-AVERAGE(OFFSET($H$3,0,0,'Données projet'!$E$14+1,1))</f>
        <v>506.9153247310901</v>
      </c>
      <c r="DU74" s="59">
        <f t="shared" si="98"/>
        <v>247.31254626788319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23.854131324835453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23.854131324835453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6.7866666666666671</v>
      </c>
      <c r="N75" s="13">
        <f>IF('Données projet'!$A$36&gt;35,N74+M75-V74,IF(A75&lt;'Données projet'!$A$36,$K$205^A75,IF(A75='Données projet'!$A$36,'Données projet'!$B$36,N74+M75-V74)))</f>
        <v>252.3599999999999</v>
      </c>
      <c r="O75" s="13">
        <f>N75*VLOOKUP('Données projet'!$B$9,Paramètres!$A$1:$I$89,3,0)*VLOOKUP('Données projet'!$B$9,Paramètres!$A$1:$I$89,5,0)</f>
        <v>150.91127999999995</v>
      </c>
      <c r="P75" s="13">
        <f t="shared" si="87"/>
        <v>38.785604213098914</v>
      </c>
      <c r="Q75" s="20">
        <f t="shared" si="54"/>
        <v>330.3887400044805</v>
      </c>
      <c r="R75" s="59">
        <f t="shared" si="55"/>
        <v>623.72207333781375</v>
      </c>
      <c r="S75" s="59">
        <f ca="1">AVERAGE(OFFSET($R$3,0,0,'Données projet'!$E$9+1,1))-AVERAGE(OFFSET($H$3,0,0,'Données projet'!$E$9+1,1))</f>
        <v>193.8828274189392</v>
      </c>
      <c r="T75" s="59">
        <f t="shared" si="88"/>
        <v>179.13381331066427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21.861808112015101</v>
      </c>
      <c r="AA75" s="21">
        <f>EXP(-LN(2)/25)*AA74+(1-EXP(-LN(2)/25))/(LN(2)/25)*Calculateur!V75*Calculateur!X75*VLOOKUP('Données projet'!$B$9,Paramètres!$A$1:$I$89,3,0)*0.475*44/12</f>
        <v>11.70536823104008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33.567176343055181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8.0829999999999984</v>
      </c>
      <c r="AI75" s="13">
        <f>IF('Données projet'!$A$62&gt;35,AI74+AH75-AQ74,IF(A75&lt;'Données projet'!$A$62,$AF$205^A75,IF(A75='Données projet'!$A$62,'Données projet'!$B$62,AI74+AH75-AQ74)))</f>
        <v>335.48599999999954</v>
      </c>
      <c r="AJ75" s="13">
        <f>AI75*VLOOKUP('Données projet'!$B$10,Paramètres!$A$1:$I$89,3,0)*VLOOKUP('Données projet'!$B$10,Paramètres!$A$1:$I$89,5,0)</f>
        <v>200.62062799999973</v>
      </c>
      <c r="AK75" s="13">
        <f t="shared" si="89"/>
        <v>49.880538370284725</v>
      </c>
      <c r="AL75" s="20">
        <f t="shared" si="58"/>
        <v>436.28953142824543</v>
      </c>
      <c r="AM75" s="59">
        <f t="shared" si="59"/>
        <v>729.62286476157874</v>
      </c>
      <c r="AN75" s="59">
        <f ca="1">AVERAGE(OFFSET($AM$3,0,0,'Données projet'!$E$10+1,1))-AVERAGE(OFFSET($H$3,0,0,'Données projet'!$E$10+1,1))</f>
        <v>228.36873053496748</v>
      </c>
      <c r="AO75" s="59">
        <f t="shared" si="90"/>
        <v>177.73676400313303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40.276098680419778</v>
      </c>
      <c r="AV75" s="21">
        <f>EXP(-LN(2)/25)*AV74+(1-EXP(-LN(2)/25))/(LN(2)/25)*Calculateur!AQ75*Calculateur!AS75*VLOOKUP('Données projet'!$B$10,Paramètres!$A$1:$I$89,3,0)*0.475*44/12</f>
        <v>29.333740617948056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69.609839298367831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272.00296500000013</v>
      </c>
      <c r="BF75" s="13">
        <f t="shared" si="91"/>
        <v>65.274165988687102</v>
      </c>
      <c r="BG75" s="20">
        <f t="shared" si="61"/>
        <v>587.42433647196356</v>
      </c>
      <c r="BH75" s="59">
        <f t="shared" si="62"/>
        <v>880.75766980529693</v>
      </c>
      <c r="BI75" s="59">
        <f ca="1">AVERAGE(OFFSET($BH$3,0,0,'Données projet'!$E$11+1,1))-AVERAGE(OFFSET($H$3,0,0,'Données projet'!$E$11+1,1))</f>
        <v>534.59150243554586</v>
      </c>
      <c r="BJ75" s="59">
        <f t="shared" si="92"/>
        <v>259.04458689606491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24.517964731355288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24.517964731355288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2.6</v>
      </c>
      <c r="BY75" s="12">
        <f>IF('Données projet'!$A$114&gt;35,BY74+BX75-CG74,IF(A75&lt;'Données projet'!$A$114,$BV$205^A75,IF(A75='Données projet'!$A$114,'Données projet'!$B$114,BY74+BX75-CG74)))</f>
        <v>206.20000000000002</v>
      </c>
      <c r="BZ75" s="13">
        <f>BY75*VLOOKUP('Données projet'!$B$12,Paramètres!$A$1:$I$89,3,0)*VLOOKUP('Données projet'!$B$12,Paramètres!$A$1:$I$89,5,0)</f>
        <v>180.13632000000004</v>
      </c>
      <c r="CA75" s="13">
        <f t="shared" si="93"/>
        <v>45.352513518602144</v>
      </c>
      <c r="CB75" s="20">
        <f t="shared" si="64"/>
        <v>392.72638504489879</v>
      </c>
      <c r="CC75" s="59">
        <f t="shared" si="65"/>
        <v>686.05971837823211</v>
      </c>
      <c r="CD75" s="59">
        <f ca="1">AVERAGE(OFFSET($CC$3,0,0,'Données projet'!$E$12+1,1))-AVERAGE(OFFSET($H$3,0,0,'Données projet'!$E$12+1,1))</f>
        <v>211.91720528436969</v>
      </c>
      <c r="CE75" s="59">
        <f t="shared" si="94"/>
        <v>218.88548486038957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9.7065174358005883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9.7065174358005883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8.8662500000000044</v>
      </c>
      <c r="CT75" s="12">
        <f>IF('Données projet'!$A$140&gt;35,CT74+CS75-DB74,IF(A75&lt;'Données projet'!$A$140,$CQ$205^A75,IF(A75='Données projet'!$A$140,'Données projet'!$B$140,CT74+CS75-DB74)))</f>
        <v>268.24750000000012</v>
      </c>
      <c r="CU75" s="17">
        <f>CT75*VLOOKUP('Données projet'!$B$13,Paramètres!$A$1:$I$89,3,0)*VLOOKUP('Données projet'!$B$13,Paramètres!$A$1:$I$89,5,0)</f>
        <v>242.71033800000009</v>
      </c>
      <c r="CV75" s="13">
        <f t="shared" si="95"/>
        <v>59.022291232778812</v>
      </c>
      <c r="CW75" s="20">
        <f t="shared" si="67"/>
        <v>525.51766258042323</v>
      </c>
      <c r="CX75" s="59">
        <f t="shared" si="68"/>
        <v>818.85099591375661</v>
      </c>
      <c r="CY75" s="59">
        <f ca="1">AVERAGE(OFFSET($CX$3,0,0,'Données projet'!$E$13+1,1))-AVERAGE(OFFSET($H$3,0,0,'Données projet'!$E$13+1,1))</f>
        <v>469.97161976912071</v>
      </c>
      <c r="CZ75" s="59">
        <f t="shared" si="96"/>
        <v>231.65013084759306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21.877568529517024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21.877568529517024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8.8662500000000044</v>
      </c>
      <c r="DO75" s="12">
        <f>IF('Données projet'!$A$166&gt;35,DO74+DN75-DW74,IF(A75&lt;'Données projet'!$A$166,$DL$205^A75,IF(A75='Données projet'!$A$166,'Données projet'!$B$166,DO74+DN75-DW74)))</f>
        <v>268.24750000000012</v>
      </c>
      <c r="DP75" s="17">
        <f>DO75*VLOOKUP('Données projet'!$B$14,Paramètres!$A$1:$I$89,3,0)*VLOOKUP('Données projet'!$B$14,Paramètres!$A$1:$I$89,5,0)</f>
        <v>259.44898200000011</v>
      </c>
      <c r="DQ75" s="13">
        <f t="shared" si="97"/>
        <v>62.604908687011665</v>
      </c>
      <c r="DR75" s="20">
        <f t="shared" si="70"/>
        <v>560.91052627987881</v>
      </c>
      <c r="DS75" s="59">
        <f t="shared" si="71"/>
        <v>854.24385961321218</v>
      </c>
      <c r="DT75" s="59">
        <f ca="1">AVERAGE(OFFSET($DS$3,0,0,'Données projet'!$E$14+1,1))-AVERAGE(OFFSET($H$3,0,0,'Données projet'!$E$14+1,1))</f>
        <v>506.9153247310901</v>
      </c>
      <c r="DU75" s="59">
        <f t="shared" si="98"/>
        <v>247.31254626788319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23.386366359138886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23.386366359138886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6.7866666666666671</v>
      </c>
      <c r="N76" s="13">
        <f>IF('Données projet'!$A$36&gt;35,N75+M76-V75,IF(A76&lt;'Données projet'!$A$36,$K$205^A76,IF(A76='Données projet'!$A$36,'Données projet'!$B$36,N75+M76-V75)))</f>
        <v>259.14666666666659</v>
      </c>
      <c r="O76" s="13">
        <f>N76*VLOOKUP('Données projet'!$B$9,Paramètres!$A$1:$I$89,3,0)*VLOOKUP('Données projet'!$B$9,Paramètres!$A$1:$I$89,5,0)</f>
        <v>154.96970666666664</v>
      </c>
      <c r="P76" s="13">
        <f t="shared" si="87"/>
        <v>39.705817952901363</v>
      </c>
      <c r="Q76" s="20">
        <f t="shared" si="54"/>
        <v>339.05987204574757</v>
      </c>
      <c r="R76" s="59">
        <f t="shared" si="55"/>
        <v>632.39320537908088</v>
      </c>
      <c r="S76" s="59">
        <f ca="1">AVERAGE(OFFSET($R$3,0,0,'Données projet'!$E$9+1,1))-AVERAGE(OFFSET($H$3,0,0,'Données projet'!$E$9+1,1))</f>
        <v>193.8828274189392</v>
      </c>
      <c r="T76" s="59">
        <f t="shared" si="88"/>
        <v>179.13381331066427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21.433111389324772</v>
      </c>
      <c r="AA76" s="21">
        <f>EXP(-LN(2)/25)*AA75+(1-EXP(-LN(2)/25))/(LN(2)/25)*Calculateur!V76*Calculateur!X76*VLOOKUP('Données projet'!$B$9,Paramètres!$A$1:$I$89,3,0)*0.475*44/12</f>
        <v>11.385284321203727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32.818395710528499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8.0829999999999984</v>
      </c>
      <c r="AI76" s="13">
        <f>IF('Données projet'!$A$62&gt;35,AI75+AH76-AQ75,IF(A76&lt;'Données projet'!$A$62,$AF$205^A76,IF(A76='Données projet'!$A$62,'Données projet'!$B$62,AI75+AH76-AQ75)))</f>
        <v>343.56899999999951</v>
      </c>
      <c r="AJ76" s="13">
        <f>AI76*VLOOKUP('Données projet'!$B$10,Paramètres!$A$1:$I$89,3,0)*VLOOKUP('Données projet'!$B$10,Paramètres!$A$1:$I$89,5,0)</f>
        <v>205.45426199999972</v>
      </c>
      <c r="AK76" s="13">
        <f t="shared" si="89"/>
        <v>50.940965927045724</v>
      </c>
      <c r="AL76" s="20">
        <f t="shared" si="58"/>
        <v>446.55502197293748</v>
      </c>
      <c r="AM76" s="59">
        <f t="shared" si="59"/>
        <v>739.8883553062708</v>
      </c>
      <c r="AN76" s="59">
        <f ca="1">AVERAGE(OFFSET($AM$3,0,0,'Données projet'!$E$10+1,1))-AVERAGE(OFFSET($H$3,0,0,'Données projet'!$E$10+1,1))</f>
        <v>228.36873053496748</v>
      </c>
      <c r="AO76" s="59">
        <f t="shared" si="90"/>
        <v>177.73676400313303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39.48630895129125</v>
      </c>
      <c r="AV76" s="21">
        <f>EXP(-LN(2)/25)*AV75+(1-EXP(-LN(2)/25))/(LN(2)/25)*Calculateur!AQ76*Calculateur!AS76*VLOOKUP('Données projet'!$B$10,Paramètres!$A$1:$I$89,3,0)*0.475*44/12</f>
        <v>28.53160793815589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68.017916889447136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280.9933425000001</v>
      </c>
      <c r="BF76" s="13">
        <f t="shared" si="91"/>
        <v>67.176887420430603</v>
      </c>
      <c r="BG76" s="20">
        <f t="shared" si="61"/>
        <v>606.39648377808339</v>
      </c>
      <c r="BH76" s="59">
        <f t="shared" si="62"/>
        <v>899.72981711141665</v>
      </c>
      <c r="BI76" s="59">
        <f ca="1">AVERAGE(OFFSET($BH$3,0,0,'Données projet'!$E$11+1,1))-AVERAGE(OFFSET($H$3,0,0,'Données projet'!$E$11+1,1))</f>
        <v>534.59150243554586</v>
      </c>
      <c r="BJ76" s="59">
        <f t="shared" si="92"/>
        <v>259.04458689606491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24.037182397455265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24.037182397455265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2.6</v>
      </c>
      <c r="BY76" s="12">
        <f>IF('Données projet'!$A$114&gt;35,BY75+BX76-CG75,IF(A76&lt;'Données projet'!$A$114,$BV$205^A76,IF(A76='Données projet'!$A$114,'Données projet'!$B$114,BY75+BX76-CG75)))</f>
        <v>208.8</v>
      </c>
      <c r="BZ76" s="13">
        <f>BY76*VLOOKUP('Données projet'!$B$12,Paramètres!$A$1:$I$89,3,0)*VLOOKUP('Données projet'!$B$12,Paramètres!$A$1:$I$89,5,0)</f>
        <v>182.40768000000003</v>
      </c>
      <c r="CA76" s="13">
        <f t="shared" si="93"/>
        <v>45.857435663065921</v>
      </c>
      <c r="CB76" s="20">
        <f t="shared" si="64"/>
        <v>397.56174311317318</v>
      </c>
      <c r="CC76" s="59">
        <f t="shared" si="65"/>
        <v>690.89507644650644</v>
      </c>
      <c r="CD76" s="59">
        <f ca="1">AVERAGE(OFFSET($CC$3,0,0,'Données projet'!$E$12+1,1))-AVERAGE(OFFSET($H$3,0,0,'Données projet'!$E$12+1,1))</f>
        <v>211.91720528436969</v>
      </c>
      <c r="CE76" s="59">
        <f t="shared" si="94"/>
        <v>218.88548486038957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9.516178549275585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9.516178549275585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8.8662500000000044</v>
      </c>
      <c r="CT76" s="12">
        <f>IF('Données projet'!$A$140&gt;35,CT75+CS76-DB75,IF(A76&lt;'Données projet'!$A$140,$CQ$205^A76,IF(A76='Données projet'!$A$140,'Données projet'!$B$140,CT75+CS76-DB75)))</f>
        <v>277.1137500000001</v>
      </c>
      <c r="CU76" s="17">
        <f>CT76*VLOOKUP('Données projet'!$B$13,Paramètres!$A$1:$I$89,3,0)*VLOOKUP('Données projet'!$B$13,Paramètres!$A$1:$I$89,5,0)</f>
        <v>250.73252100000005</v>
      </c>
      <c r="CV76" s="13">
        <f t="shared" si="95"/>
        <v>60.74277247950485</v>
      </c>
      <c r="CW76" s="20">
        <f t="shared" si="67"/>
        <v>542.48613614347107</v>
      </c>
      <c r="CX76" s="59">
        <f t="shared" si="68"/>
        <v>835.81946947680444</v>
      </c>
      <c r="CY76" s="59">
        <f ca="1">AVERAGE(OFFSET($CX$3,0,0,'Données projet'!$E$13+1,1))-AVERAGE(OFFSET($H$3,0,0,'Données projet'!$E$13+1,1))</f>
        <v>469.97161976912071</v>
      </c>
      <c r="CZ76" s="59">
        <f t="shared" si="96"/>
        <v>231.65013084759306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21.448562754652389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21.448562754652389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8.8662500000000044</v>
      </c>
      <c r="DO76" s="12">
        <f>IF('Données projet'!$A$166&gt;35,DO75+DN76-DW75,IF(A76&lt;'Données projet'!$A$166,$DL$205^A76,IF(A76='Données projet'!$A$166,'Données projet'!$B$166,DO75+DN76-DW75)))</f>
        <v>277.1137500000001</v>
      </c>
      <c r="DP76" s="17">
        <f>DO76*VLOOKUP('Données projet'!$B$14,Paramètres!$A$1:$I$89,3,0)*VLOOKUP('Données projet'!$B$14,Paramètres!$A$1:$I$89,5,0)</f>
        <v>268.02441900000014</v>
      </c>
      <c r="DQ76" s="13">
        <f t="shared" si="97"/>
        <v>64.429822106997378</v>
      </c>
      <c r="DR76" s="20">
        <f t="shared" si="70"/>
        <v>579.02446992802072</v>
      </c>
      <c r="DS76" s="59">
        <f t="shared" si="71"/>
        <v>872.35780326135409</v>
      </c>
      <c r="DT76" s="59">
        <f ca="1">AVERAGE(OFFSET($DS$3,0,0,'Données projet'!$E$14+1,1))-AVERAGE(OFFSET($H$3,0,0,'Données projet'!$E$14+1,1))</f>
        <v>506.9153247310901</v>
      </c>
      <c r="DU76" s="59">
        <f t="shared" si="98"/>
        <v>247.31254626788319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22.927773979111173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22.927773979111173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6.7866666666666671</v>
      </c>
      <c r="N77" s="13">
        <f>IF('Données projet'!$A$36&gt;35,N76+M77-V76,IF(A77&lt;'Données projet'!$A$36,$K$205^A77,IF(A77='Données projet'!$A$36,'Données projet'!$B$36,N76+M77-V76)))</f>
        <v>265.93333333333328</v>
      </c>
      <c r="O77" s="13">
        <f>N77*VLOOKUP('Données projet'!$B$9,Paramètres!$A$1:$I$89,3,0)*VLOOKUP('Données projet'!$B$9,Paramètres!$A$1:$I$89,5,0)</f>
        <v>159.0281333333333</v>
      </c>
      <c r="P77" s="13">
        <f t="shared" si="87"/>
        <v>40.623230498118033</v>
      </c>
      <c r="Q77" s="20">
        <f t="shared" si="54"/>
        <v>347.72612533977775</v>
      </c>
      <c r="R77" s="59">
        <f t="shared" si="55"/>
        <v>641.05945867311107</v>
      </c>
      <c r="S77" s="59">
        <f ca="1">AVERAGE(OFFSET($R$3,0,0,'Données projet'!$E$9+1,1))-AVERAGE(OFFSET($H$3,0,0,'Données projet'!$E$9+1,1))</f>
        <v>193.8828274189392</v>
      </c>
      <c r="T77" s="59">
        <f t="shared" si="88"/>
        <v>179.13381331066427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21.01282114788722</v>
      </c>
      <c r="AA77" s="21">
        <f>EXP(-LN(2)/25)*AA76+(1-EXP(-LN(2)/25))/(LN(2)/25)*Calculateur!V77*Calculateur!X77*VLOOKUP('Données projet'!$B$9,Paramètres!$A$1:$I$89,3,0)*0.475*44/12</f>
        <v>11.073953122714331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32.086774270601552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8.0829999999999984</v>
      </c>
      <c r="AI77" s="13">
        <f>IF('Données projet'!$A$62&gt;35,AI76+AH77-AQ76,IF(A77&lt;'Données projet'!$A$62,$AF$205^A77,IF(A77='Données projet'!$A$62,'Données projet'!$B$62,AI76+AH77-AQ76)))</f>
        <v>351.65199999999948</v>
      </c>
      <c r="AJ77" s="13">
        <f>AI77*VLOOKUP('Données projet'!$B$10,Paramètres!$A$1:$I$89,3,0)*VLOOKUP('Données projet'!$B$10,Paramètres!$A$1:$I$89,5,0)</f>
        <v>210.28789599999971</v>
      </c>
      <c r="AK77" s="13">
        <f t="shared" si="89"/>
        <v>51.998493200533538</v>
      </c>
      <c r="AL77" s="20">
        <f t="shared" si="58"/>
        <v>456.81546119092872</v>
      </c>
      <c r="AM77" s="59">
        <f t="shared" si="59"/>
        <v>750.14879452426203</v>
      </c>
      <c r="AN77" s="59">
        <f ca="1">AVERAGE(OFFSET($AM$3,0,0,'Données projet'!$E$10+1,1))-AVERAGE(OFFSET($H$3,0,0,'Données projet'!$E$10+1,1))</f>
        <v>228.36873053496748</v>
      </c>
      <c r="AO77" s="59">
        <f t="shared" si="90"/>
        <v>177.73676400313303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38.712006517026765</v>
      </c>
      <c r="AV77" s="21">
        <f>EXP(-LN(2)/25)*AV76+(1-EXP(-LN(2)/25))/(LN(2)/25)*Calculateur!AQ77*Calculateur!AS77*VLOOKUP('Données projet'!$B$10,Paramètres!$A$1:$I$89,3,0)*0.475*44/12</f>
        <v>27.751409618674966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66.463416135701735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289.98372000000012</v>
      </c>
      <c r="BF77" s="13">
        <f t="shared" si="91"/>
        <v>69.072534609971271</v>
      </c>
      <c r="BG77" s="20">
        <f t="shared" si="61"/>
        <v>625.35631011236683</v>
      </c>
      <c r="BH77" s="59">
        <f t="shared" si="62"/>
        <v>918.68964344570009</v>
      </c>
      <c r="BI77" s="59">
        <f ca="1">AVERAGE(OFFSET($BH$3,0,0,'Données projet'!$E$11+1,1))-AVERAGE(OFFSET($H$3,0,0,'Données projet'!$E$11+1,1))</f>
        <v>534.59150243554586</v>
      </c>
      <c r="BJ77" s="59">
        <f t="shared" si="92"/>
        <v>259.04458689606491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37.274112534374488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37.274112534374488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2.6</v>
      </c>
      <c r="BY77" s="12">
        <f>IF('Données projet'!$A$114&gt;35,BY76+BX77-CG76,IF(A77&lt;'Données projet'!$A$114,$BV$205^A77,IF(A77='Données projet'!$A$114,'Données projet'!$B$114,BY76+BX77-CG76)))</f>
        <v>211.4</v>
      </c>
      <c r="BZ77" s="13">
        <f>BY77*VLOOKUP('Données projet'!$B$12,Paramètres!$A$1:$I$89,3,0)*VLOOKUP('Données projet'!$B$12,Paramètres!$A$1:$I$89,5,0)</f>
        <v>184.67904000000004</v>
      </c>
      <c r="CA77" s="13">
        <f t="shared" si="93"/>
        <v>46.361626470742223</v>
      </c>
      <c r="CB77" s="20">
        <f t="shared" si="64"/>
        <v>402.39582743654279</v>
      </c>
      <c r="CC77" s="59">
        <f t="shared" si="65"/>
        <v>695.7291607698761</v>
      </c>
      <c r="CD77" s="59">
        <f ca="1">AVERAGE(OFFSET($CC$3,0,0,'Données projet'!$E$12+1,1))-AVERAGE(OFFSET($H$3,0,0,'Données projet'!$E$12+1,1))</f>
        <v>211.91720528436969</v>
      </c>
      <c r="CE77" s="59">
        <f t="shared" si="94"/>
        <v>218.88548486038957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9.3295720922200793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9.3295720922200793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285.98</v>
      </c>
      <c r="CR77" s="12">
        <f>VLOOKUP(A77,'Données projet'!$A$139:$I$159,9,0)</f>
        <v>8.8662500000000044</v>
      </c>
      <c r="CS77" s="12">
        <f t="array" ref="CS77">INDEX(CR:CR,MIN(IF(ISNUMBER(CR77:CR273),ROW(CR77:CR273),"")))</f>
        <v>8.8662500000000044</v>
      </c>
      <c r="CT77" s="12">
        <f>IF('Données projet'!$A$140&gt;35,CT76+CS77-DB76,IF(A77&lt;'Données projet'!$A$140,$CQ$205^A77,IF(A77='Données projet'!$A$140,'Données projet'!$B$140,CT76+CS77-DB76)))</f>
        <v>285.98000000000008</v>
      </c>
      <c r="CU77" s="17">
        <f>CT77*VLOOKUP('Données projet'!$B$13,Paramètres!$A$1:$I$89,3,0)*VLOOKUP('Données projet'!$B$13,Paramètres!$A$1:$I$89,5,0)</f>
        <v>258.75470400000006</v>
      </c>
      <c r="CV77" s="13">
        <f t="shared" si="95"/>
        <v>62.456857045748947</v>
      </c>
      <c r="CW77" s="20">
        <f t="shared" si="67"/>
        <v>559.4434688213463</v>
      </c>
      <c r="CX77" s="59">
        <f t="shared" si="68"/>
        <v>852.77680215467967</v>
      </c>
      <c r="CY77" s="59">
        <f ca="1">AVERAGE(OFFSET($CX$3,0,0,'Données projet'!$E$13+1,1))-AVERAGE(OFFSET($H$3,0,0,'Données projet'!$E$13+1,1))</f>
        <v>469.97161976912071</v>
      </c>
      <c r="CZ77" s="59">
        <f t="shared" si="96"/>
        <v>231.65013084759306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0.25800000000000001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33.259977338364926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33.259977338364926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285.98</v>
      </c>
      <c r="DM77" s="12">
        <f>VLOOKUP(A77,'Données projet'!$A$165:$I$185,9,0)</f>
        <v>8.8662500000000044</v>
      </c>
      <c r="DN77" s="12">
        <f t="array" ref="DN77">INDEX(DM:DM,MIN(IF(ISNUMBER(DM77:DM273),ROW(DM77:DM273),"")))</f>
        <v>8.8662500000000044</v>
      </c>
      <c r="DO77" s="12">
        <f>IF('Données projet'!$A$166&gt;35,DO76+DN77-DW76,IF(A77&lt;'Données projet'!$A$166,$DL$205^A77,IF(A77='Données projet'!$A$166,'Données projet'!$B$166,DO76+DN77-DW76)))</f>
        <v>285.98000000000008</v>
      </c>
      <c r="DP77" s="17">
        <f>DO77*VLOOKUP('Données projet'!$B$14,Paramètres!$A$1:$I$89,3,0)*VLOOKUP('Données projet'!$B$14,Paramètres!$A$1:$I$89,5,0)</f>
        <v>276.59985600000005</v>
      </c>
      <c r="DQ77" s="13">
        <f t="shared" si="97"/>
        <v>66.247950571856578</v>
      </c>
      <c r="DR77" s="20">
        <f t="shared" si="70"/>
        <v>597.12659644598352</v>
      </c>
      <c r="DS77" s="59">
        <f t="shared" si="71"/>
        <v>890.45992977931678</v>
      </c>
      <c r="DT77" s="59">
        <f ca="1">AVERAGE(OFFSET($DS$3,0,0,'Données projet'!$E$14+1,1))-AVERAGE(OFFSET($H$3,0,0,'Données projet'!$E$14+1,1))</f>
        <v>506.9153247310901</v>
      </c>
      <c r="DU77" s="59">
        <f t="shared" si="98"/>
        <v>247.31254626788319</v>
      </c>
      <c r="DV77" s="15">
        <f>IF(ISNA(VLOOKUP(A77,'Données projet'!$A$165:$I$185,3,0)),0,VLOOKUP(A77,'Données projet'!$A$165:$I$185,3,0))</f>
        <v>5</v>
      </c>
      <c r="DW77" s="15">
        <f>IF(ISNA(VLOOKUP(A77,'Données projet'!$A$165:$I$185,4,0)),0,VLOOKUP(A77,'Données projet'!$A$165:$I$185,4,0))</f>
        <v>47.4</v>
      </c>
      <c r="DX77" s="16">
        <f>IF(ISNA(VLOOKUP(A77,'Données projet'!$A$165:$I$185,5,0)),0%,VLOOKUP(A77,'Données projet'!$A$165:$I$185,5,0)*VLOOKUP('Données projet'!$B$14,Paramètres!$A$1:$I$89,7,0))</f>
        <v>0.25800000000000001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35.553768878941817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35.553768878941817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272.72000000000003</v>
      </c>
      <c r="L78" s="12">
        <f>VLOOKUP(A78,'Données projet'!$A$35:$I$55,9,0)</f>
        <v>6.7866666666666671</v>
      </c>
      <c r="M78" s="12">
        <f t="array" ref="M78">INDEX(L:L,MIN(IF(ISNUMBER(L78:L274),ROW(L78:L274),"")))</f>
        <v>6.7866666666666671</v>
      </c>
      <c r="N78" s="13">
        <f>IF('Données projet'!$A$36&gt;35,N77+M78-V77,IF(A78&lt;'Données projet'!$A$36,$K$205^A78,IF(A78='Données projet'!$A$36,'Données projet'!$B$36,N77+M78-V77)))</f>
        <v>272.71999999999997</v>
      </c>
      <c r="O78" s="13">
        <f>N78*VLOOKUP('Données projet'!$B$9,Paramètres!$A$1:$I$89,3,0)*VLOOKUP('Données projet'!$B$9,Paramètres!$A$1:$I$89,5,0)</f>
        <v>163.08655999999999</v>
      </c>
      <c r="P78" s="13">
        <f t="shared" si="87"/>
        <v>41.537921555913933</v>
      </c>
      <c r="Q78" s="20">
        <f t="shared" si="54"/>
        <v>356.38763870988345</v>
      </c>
      <c r="R78" s="59">
        <f t="shared" si="55"/>
        <v>649.72097204321676</v>
      </c>
      <c r="S78" s="59">
        <f ca="1">AVERAGE(OFFSET($R$3,0,0,'Données projet'!$E$9+1,1))-AVERAGE(OFFSET($H$3,0,0,'Données projet'!$E$9+1,1))</f>
        <v>193.8828274189392</v>
      </c>
      <c r="T78" s="59">
        <f t="shared" si="88"/>
        <v>179.13381331066427</v>
      </c>
      <c r="U78" s="15">
        <f>IF(ISNA(VLOOKUP(A78,'Données projet'!$A$35:$I$55,3,0)),0,VLOOKUP(A78,'Données projet'!$A$35:$I$55,3,0))</f>
        <v>3</v>
      </c>
      <c r="V78" s="15">
        <f>IF(ISNA(VLOOKUP(A78,'Données projet'!$A$35:$I$55,4,0)),0,VLOOKUP(A78,'Données projet'!$A$35:$I$55,4,0))</f>
        <v>75.069999999999993</v>
      </c>
      <c r="W78" s="16">
        <f>IF(ISNA(VLOOKUP(A78,'Données projet'!$A$35:$I$55,5,0)),0%,VLOOKUP(A78,'Données projet'!$A$35:$I$55,5,0)*VLOOKUP('Données projet'!$B$9,Paramètres!$A$1:$I$89,7,0))</f>
        <v>0.315</v>
      </c>
      <c r="X78" s="16">
        <f>IF(ISNA(VLOOKUP(A78,'Données projet'!$A$35:$I$55,6,0)),0%,VLOOKUP(A78,'Données projet'!$A$35:$I$55,6,0)*VLOOKUP('Données projet'!$B$9,Paramètres!$A$1:$I$89,7,0))</f>
        <v>0.13500000000000001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39.359635473321461</v>
      </c>
      <c r="AA78" s="21">
        <f>EXP(-LN(2)/25)*AA77+(1-EXP(-LN(2)/25))/(LN(2)/25)*Calculateur!V78*Calculateur!X78*VLOOKUP('Données projet'!$B$9,Paramètres!$A$1:$I$89,3,0)*0.475*44/12</f>
        <v>18.778993352451309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58.13862882577277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8.0829999999999984</v>
      </c>
      <c r="AI78" s="13">
        <f>IF('Données projet'!$A$62&gt;35,AI77+AH78-AQ77,IF(A78&lt;'Données projet'!$A$62,$AF$205^A78,IF(A78='Données projet'!$A$62,'Données projet'!$B$62,AI77+AH78-AQ77)))</f>
        <v>359.73499999999945</v>
      </c>
      <c r="AJ78" s="13">
        <f>AI78*VLOOKUP('Données projet'!$B$10,Paramètres!$A$1:$I$89,3,0)*VLOOKUP('Données projet'!$B$10,Paramètres!$A$1:$I$89,5,0)</f>
        <v>215.12152999999969</v>
      </c>
      <c r="AK78" s="13">
        <f t="shared" si="89"/>
        <v>53.053194529655578</v>
      </c>
      <c r="AL78" s="20">
        <f t="shared" si="58"/>
        <v>467.07097855581628</v>
      </c>
      <c r="AM78" s="59">
        <f t="shared" si="59"/>
        <v>760.40431188914954</v>
      </c>
      <c r="AN78" s="59">
        <f ca="1">AVERAGE(OFFSET($AM$3,0,0,'Données projet'!$E$10+1,1))-AVERAGE(OFFSET($H$3,0,0,'Données projet'!$E$10+1,1))</f>
        <v>228.36873053496748</v>
      </c>
      <c r="AO78" s="59">
        <f t="shared" si="90"/>
        <v>177.73676400313303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37.952887681220353</v>
      </c>
      <c r="AV78" s="21">
        <f>EXP(-LN(2)/25)*AV77+(1-EXP(-LN(2)/25))/(LN(2)/25)*Calculateur!AQ78*Calculateur!AS78*VLOOKUP('Données projet'!$B$10,Paramètres!$A$1:$I$89,3,0)*0.475*44/12</f>
        <v>26.992545863269093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64.945433544489447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250.7185980000001</v>
      </c>
      <c r="BF78" s="13">
        <f t="shared" si="91"/>
        <v>60.739792084155006</v>
      </c>
      <c r="BG78" s="20">
        <f t="shared" si="61"/>
        <v>542.45669606323679</v>
      </c>
      <c r="BH78" s="59">
        <f t="shared" si="62"/>
        <v>835.79002939657016</v>
      </c>
      <c r="BI78" s="59">
        <f ca="1">AVERAGE(OFFSET($BH$3,0,0,'Données projet'!$E$11+1,1))-AVERAGE(OFFSET($H$3,0,0,'Données projet'!$E$11+1,1))</f>
        <v>534.59150243554586</v>
      </c>
      <c r="BJ78" s="59">
        <f t="shared" si="92"/>
        <v>259.04458689606491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36.543189922539156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36.543189922539156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214</v>
      </c>
      <c r="BW78" s="12">
        <f>VLOOKUP(A78,'Données projet'!$A$113:$I$133,9,0)</f>
        <v>2.6</v>
      </c>
      <c r="BX78" s="12">
        <f t="array" ref="BX78">INDEX(BW:BW,MIN(IF(ISNUMBER(BW78:BW274),ROW(BW78:BW274),"")))</f>
        <v>2.6</v>
      </c>
      <c r="BY78" s="12">
        <f>IF('Données projet'!$A$114&gt;35,BY77+BX78-CG77,IF(A78&lt;'Données projet'!$A$114,$BV$205^A78,IF(A78='Données projet'!$A$114,'Données projet'!$B$114,BY77+BX78-CG77)))</f>
        <v>214</v>
      </c>
      <c r="BZ78" s="13">
        <f>BY78*VLOOKUP('Données projet'!$B$12,Paramètres!$A$1:$I$89,3,0)*VLOOKUP('Données projet'!$B$12,Paramètres!$A$1:$I$89,5,0)</f>
        <v>186.95040000000003</v>
      </c>
      <c r="CA78" s="13">
        <f t="shared" si="93"/>
        <v>46.865095976617653</v>
      </c>
      <c r="CB78" s="20">
        <f t="shared" si="64"/>
        <v>407.22865549260911</v>
      </c>
      <c r="CC78" s="59">
        <f t="shared" si="65"/>
        <v>700.56198882594242</v>
      </c>
      <c r="CD78" s="59">
        <f ca="1">AVERAGE(OFFSET($CC$3,0,0,'Données projet'!$E$12+1,1))-AVERAGE(OFFSET($H$3,0,0,'Données projet'!$E$12+1,1))</f>
        <v>211.91720528436969</v>
      </c>
      <c r="CE78" s="59">
        <f t="shared" si="94"/>
        <v>218.88548486038957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7</v>
      </c>
      <c r="CH78" s="16">
        <f>IF(ISNA(VLOOKUP(A78,'Données projet'!$A$113:$I$133,5,0)),0%,VLOOKUP(A78,'Données projet'!$A$113:$I$133,5,0)*VLOOKUP('Données projet'!$B$12,Paramètres!$A$1:$I$89,7,0))</f>
        <v>0.318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11.296359717813258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11.296359717813258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8.6770000000000014</v>
      </c>
      <c r="CT78" s="12">
        <f>IF('Données projet'!$A$140&gt;35,CT77+CS78-DB77,IF(A78&lt;'Données projet'!$A$140,$CQ$205^A78,IF(A78='Données projet'!$A$140,'Données projet'!$B$140,CT77+CS78-DB77)))</f>
        <v>247.25700000000009</v>
      </c>
      <c r="CU78" s="17">
        <f>CT78*VLOOKUP('Données projet'!$B$13,Paramètres!$A$1:$I$89,3,0)*VLOOKUP('Données projet'!$B$13,Paramètres!$A$1:$I$89,5,0)</f>
        <v>223.71813360000007</v>
      </c>
      <c r="CV78" s="13">
        <f t="shared" si="95"/>
        <v>54.92221376571495</v>
      </c>
      <c r="CW78" s="20">
        <f t="shared" si="67"/>
        <v>485.29860499528695</v>
      </c>
      <c r="CX78" s="59">
        <f t="shared" si="68"/>
        <v>778.63193832862021</v>
      </c>
      <c r="CY78" s="59">
        <f ca="1">AVERAGE(OFFSET($CX$3,0,0,'Données projet'!$E$13+1,1))-AVERAGE(OFFSET($H$3,0,0,'Données projet'!$E$13+1,1))</f>
        <v>469.97161976912071</v>
      </c>
      <c r="CZ78" s="59">
        <f t="shared" si="96"/>
        <v>231.65013084759306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32.607769469342635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32.607769469342635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8.6770000000000014</v>
      </c>
      <c r="DO78" s="12">
        <f>IF('Données projet'!$A$166&gt;35,DO77+DN78-DW77,IF(A78&lt;'Données projet'!$A$166,$DL$205^A78,IF(A78='Données projet'!$A$166,'Données projet'!$B$166,DO77+DN78-DW77)))</f>
        <v>247.25700000000009</v>
      </c>
      <c r="DP78" s="17">
        <f>DO78*VLOOKUP('Données projet'!$B$14,Paramètres!$A$1:$I$89,3,0)*VLOOKUP('Données projet'!$B$14,Paramètres!$A$1:$I$89,5,0)</f>
        <v>239.1469704000001</v>
      </c>
      <c r="DQ78" s="13">
        <f t="shared" si="97"/>
        <v>58.255958992346976</v>
      </c>
      <c r="DR78" s="20">
        <f t="shared" si="70"/>
        <v>517.97676869167117</v>
      </c>
      <c r="DS78" s="59">
        <f t="shared" si="71"/>
        <v>811.31010202500443</v>
      </c>
      <c r="DT78" s="59">
        <f ca="1">AVERAGE(OFFSET($DS$3,0,0,'Données projet'!$E$14+1,1))-AVERAGE(OFFSET($H$3,0,0,'Données projet'!$E$14+1,1))</f>
        <v>506.9153247310901</v>
      </c>
      <c r="DU78" s="59">
        <f t="shared" si="98"/>
        <v>247.31254626788319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34.8565811568835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34.8565811568835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6.2826666666666631</v>
      </c>
      <c r="N79" s="13">
        <f>IF('Données projet'!$A$36&gt;35,N78+M79-V78,IF(A79&lt;'Données projet'!$A$36,$K$205^A79,IF(A79='Données projet'!$A$36,'Données projet'!$B$36,N78+M79-V78)))</f>
        <v>203.93266666666665</v>
      </c>
      <c r="O79" s="13">
        <f>N79*VLOOKUP('Données projet'!$B$9,Paramètres!$A$1:$I$89,3,0)*VLOOKUP('Données projet'!$B$9,Paramètres!$A$1:$I$89,5,0)</f>
        <v>121.95173466666667</v>
      </c>
      <c r="P79" s="13">
        <f t="shared" si="87"/>
        <v>32.129781041923692</v>
      </c>
      <c r="Q79" s="20">
        <f t="shared" si="54"/>
        <v>268.35863985912823</v>
      </c>
      <c r="R79" s="59">
        <f t="shared" si="55"/>
        <v>561.69197319246155</v>
      </c>
      <c r="S79" s="59">
        <f ca="1">AVERAGE(OFFSET($R$3,0,0,'Données projet'!$E$9+1,1))-AVERAGE(OFFSET($H$3,0,0,'Données projet'!$E$9+1,1))</f>
        <v>193.8828274189392</v>
      </c>
      <c r="T79" s="59">
        <f t="shared" si="88"/>
        <v>179.13381331066427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38.587817028696769</v>
      </c>
      <c r="AA79" s="21">
        <f>EXP(-LN(2)/25)*AA78+(1-EXP(-LN(2)/25))/(LN(2)/25)*Calculateur!V79*Calculateur!X79*VLOOKUP('Données projet'!$B$9,Paramètres!$A$1:$I$89,3,0)*0.475*44/12</f>
        <v>18.265480791684187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56.853297820380959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8.0829999999999984</v>
      </c>
      <c r="AI79" s="13">
        <f>IF('Données projet'!$A$62&gt;35,AI78+AH79-AQ78,IF(A79&lt;'Données projet'!$A$62,$AF$205^A79,IF(A79='Données projet'!$A$62,'Données projet'!$B$62,AI78+AH79-AQ78)))</f>
        <v>367.81799999999942</v>
      </c>
      <c r="AJ79" s="13">
        <f>AI79*VLOOKUP('Données projet'!$B$10,Paramètres!$A$1:$I$89,3,0)*VLOOKUP('Données projet'!$B$10,Paramètres!$A$1:$I$89,5,0)</f>
        <v>219.95516399999968</v>
      </c>
      <c r="AK79" s="13">
        <f t="shared" si="89"/>
        <v>54.105140721927512</v>
      </c>
      <c r="AL79" s="20">
        <f t="shared" si="58"/>
        <v>477.32169739068991</v>
      </c>
      <c r="AM79" s="59">
        <f t="shared" si="59"/>
        <v>770.65503072402316</v>
      </c>
      <c r="AN79" s="59">
        <f ca="1">AVERAGE(OFFSET($AM$3,0,0,'Données projet'!$E$10+1,1))-AVERAGE(OFFSET($H$3,0,0,'Données projet'!$E$10+1,1))</f>
        <v>228.36873053496748</v>
      </c>
      <c r="AO79" s="59">
        <f t="shared" si="90"/>
        <v>177.73676400313303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37.208654702767333</v>
      </c>
      <c r="AV79" s="21">
        <f>EXP(-LN(2)/25)*AV78+(1-EXP(-LN(2)/25))/(LN(2)/25)*Calculateur!AQ79*Calculateur!AS79*VLOOKUP('Données projet'!$B$10,Paramètres!$A$1:$I$89,3,0)*0.475*44/12</f>
        <v>26.254433277161706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63.463087979929043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259.51707600000009</v>
      </c>
      <c r="BF79" s="13">
        <f t="shared" si="91"/>
        <v>62.619426939193161</v>
      </c>
      <c r="BG79" s="20">
        <f t="shared" si="61"/>
        <v>561.05440928576149</v>
      </c>
      <c r="BH79" s="59">
        <f t="shared" si="62"/>
        <v>854.38774261909475</v>
      </c>
      <c r="BI79" s="59">
        <f ca="1">AVERAGE(OFFSET($BH$3,0,0,'Données projet'!$E$11+1,1))-AVERAGE(OFFSET($H$3,0,0,'Données projet'!$E$11+1,1))</f>
        <v>534.59150243554586</v>
      </c>
      <c r="BJ79" s="59">
        <f t="shared" si="92"/>
        <v>259.04458689606491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35.826600257303149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35.826600257303149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2.4</v>
      </c>
      <c r="BY79" s="12">
        <f>IF('Données projet'!$A$114&gt;35,BY78+BX79-CG78,IF(A79&lt;'Données projet'!$A$114,$BV$205^A79,IF(A79='Données projet'!$A$114,'Données projet'!$B$114,BY78+BX79-CG78)))</f>
        <v>209.4</v>
      </c>
      <c r="BZ79" s="13">
        <f>BY79*VLOOKUP('Données projet'!$B$12,Paramètres!$A$1:$I$89,3,0)*VLOOKUP('Données projet'!$B$12,Paramètres!$A$1:$I$89,5,0)</f>
        <v>182.93184000000002</v>
      </c>
      <c r="CA79" s="13">
        <f t="shared" si="93"/>
        <v>45.973851929814685</v>
      </c>
      <c r="CB79" s="20">
        <f t="shared" si="64"/>
        <v>398.67741344442726</v>
      </c>
      <c r="CC79" s="59">
        <f t="shared" si="65"/>
        <v>692.01074677776057</v>
      </c>
      <c r="CD79" s="59">
        <f ca="1">AVERAGE(OFFSET($CC$3,0,0,'Données projet'!$E$12+1,1))-AVERAGE(OFFSET($H$3,0,0,'Données projet'!$E$12+1,1))</f>
        <v>211.91720528436969</v>
      </c>
      <c r="CE79" s="59">
        <f t="shared" si="94"/>
        <v>218.88548486038957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11.074844993846028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11.074844993846028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8.6770000000000014</v>
      </c>
      <c r="CT79" s="12">
        <f>IF('Données projet'!$A$140&gt;35,CT78+CS79-DB78,IF(A79&lt;'Données projet'!$A$140,$CQ$205^A79,IF(A79='Données projet'!$A$140,'Données projet'!$B$140,CT78+CS79-DB78)))</f>
        <v>255.93400000000008</v>
      </c>
      <c r="CU79" s="17">
        <f>CT79*VLOOKUP('Données projet'!$B$13,Paramètres!$A$1:$I$89,3,0)*VLOOKUP('Données projet'!$B$13,Paramètres!$A$1:$I$89,5,0)</f>
        <v>231.56908320000005</v>
      </c>
      <c r="CV79" s="13">
        <f t="shared" si="95"/>
        <v>56.621819638037671</v>
      </c>
      <c r="CW79" s="20">
        <f t="shared" si="67"/>
        <v>501.93248910958238</v>
      </c>
      <c r="CX79" s="59">
        <f t="shared" si="68"/>
        <v>795.26582244291569</v>
      </c>
      <c r="CY79" s="59">
        <f ca="1">AVERAGE(OFFSET($CX$3,0,0,'Données projet'!$E$13+1,1))-AVERAGE(OFFSET($H$3,0,0,'Données projet'!$E$13+1,1))</f>
        <v>469.97161976912071</v>
      </c>
      <c r="CZ79" s="59">
        <f t="shared" si="96"/>
        <v>231.65013084759306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31.968350998824349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31.968350998824349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8.6770000000000014</v>
      </c>
      <c r="DO79" s="12">
        <f>IF('Données projet'!$A$166&gt;35,DO78+DN79-DW78,IF(A79&lt;'Données projet'!$A$166,$DL$205^A79,IF(A79='Données projet'!$A$166,'Données projet'!$B$166,DO78+DN79-DW78)))</f>
        <v>255.93400000000008</v>
      </c>
      <c r="DP79" s="17">
        <f>DO79*VLOOKUP('Données projet'!$B$14,Paramètres!$A$1:$I$89,3,0)*VLOOKUP('Données projet'!$B$14,Paramètres!$A$1:$I$89,5,0)</f>
        <v>247.5393648000001</v>
      </c>
      <c r="DQ79" s="13">
        <f t="shared" si="97"/>
        <v>60.058729915302607</v>
      </c>
      <c r="DR79" s="20">
        <f t="shared" si="70"/>
        <v>535.73334829581881</v>
      </c>
      <c r="DS79" s="59">
        <f t="shared" si="71"/>
        <v>829.06668162915207</v>
      </c>
      <c r="DT79" s="59">
        <f ca="1">AVERAGE(OFFSET($DS$3,0,0,'Données projet'!$E$14+1,1))-AVERAGE(OFFSET($H$3,0,0,'Données projet'!$E$14+1,1))</f>
        <v>506.9153247310901</v>
      </c>
      <c r="DU79" s="59">
        <f t="shared" si="98"/>
        <v>247.31254626788319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34.173064860812232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34.173064860812232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6.2826666666666631</v>
      </c>
      <c r="N80" s="13">
        <f>IF('Données projet'!$A$36&gt;35,N79+M80-V79,IF(A80&lt;'Données projet'!$A$36,$K$205^A80,IF(A80='Données projet'!$A$36,'Données projet'!$B$36,N79+M80-V79)))</f>
        <v>210.21533333333332</v>
      </c>
      <c r="O80" s="13">
        <f>N80*VLOOKUP('Données projet'!$B$9,Paramètres!$A$1:$I$89,3,0)*VLOOKUP('Données projet'!$B$9,Paramètres!$A$1:$I$89,5,0)</f>
        <v>125.70876933333332</v>
      </c>
      <c r="P80" s="13">
        <f t="shared" si="87"/>
        <v>33.002853131212461</v>
      </c>
      <c r="Q80" s="20">
        <f t="shared" si="54"/>
        <v>276.42274245908385</v>
      </c>
      <c r="R80" s="59">
        <f t="shared" si="55"/>
        <v>569.75607579241716</v>
      </c>
      <c r="S80" s="59">
        <f ca="1">AVERAGE(OFFSET($R$3,0,0,'Données projet'!$E$9+1,1))-AVERAGE(OFFSET($H$3,0,0,'Données projet'!$E$9+1,1))</f>
        <v>193.8828274189392</v>
      </c>
      <c r="T80" s="59">
        <f t="shared" si="88"/>
        <v>179.13381331066427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37.8311334730084</v>
      </c>
      <c r="AA80" s="21">
        <f>EXP(-LN(2)/25)*AA79+(1-EXP(-LN(2)/25))/(LN(2)/25)*Calculateur!V80*Calculateur!X80*VLOOKUP('Données projet'!$B$9,Paramètres!$A$1:$I$89,3,0)*0.475*44/12</f>
        <v>17.766010258895694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55.597143731904097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8.0829999999999984</v>
      </c>
      <c r="AI80" s="13">
        <f>IF('Données projet'!$A$62&gt;35,AI79+AH80-AQ79,IF(A80&lt;'Données projet'!$A$62,$AF$205^A80,IF(A80='Données projet'!$A$62,'Données projet'!$B$62,AI79+AH80-AQ79)))</f>
        <v>375.90099999999939</v>
      </c>
      <c r="AJ80" s="13">
        <f>AI80*VLOOKUP('Données projet'!$B$10,Paramètres!$A$1:$I$89,3,0)*VLOOKUP('Données projet'!$B$10,Paramètres!$A$1:$I$89,5,0)</f>
        <v>224.78879799999967</v>
      </c>
      <c r="AK80" s="13">
        <f t="shared" si="89"/>
        <v>55.154399295088197</v>
      </c>
      <c r="AL80" s="20">
        <f t="shared" si="58"/>
        <v>487.56773528894473</v>
      </c>
      <c r="AM80" s="59">
        <f t="shared" si="59"/>
        <v>780.90106862227799</v>
      </c>
      <c r="AN80" s="59">
        <f ca="1">AVERAGE(OFFSET($AM$3,0,0,'Données projet'!$E$10+1,1))-AVERAGE(OFFSET($H$3,0,0,'Données projet'!$E$10+1,1))</f>
        <v>228.36873053496748</v>
      </c>
      <c r="AO80" s="59">
        <f t="shared" si="90"/>
        <v>177.73676400313303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36.479015679084483</v>
      </c>
      <c r="AV80" s="21">
        <f>EXP(-LN(2)/25)*AV79+(1-EXP(-LN(2)/25))/(LN(2)/25)*Calculateur!AQ80*Calculateur!AS80*VLOOKUP('Données projet'!$B$10,Paramètres!$A$1:$I$89,3,0)*0.475*44/12</f>
        <v>25.536504418537078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62.015520097621561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268.31555400000013</v>
      </c>
      <c r="BF80" s="13">
        <f t="shared" si="91"/>
        <v>64.491657233004062</v>
      </c>
      <c r="BG80" s="20">
        <f t="shared" si="61"/>
        <v>579.63922623081567</v>
      </c>
      <c r="BH80" s="59">
        <f t="shared" si="62"/>
        <v>872.97255956414892</v>
      </c>
      <c r="BI80" s="59">
        <f ca="1">AVERAGE(OFFSET($BH$3,0,0,'Données projet'!$E$11+1,1))-AVERAGE(OFFSET($H$3,0,0,'Données projet'!$E$11+1,1))</f>
        <v>534.59150243554586</v>
      </c>
      <c r="BJ80" s="59">
        <f t="shared" si="92"/>
        <v>259.04458689606491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35.124062478325875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35.124062478325875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2.4</v>
      </c>
      <c r="BY80" s="12">
        <f>IF('Données projet'!$A$114&gt;35,BY79+BX80-CG79,IF(A80&lt;'Données projet'!$A$114,$BV$205^A80,IF(A80='Données projet'!$A$114,'Données projet'!$B$114,BY79+BX80-CG79)))</f>
        <v>211.8</v>
      </c>
      <c r="BZ80" s="13">
        <f>BY80*VLOOKUP('Données projet'!$B$12,Paramètres!$A$1:$I$89,3,0)*VLOOKUP('Données projet'!$B$12,Paramètres!$A$1:$I$89,5,0)</f>
        <v>185.02848000000003</v>
      </c>
      <c r="CA80" s="13">
        <f t="shared" si="93"/>
        <v>46.43913001874585</v>
      </c>
      <c r="CB80" s="20">
        <f t="shared" si="64"/>
        <v>403.13942078264904</v>
      </c>
      <c r="CC80" s="59">
        <f t="shared" si="65"/>
        <v>696.4727541159823</v>
      </c>
      <c r="CD80" s="59">
        <f ca="1">AVERAGE(OFFSET($CC$3,0,0,'Données projet'!$E$12+1,1))-AVERAGE(OFFSET($H$3,0,0,'Données projet'!$E$12+1,1))</f>
        <v>211.91720528436969</v>
      </c>
      <c r="CE80" s="59">
        <f t="shared" si="94"/>
        <v>218.88548486038957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10.857674038505154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10.857674038505154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8.6770000000000014</v>
      </c>
      <c r="CT80" s="12">
        <f>IF('Données projet'!$A$140&gt;35,CT79+CS80-DB79,IF(A80&lt;'Données projet'!$A$140,$CQ$205^A80,IF(A80='Données projet'!$A$140,'Données projet'!$B$140,CT79+CS80-DB79)))</f>
        <v>264.6110000000001</v>
      </c>
      <c r="CU80" s="17">
        <f>CT80*VLOOKUP('Données projet'!$B$13,Paramètres!$A$1:$I$89,3,0)*VLOOKUP('Données projet'!$B$13,Paramètres!$A$1:$I$89,5,0)</f>
        <v>239.42003280000009</v>
      </c>
      <c r="CV80" s="13">
        <f t="shared" si="95"/>
        <v>58.314730148380967</v>
      </c>
      <c r="CW80" s="20">
        <f t="shared" si="67"/>
        <v>518.55471213509702</v>
      </c>
      <c r="CX80" s="59">
        <f t="shared" si="68"/>
        <v>811.88804546843039</v>
      </c>
      <c r="CY80" s="59">
        <f ca="1">AVERAGE(OFFSET($CX$3,0,0,'Données projet'!$E$13+1,1))-AVERAGE(OFFSET($H$3,0,0,'Données projet'!$E$13+1,1))</f>
        <v>469.97161976912071</v>
      </c>
      <c r="CZ80" s="59">
        <f t="shared" si="96"/>
        <v>231.65013084759306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31.341471134506168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31.341471134506168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8.6770000000000014</v>
      </c>
      <c r="DO80" s="12">
        <f>IF('Données projet'!$A$166&gt;35,DO79+DN80-DW79,IF(A80&lt;'Données projet'!$A$166,$DL$205^A80,IF(A80='Données projet'!$A$166,'Données projet'!$B$166,DO79+DN80-DW79)))</f>
        <v>264.6110000000001</v>
      </c>
      <c r="DP80" s="17">
        <f>DO80*VLOOKUP('Données projet'!$B$14,Paramètres!$A$1:$I$89,3,0)*VLOOKUP('Données projet'!$B$14,Paramètres!$A$1:$I$89,5,0)</f>
        <v>255.9317592000001</v>
      </c>
      <c r="DQ80" s="13">
        <f t="shared" si="97"/>
        <v>61.854399071847673</v>
      </c>
      <c r="DR80" s="20">
        <f t="shared" si="70"/>
        <v>553.47755899013487</v>
      </c>
      <c r="DS80" s="59">
        <f t="shared" si="71"/>
        <v>846.81089232346812</v>
      </c>
      <c r="DT80" s="59">
        <f ca="1">AVERAGE(OFFSET($DS$3,0,0,'Données projet'!$E$14+1,1))-AVERAGE(OFFSET($H$3,0,0,'Données projet'!$E$14+1,1))</f>
        <v>506.9153247310901</v>
      </c>
      <c r="DU80" s="59">
        <f t="shared" si="98"/>
        <v>247.31254626788319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33.50295190240314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33.50295190240314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6.2826666666666631</v>
      </c>
      <c r="N81" s="13">
        <f>IF('Données projet'!$A$36&gt;35,N80+M81-V80,IF(A81&lt;'Données projet'!$A$36,$K$205^A81,IF(A81='Données projet'!$A$36,'Données projet'!$B$36,N80+M81-V80)))</f>
        <v>216.49799999999999</v>
      </c>
      <c r="O81" s="13">
        <f>N81*VLOOKUP('Données projet'!$B$9,Paramètres!$A$1:$I$89,3,0)*VLOOKUP('Données projet'!$B$9,Paramètres!$A$1:$I$89,5,0)</f>
        <v>129.46580399999999</v>
      </c>
      <c r="P81" s="13">
        <f t="shared" si="87"/>
        <v>33.872892755257119</v>
      </c>
      <c r="Q81" s="20">
        <f t="shared" si="54"/>
        <v>284.48156351540609</v>
      </c>
      <c r="R81" s="59">
        <f t="shared" si="55"/>
        <v>577.81489684873941</v>
      </c>
      <c r="S81" s="59">
        <f ca="1">AVERAGE(OFFSET($R$3,0,0,'Données projet'!$E$9+1,1))-AVERAGE(OFFSET($H$3,0,0,'Données projet'!$E$9+1,1))</f>
        <v>193.8828274189392</v>
      </c>
      <c r="T81" s="59">
        <f t="shared" si="88"/>
        <v>179.13381331066427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37.089288020315685</v>
      </c>
      <c r="AA81" s="21">
        <f>EXP(-LN(2)/25)*AA80+(1-EXP(-LN(2)/25))/(LN(2)/25)*Calculateur!V81*Calculateur!X81*VLOOKUP('Données projet'!$B$9,Paramètres!$A$1:$I$89,3,0)*0.475*44/12</f>
        <v>17.280197774092315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54.369485794408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8.0829999999999984</v>
      </c>
      <c r="AI81" s="13">
        <f>IF('Données projet'!$A$62&gt;35,AI80+AH81-AQ80,IF(A81&lt;'Données projet'!$A$62,$AF$205^A81,IF(A81='Données projet'!$A$62,'Données projet'!$B$62,AI80+AH81-AQ80)))</f>
        <v>383.98399999999936</v>
      </c>
      <c r="AJ81" s="13">
        <f>AI81*VLOOKUP('Données projet'!$B$10,Paramètres!$A$1:$I$89,3,0)*VLOOKUP('Données projet'!$B$10,Paramètres!$A$1:$I$89,5,0)</f>
        <v>229.62243199999966</v>
      </c>
      <c r="AK81" s="13">
        <f t="shared" si="89"/>
        <v>56.201034697346252</v>
      </c>
      <c r="AL81" s="20">
        <f t="shared" si="58"/>
        <v>497.80920449787737</v>
      </c>
      <c r="AM81" s="59">
        <f t="shared" si="59"/>
        <v>791.14253783121069</v>
      </c>
      <c r="AN81" s="59">
        <f ca="1">AVERAGE(OFFSET($AM$3,0,0,'Données projet'!$E$10+1,1))-AVERAGE(OFFSET($H$3,0,0,'Données projet'!$E$10+1,1))</f>
        <v>228.36873053496748</v>
      </c>
      <c r="AO81" s="59">
        <f t="shared" si="90"/>
        <v>177.73676400313303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35.763684431620199</v>
      </c>
      <c r="AV81" s="21">
        <f>EXP(-LN(2)/25)*AV80+(1-EXP(-LN(2)/25))/(LN(2)/25)*Calculateur!AQ81*Calculateur!AS81*VLOOKUP('Données projet'!$B$10,Paramètres!$A$1:$I$89,3,0)*0.475*44/12</f>
        <v>24.838207362305777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60.601891793925972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277.11403200000018</v>
      </c>
      <c r="BF81" s="13">
        <f t="shared" si="91"/>
        <v>66.356753617040368</v>
      </c>
      <c r="BG81" s="20">
        <f t="shared" si="61"/>
        <v>598.21161828301217</v>
      </c>
      <c r="BH81" s="59">
        <f t="shared" si="62"/>
        <v>891.54495161634554</v>
      </c>
      <c r="BI81" s="59">
        <f ca="1">AVERAGE(OFFSET($BH$3,0,0,'Données projet'!$E$11+1,1))-AVERAGE(OFFSET($H$3,0,0,'Données projet'!$E$11+1,1))</f>
        <v>534.59150243554586</v>
      </c>
      <c r="BJ81" s="59">
        <f t="shared" si="92"/>
        <v>259.04458689606491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34.435301036688614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34.435301036688614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2.4</v>
      </c>
      <c r="BY81" s="12">
        <f>IF('Données projet'!$A$114&gt;35,BY80+BX81-CG80,IF(A81&lt;'Données projet'!$A$114,$BV$205^A81,IF(A81='Données projet'!$A$114,'Données projet'!$B$114,BY80+BX81-CG80)))</f>
        <v>214.20000000000002</v>
      </c>
      <c r="BZ81" s="13">
        <f>BY81*VLOOKUP('Données projet'!$B$12,Paramètres!$A$1:$I$89,3,0)*VLOOKUP('Données projet'!$B$12,Paramètres!$A$1:$I$89,5,0)</f>
        <v>187.12512000000004</v>
      </c>
      <c r="CA81" s="13">
        <f t="shared" si="93"/>
        <v>46.903794805770545</v>
      </c>
      <c r="CB81" s="20">
        <f t="shared" si="64"/>
        <v>407.60035995338376</v>
      </c>
      <c r="CC81" s="59">
        <f t="shared" si="65"/>
        <v>700.93369328671702</v>
      </c>
      <c r="CD81" s="59">
        <f ca="1">AVERAGE(OFFSET($CC$3,0,0,'Données projet'!$E$12+1,1))-AVERAGE(OFFSET($H$3,0,0,'Données projet'!$E$12+1,1))</f>
        <v>211.91720528436969</v>
      </c>
      <c r="CE81" s="59">
        <f t="shared" si="94"/>
        <v>218.88548486038957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10.644761673137312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10.644761673137312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8.6770000000000014</v>
      </c>
      <c r="CT81" s="12">
        <f>IF('Données projet'!$A$140&gt;35,CT80+CS81-DB80,IF(A81&lt;'Données projet'!$A$140,$CQ$205^A81,IF(A81='Données projet'!$A$140,'Données projet'!$B$140,CT80+CS81-DB80)))</f>
        <v>273.28800000000012</v>
      </c>
      <c r="CU81" s="17">
        <f>CT81*VLOOKUP('Données projet'!$B$13,Paramètres!$A$1:$I$89,3,0)*VLOOKUP('Données projet'!$B$13,Paramètres!$A$1:$I$89,5,0)</f>
        <v>247.27098240000012</v>
      </c>
      <c r="CV81" s="13">
        <f t="shared" si="95"/>
        <v>60.001190025553029</v>
      </c>
      <c r="CW81" s="20">
        <f t="shared" si="67"/>
        <v>535.16570030783839</v>
      </c>
      <c r="CX81" s="59">
        <f t="shared" si="68"/>
        <v>828.49903364117176</v>
      </c>
      <c r="CY81" s="59">
        <f ca="1">AVERAGE(OFFSET($CX$3,0,0,'Données projet'!$E$13+1,1))-AVERAGE(OFFSET($H$3,0,0,'Données projet'!$E$13+1,1))</f>
        <v>469.97161976912071</v>
      </c>
      <c r="CZ81" s="59">
        <f t="shared" si="96"/>
        <v>231.65013084759306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30.726884001968305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30.726884001968305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8.6770000000000014</v>
      </c>
      <c r="DO81" s="12">
        <f>IF('Données projet'!$A$166&gt;35,DO80+DN81-DW80,IF(A81&lt;'Données projet'!$A$166,$DL$205^A81,IF(A81='Données projet'!$A$166,'Données projet'!$B$166,DO80+DN81-DW80)))</f>
        <v>273.28800000000012</v>
      </c>
      <c r="DP81" s="17">
        <f>DO81*VLOOKUP('Données projet'!$B$14,Paramètres!$A$1:$I$89,3,0)*VLOOKUP('Données projet'!$B$14,Paramètres!$A$1:$I$89,5,0)</f>
        <v>264.32415360000016</v>
      </c>
      <c r="DQ81" s="13">
        <f t="shared" si="97"/>
        <v>63.643226045681423</v>
      </c>
      <c r="DR81" s="20">
        <f t="shared" si="70"/>
        <v>571.20985288289546</v>
      </c>
      <c r="DS81" s="59">
        <f t="shared" si="71"/>
        <v>864.54318621622883</v>
      </c>
      <c r="DT81" s="59">
        <f ca="1">AVERAGE(OFFSET($DS$3,0,0,'Données projet'!$E$14+1,1))-AVERAGE(OFFSET($H$3,0,0,'Données projet'!$E$14+1,1))</f>
        <v>506.9153247310901</v>
      </c>
      <c r="DU81" s="59">
        <f t="shared" si="98"/>
        <v>247.31254626788319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32.845979450379907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32.845979450379907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6.2826666666666631</v>
      </c>
      <c r="N82" s="13">
        <f>IF('Données projet'!$A$36&gt;35,N81+M82-V81,IF(A82&lt;'Données projet'!$A$36,$K$205^A82,IF(A82='Données projet'!$A$36,'Données projet'!$B$36,N81+M82-V81)))</f>
        <v>222.78066666666666</v>
      </c>
      <c r="O82" s="13">
        <f>N82*VLOOKUP('Données projet'!$B$9,Paramètres!$A$1:$I$89,3,0)*VLOOKUP('Données projet'!$B$9,Paramètres!$A$1:$I$89,5,0)</f>
        <v>133.22283866666666</v>
      </c>
      <c r="P82" s="13">
        <f t="shared" si="87"/>
        <v>34.739998020170823</v>
      </c>
      <c r="Q82" s="20">
        <f t="shared" si="54"/>
        <v>292.5352738962419</v>
      </c>
      <c r="R82" s="59">
        <f t="shared" si="55"/>
        <v>585.86860722957522</v>
      </c>
      <c r="S82" s="59">
        <f ca="1">AVERAGE(OFFSET($R$3,0,0,'Données projet'!$E$9+1,1))-AVERAGE(OFFSET($H$3,0,0,'Données projet'!$E$9+1,1))</f>
        <v>193.8828274189392</v>
      </c>
      <c r="T82" s="59">
        <f t="shared" si="88"/>
        <v>179.13381331066427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36.361989704469224</v>
      </c>
      <c r="AA82" s="21">
        <f>EXP(-LN(2)/25)*AA81+(1-EXP(-LN(2)/25))/(LN(2)/25)*Calculateur!V82*Calculateur!X82*VLOOKUP('Données projet'!$B$9,Paramètres!$A$1:$I$89,3,0)*0.475*44/12</f>
        <v>16.807669857233655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53.169659561702879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8.0829999999999984</v>
      </c>
      <c r="AI82" s="13">
        <f>IF('Données projet'!$A$62&gt;35,AI81+AH82-AQ81,IF(A82&lt;'Données projet'!$A$62,$AF$205^A82,IF(A82='Données projet'!$A$62,'Données projet'!$B$62,AI81+AH82-AQ81)))</f>
        <v>392.06699999999933</v>
      </c>
      <c r="AJ82" s="13">
        <f>AI82*VLOOKUP('Données projet'!$B$10,Paramètres!$A$1:$I$89,3,0)*VLOOKUP('Données projet'!$B$10,Paramètres!$A$1:$I$89,5,0)</f>
        <v>234.45606599999959</v>
      </c>
      <c r="AK82" s="13">
        <f t="shared" si="89"/>
        <v>57.245108508558658</v>
      </c>
      <c r="AL82" s="20">
        <f t="shared" si="58"/>
        <v>508.04621226907233</v>
      </c>
      <c r="AM82" s="59">
        <f t="shared" si="59"/>
        <v>801.37954560240564</v>
      </c>
      <c r="AN82" s="59">
        <f ca="1">AVERAGE(OFFSET($AM$3,0,0,'Données projet'!$E$10+1,1))-AVERAGE(OFFSET($H$3,0,0,'Données projet'!$E$10+1,1))</f>
        <v>228.36873053496748</v>
      </c>
      <c r="AO82" s="59">
        <f t="shared" si="90"/>
        <v>177.73676400313303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35.062380393609708</v>
      </c>
      <c r="AV82" s="21">
        <f>EXP(-LN(2)/25)*AV81+(1-EXP(-LN(2)/25))/(LN(2)/25)*Calculateur!AQ82*Calculateur!AS82*VLOOKUP('Données projet'!$B$10,Paramètres!$A$1:$I$89,3,0)*0.475*44/12</f>
        <v>24.159005275798968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59.221385669408676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285.91251000000017</v>
      </c>
      <c r="BF82" s="13">
        <f t="shared" si="91"/>
        <v>68.214968580220258</v>
      </c>
      <c r="BG82" s="20">
        <f t="shared" si="61"/>
        <v>616.77202519388391</v>
      </c>
      <c r="BH82" s="59">
        <f t="shared" si="62"/>
        <v>910.10535852721728</v>
      </c>
      <c r="BI82" s="59">
        <f ca="1">AVERAGE(OFFSET($BH$3,0,0,'Données projet'!$E$11+1,1))-AVERAGE(OFFSET($H$3,0,0,'Données projet'!$E$11+1,1))</f>
        <v>534.59150243554586</v>
      </c>
      <c r="BJ82" s="59">
        <f t="shared" si="92"/>
        <v>259.04458689606491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33.760045786818864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33.760045786818864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2.4</v>
      </c>
      <c r="BY82" s="12">
        <f>IF('Données projet'!$A$114&gt;35,BY81+BX82-CG81,IF(A82&lt;'Données projet'!$A$114,$BV$205^A82,IF(A82='Données projet'!$A$114,'Données projet'!$B$114,BY81+BX82-CG81)))</f>
        <v>216.60000000000002</v>
      </c>
      <c r="BZ82" s="13">
        <f>BY82*VLOOKUP('Données projet'!$B$12,Paramètres!$A$1:$I$89,3,0)*VLOOKUP('Données projet'!$B$12,Paramètres!$A$1:$I$89,5,0)</f>
        <v>189.22176000000005</v>
      </c>
      <c r="CA82" s="13">
        <f t="shared" si="93"/>
        <v>47.367853957810077</v>
      </c>
      <c r="CB82" s="20">
        <f t="shared" si="64"/>
        <v>412.06024430985258</v>
      </c>
      <c r="CC82" s="59">
        <f t="shared" si="65"/>
        <v>705.39357764318584</v>
      </c>
      <c r="CD82" s="59">
        <f ca="1">AVERAGE(OFFSET($CC$3,0,0,'Données projet'!$E$12+1,1))-AVERAGE(OFFSET($H$3,0,0,'Données projet'!$E$12+1,1))</f>
        <v>211.91720528436969</v>
      </c>
      <c r="CE82" s="59">
        <f t="shared" si="94"/>
        <v>218.88548486038957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10.436024389390612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10.436024389390612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8.6770000000000014</v>
      </c>
      <c r="CT82" s="12">
        <f>IF('Données projet'!$A$140&gt;35,CT81+CS82-DB81,IF(A82&lt;'Données projet'!$A$140,$CQ$205^A82,IF(A82='Données projet'!$A$140,'Données projet'!$B$140,CT81+CS82-DB81)))</f>
        <v>281.96500000000015</v>
      </c>
      <c r="CU82" s="17">
        <f>CT82*VLOOKUP('Données projet'!$B$13,Paramètres!$A$1:$I$89,3,0)*VLOOKUP('Données projet'!$B$13,Paramètres!$A$1:$I$89,5,0)</f>
        <v>255.1219320000001</v>
      </c>
      <c r="CV82" s="13">
        <f t="shared" si="95"/>
        <v>61.681427575411924</v>
      </c>
      <c r="CW82" s="20">
        <f t="shared" si="67"/>
        <v>551.76585126050918</v>
      </c>
      <c r="CX82" s="59">
        <f t="shared" si="68"/>
        <v>845.09918459384244</v>
      </c>
      <c r="CY82" s="59">
        <f ca="1">AVERAGE(OFFSET($CX$3,0,0,'Données projet'!$E$13+1,1))-AVERAGE(OFFSET($H$3,0,0,'Données projet'!$E$13+1,1))</f>
        <v>469.97161976912071</v>
      </c>
      <c r="CZ82" s="59">
        <f t="shared" si="96"/>
        <v>231.65013084759306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30.124348548238373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30.124348548238373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8.6770000000000014</v>
      </c>
      <c r="DO82" s="12">
        <f>IF('Données projet'!$A$166&gt;35,DO81+DN82-DW81,IF(A82&lt;'Données projet'!$A$166,$DL$205^A82,IF(A82='Données projet'!$A$166,'Données projet'!$B$166,DO81+DN82-DW81)))</f>
        <v>281.96500000000015</v>
      </c>
      <c r="DP82" s="17">
        <f>DO82*VLOOKUP('Données projet'!$B$14,Paramètres!$A$1:$I$89,3,0)*VLOOKUP('Données projet'!$B$14,Paramètres!$A$1:$I$89,5,0)</f>
        <v>272.71654800000016</v>
      </c>
      <c r="DQ82" s="13">
        <f t="shared" si="97"/>
        <v>65.425453000689586</v>
      </c>
      <c r="DR82" s="20">
        <f t="shared" si="70"/>
        <v>588.93065174286789</v>
      </c>
      <c r="DS82" s="59">
        <f t="shared" si="71"/>
        <v>882.26398507620115</v>
      </c>
      <c r="DT82" s="59">
        <f ca="1">AVERAGE(OFFSET($DS$3,0,0,'Données projet'!$E$14+1,1))-AVERAGE(OFFSET($H$3,0,0,'Données projet'!$E$14+1,1))</f>
        <v>506.9153247310901</v>
      </c>
      <c r="DU82" s="59">
        <f t="shared" si="98"/>
        <v>247.31254626788319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32.201889827427223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32.201889827427223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6.2826666666666631</v>
      </c>
      <c r="N83" s="13">
        <f>IF('Données projet'!$A$36&gt;35,N82+M83-V82,IF(A83&lt;'Données projet'!$A$36,$K$205^A83,IF(A83='Données projet'!$A$36,'Données projet'!$B$36,N82+M83-V82)))</f>
        <v>229.06333333333333</v>
      </c>
      <c r="O83" s="13">
        <f>N83*VLOOKUP('Données projet'!$B$9,Paramètres!$A$1:$I$89,3,0)*VLOOKUP('Données projet'!$B$9,Paramètres!$A$1:$I$89,5,0)</f>
        <v>136.97987333333333</v>
      </c>
      <c r="P83" s="13">
        <f t="shared" si="87"/>
        <v>35.604261183871309</v>
      </c>
      <c r="Q83" s="20">
        <f t="shared" si="54"/>
        <v>300.58403428413141</v>
      </c>
      <c r="R83" s="59">
        <f t="shared" si="55"/>
        <v>593.91736761746472</v>
      </c>
      <c r="S83" s="59">
        <f ca="1">AVERAGE(OFFSET($R$3,0,0,'Données projet'!$E$9+1,1))-AVERAGE(OFFSET($H$3,0,0,'Données projet'!$E$9+1,1))</f>
        <v>193.8828274189392</v>
      </c>
      <c r="T83" s="59">
        <f t="shared" si="88"/>
        <v>179.13381331066427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35.648953264988343</v>
      </c>
      <c r="AA83" s="21">
        <f>EXP(-LN(2)/25)*AA82+(1-EXP(-LN(2)/25))/(LN(2)/25)*Calculateur!V83*Calculateur!X83*VLOOKUP('Données projet'!$B$9,Paramètres!$A$1:$I$89,3,0)*0.475*44/12</f>
        <v>16.348063241110658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51.997016506099001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400.15</v>
      </c>
      <c r="AG83" s="12">
        <f>VLOOKUP(A83,'Données projet'!$A$61:$I$81,9,0)</f>
        <v>8.0829999999999984</v>
      </c>
      <c r="AH83" s="12">
        <f t="array" ref="AH83">INDEX(AG:AG,MIN(IF(ISNUMBER(AG83:AG279),ROW(AG83:AG279),"")))</f>
        <v>8.0829999999999984</v>
      </c>
      <c r="AI83" s="13">
        <f>IF('Données projet'!$A$62&gt;35,AI82+AH83-AQ82,IF(A83&lt;'Données projet'!$A$62,$AF$205^A83,IF(A83='Données projet'!$A$62,'Données projet'!$B$62,AI82+AH83-AQ82)))</f>
        <v>400.1499999999993</v>
      </c>
      <c r="AJ83" s="13">
        <f>AI83*VLOOKUP('Données projet'!$B$10,Paramètres!$A$1:$I$89,3,0)*VLOOKUP('Données projet'!$B$10,Paramètres!$A$1:$I$89,5,0)</f>
        <v>239.28969999999958</v>
      </c>
      <c r="AK83" s="13">
        <f t="shared" si="89"/>
        <v>58.286679624350214</v>
      </c>
      <c r="AL83" s="20">
        <f t="shared" si="58"/>
        <v>518.27886117907588</v>
      </c>
      <c r="AM83" s="59">
        <f t="shared" si="59"/>
        <v>811.61219451240913</v>
      </c>
      <c r="AN83" s="59">
        <f ca="1">AVERAGE(OFFSET($AM$3,0,0,'Données projet'!$E$10+1,1))-AVERAGE(OFFSET($H$3,0,0,'Données projet'!$E$10+1,1))</f>
        <v>228.36873053496748</v>
      </c>
      <c r="AO83" s="59">
        <f t="shared" si="90"/>
        <v>177.73676400313303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400.15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0.13500000000000001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134.36628983046052</v>
      </c>
      <c r="AV83" s="21">
        <f>EXP(-LN(2)/25)*AV82+(1-EXP(-LN(2)/25))/(LN(2)/25)*Calculateur!AQ83*Calculateur!AS83*VLOOKUP('Données projet'!$B$10,Paramètres!$A$1:$I$89,3,0)*0.475*44/12</f>
        <v>66.183128940681456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200.54941877114197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294.71098800000021</v>
      </c>
      <c r="BF83" s="13">
        <f t="shared" si="91"/>
        <v>70.066538188752801</v>
      </c>
      <c r="BG83" s="20">
        <f t="shared" si="61"/>
        <v>635.3208581120781</v>
      </c>
      <c r="BH83" s="59">
        <f t="shared" si="62"/>
        <v>928.65419144541147</v>
      </c>
      <c r="BI83" s="59">
        <f ca="1">AVERAGE(OFFSET($BH$3,0,0,'Données projet'!$E$11+1,1))-AVERAGE(OFFSET($H$3,0,0,'Données projet'!$E$11+1,1))</f>
        <v>534.59150243554586</v>
      </c>
      <c r="BJ83" s="59">
        <f t="shared" si="92"/>
        <v>259.04458689606491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33.098031880534023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33.098031880534023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219</v>
      </c>
      <c r="BW83" s="12">
        <f>VLOOKUP(A83,'Données projet'!$A$113:$I$133,9,0)</f>
        <v>2.4</v>
      </c>
      <c r="BX83" s="12">
        <f t="array" ref="BX83">INDEX(BW:BW,MIN(IF(ISNUMBER(BW83:BW279),ROW(BW83:BW279),"")))</f>
        <v>2.4</v>
      </c>
      <c r="BY83" s="12">
        <f>IF('Données projet'!$A$114&gt;35,BY82+BX83-CG82,IF(A83&lt;'Données projet'!$A$114,$BV$205^A83,IF(A83='Données projet'!$A$114,'Données projet'!$B$114,BY82+BX83-CG82)))</f>
        <v>219.00000000000003</v>
      </c>
      <c r="BZ83" s="13">
        <f>BY83*VLOOKUP('Données projet'!$B$12,Paramètres!$A$1:$I$89,3,0)*VLOOKUP('Données projet'!$B$12,Paramètres!$A$1:$I$89,5,0)</f>
        <v>191.31840000000005</v>
      </c>
      <c r="CA83" s="13">
        <f t="shared" si="93"/>
        <v>47.831314962098396</v>
      </c>
      <c r="CB83" s="20">
        <f t="shared" si="64"/>
        <v>416.51908689232141</v>
      </c>
      <c r="CC83" s="59">
        <f t="shared" si="65"/>
        <v>709.85242022565467</v>
      </c>
      <c r="CD83" s="59">
        <f ca="1">AVERAGE(OFFSET($CC$3,0,0,'Données projet'!$E$12+1,1))-AVERAGE(OFFSET($H$3,0,0,'Données projet'!$E$12+1,1))</f>
        <v>211.91720528436969</v>
      </c>
      <c r="CE83" s="59">
        <f t="shared" si="94"/>
        <v>218.88548486038957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219</v>
      </c>
      <c r="CH83" s="16">
        <f>IF(ISNA(VLOOKUP(A83,'Données projet'!$A$113:$I$133,5,0)),0%,VLOOKUP(A83,'Données projet'!$A$113:$I$133,5,0)*VLOOKUP('Données projet'!$B$12,Paramètres!$A$1:$I$89,7,0))</f>
        <v>0.318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77.487370431025525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77.487370431025525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8.6770000000000014</v>
      </c>
      <c r="CT83" s="12">
        <f>IF('Données projet'!$A$140&gt;35,CT82+CS83-DB82,IF(A83&lt;'Données projet'!$A$140,$CQ$205^A83,IF(A83='Données projet'!$A$140,'Données projet'!$B$140,CT82+CS83-DB82)))</f>
        <v>290.64200000000017</v>
      </c>
      <c r="CU83" s="17">
        <f>CT83*VLOOKUP('Données projet'!$B$13,Paramètres!$A$1:$I$89,3,0)*VLOOKUP('Données projet'!$B$13,Paramètres!$A$1:$I$89,5,0)</f>
        <v>262.97288160000016</v>
      </c>
      <c r="CV83" s="13">
        <f t="shared" si="95"/>
        <v>63.355656254051972</v>
      </c>
      <c r="CW83" s="20">
        <f t="shared" si="67"/>
        <v>568.35553676247412</v>
      </c>
      <c r="CX83" s="59">
        <f t="shared" si="68"/>
        <v>861.68887009580749</v>
      </c>
      <c r="CY83" s="59">
        <f ca="1">AVERAGE(OFFSET($CX$3,0,0,'Données projet'!$E$13+1,1))-AVERAGE(OFFSET($H$3,0,0,'Données projet'!$E$13+1,1))</f>
        <v>469.97161976912071</v>
      </c>
      <c r="CZ83" s="59">
        <f t="shared" si="96"/>
        <v>231.65013084759306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29.533628447245746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29.533628447245746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8.6770000000000014</v>
      </c>
      <c r="DO83" s="12">
        <f>IF('Données projet'!$A$166&gt;35,DO82+DN83-DW82,IF(A83&lt;'Données projet'!$A$166,$DL$205^A83,IF(A83='Données projet'!$A$166,'Données projet'!$B$166,DO82+DN83-DW82)))</f>
        <v>290.64200000000017</v>
      </c>
      <c r="DP83" s="17">
        <f>DO83*VLOOKUP('Données projet'!$B$14,Paramètres!$A$1:$I$89,3,0)*VLOOKUP('Données projet'!$B$14,Paramètres!$A$1:$I$89,5,0)</f>
        <v>281.10894240000016</v>
      </c>
      <c r="DQ83" s="13">
        <f t="shared" si="97"/>
        <v>67.20130634962284</v>
      </c>
      <c r="DR83" s="20">
        <f t="shared" si="70"/>
        <v>606.64034990559333</v>
      </c>
      <c r="DS83" s="59">
        <f t="shared" si="71"/>
        <v>899.9736832389267</v>
      </c>
      <c r="DT83" s="59">
        <f ca="1">AVERAGE(OFFSET($DS$3,0,0,'Données projet'!$E$14+1,1))-AVERAGE(OFFSET($H$3,0,0,'Données projet'!$E$14+1,1))</f>
        <v>506.9153247310901</v>
      </c>
      <c r="DU83" s="59">
        <f t="shared" si="98"/>
        <v>247.31254626788319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31.570430409124761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31.570430409124761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6.2826666666666631</v>
      </c>
      <c r="N84" s="13">
        <f>IF('Données projet'!$A$36&gt;35,N83+M84-V83,IF(A84&lt;'Données projet'!$A$36,$K$205^A84,IF(A84='Données projet'!$A$36,'Données projet'!$B$36,N83+M84-V83)))</f>
        <v>235.346</v>
      </c>
      <c r="O84" s="13">
        <f>N84*VLOOKUP('Données projet'!$B$9,Paramètres!$A$1:$I$89,3,0)*VLOOKUP('Données projet'!$B$9,Paramètres!$A$1:$I$89,5,0)</f>
        <v>140.73690800000003</v>
      </c>
      <c r="P84" s="13">
        <f t="shared" si="87"/>
        <v>36.465769155414684</v>
      </c>
      <c r="Q84" s="20">
        <f t="shared" si="54"/>
        <v>308.62799604568062</v>
      </c>
      <c r="R84" s="59">
        <f t="shared" si="55"/>
        <v>601.96132937901393</v>
      </c>
      <c r="S84" s="59">
        <f ca="1">AVERAGE(OFFSET($R$3,0,0,'Données projet'!$E$9+1,1))-AVERAGE(OFFSET($H$3,0,0,'Données projet'!$E$9+1,1))</f>
        <v>193.8828274189392</v>
      </c>
      <c r="T84" s="59">
        <f t="shared" si="88"/>
        <v>179.13381331066427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34.949899035176401</v>
      </c>
      <c r="AA84" s="21">
        <f>EXP(-LN(2)/25)*AA83+(1-EXP(-LN(2)/25))/(LN(2)/25)*Calculateur!V84*Calculateur!X84*VLOOKUP('Données projet'!$B$9,Paramètres!$A$1:$I$89,3,0)*0.475*44/12</f>
        <v>15.901024592075206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50.850923627251603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-6.8212102632969618E-13</v>
      </c>
      <c r="AJ84" s="13">
        <f>AI84*VLOOKUP('Données projet'!$B$10,Paramètres!$A$1:$I$89,3,0)*VLOOKUP('Données projet'!$B$10,Paramètres!$A$1:$I$89,5,0)</f>
        <v>-4.0790837374515837E-13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228.36873053496748</v>
      </c>
      <c r="AO84" s="59">
        <f t="shared" si="90"/>
        <v>177.73676400313303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131.73144884222955</v>
      </c>
      <c r="AV84" s="21">
        <f>EXP(-LN(2)/25)*AV83+(1-EXP(-LN(2)/25))/(LN(2)/25)*Calculateur!AQ84*Calculateur!AS84*VLOOKUP('Données projet'!$B$10,Paramètres!$A$1:$I$89,3,0)*0.475*44/12</f>
        <v>64.373347799379033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196.10479664160857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303.5094660000002</v>
      </c>
      <c r="BF84" s="13">
        <f t="shared" si="91"/>
        <v>71.911683612358004</v>
      </c>
      <c r="BG84" s="20">
        <f t="shared" si="61"/>
        <v>653.85850224152387</v>
      </c>
      <c r="BH84" s="59">
        <f t="shared" si="62"/>
        <v>947.19183557485712</v>
      </c>
      <c r="BI84" s="59">
        <f ca="1">AVERAGE(OFFSET($BH$3,0,0,'Données projet'!$E$11+1,1))-AVERAGE(OFFSET($H$3,0,0,'Données projet'!$E$11+1,1))</f>
        <v>534.59150243554586</v>
      </c>
      <c r="BJ84" s="59">
        <f t="shared" si="92"/>
        <v>259.04458689606491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32.448999663162816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32.448999663162816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2.8421709430404007E-14</v>
      </c>
      <c r="BZ84" s="13">
        <f>BY84*VLOOKUP('Données projet'!$B$12,Paramètres!$A$1:$I$89,3,0)*VLOOKUP('Données projet'!$B$12,Paramètres!$A$1:$I$89,5,0)</f>
        <v>2.4829205358400945E-14</v>
      </c>
      <c r="CA84" s="13">
        <f t="shared" si="93"/>
        <v>4.3867331143352915E-13</v>
      </c>
      <c r="CB84" s="20">
        <f t="shared" si="64"/>
        <v>8.0726688341261168E-13</v>
      </c>
      <c r="CC84" s="59">
        <f t="shared" si="65"/>
        <v>293.33333333333411</v>
      </c>
      <c r="CD84" s="59">
        <f ca="1">AVERAGE(OFFSET($CC$3,0,0,'Données projet'!$E$12+1,1))-AVERAGE(OFFSET($H$3,0,0,'Données projet'!$E$12+1,1))</f>
        <v>211.91720528436969</v>
      </c>
      <c r="CE84" s="59">
        <f t="shared" si="94"/>
        <v>218.88548486038957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75.967890359502277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75.967890359502277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8.6770000000000014</v>
      </c>
      <c r="CT84" s="12">
        <f>IF('Données projet'!$A$140&gt;35,CT83+CS84-DB83,IF(A84&lt;'Données projet'!$A$140,$CQ$205^A84,IF(A84='Données projet'!$A$140,'Données projet'!$B$140,CT83+CS84-DB83)))</f>
        <v>299.31900000000019</v>
      </c>
      <c r="CU84" s="17">
        <f>CT84*VLOOKUP('Données projet'!$B$13,Paramètres!$A$1:$I$89,3,0)*VLOOKUP('Données projet'!$B$13,Paramètres!$A$1:$I$89,5,0)</f>
        <v>270.8238312000002</v>
      </c>
      <c r="CV84" s="13">
        <f t="shared" si="95"/>
        <v>65.024076047844915</v>
      </c>
      <c r="CW84" s="20">
        <f t="shared" si="67"/>
        <v>584.93510512333023</v>
      </c>
      <c r="CX84" s="59">
        <f t="shared" si="68"/>
        <v>878.26843845666349</v>
      </c>
      <c r="CY84" s="59">
        <f ca="1">AVERAGE(OFFSET($CX$3,0,0,'Données projet'!$E$13+1,1))-AVERAGE(OFFSET($H$3,0,0,'Données projet'!$E$13+1,1))</f>
        <v>469.97161976912071</v>
      </c>
      <c r="CZ84" s="59">
        <f t="shared" si="96"/>
        <v>231.65013084759306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28.9544920071299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28.9544920071299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8.6770000000000014</v>
      </c>
      <c r="DO84" s="12">
        <f>IF('Données projet'!$A$166&gt;35,DO83+DN84-DW83,IF(A84&lt;'Données projet'!$A$166,$DL$205^A84,IF(A84='Données projet'!$A$166,'Données projet'!$B$166,DO83+DN84-DW83)))</f>
        <v>299.31900000000019</v>
      </c>
      <c r="DP84" s="17">
        <f>DO84*VLOOKUP('Données projet'!$B$14,Paramètres!$A$1:$I$89,3,0)*VLOOKUP('Données projet'!$B$14,Paramètres!$A$1:$I$89,5,0)</f>
        <v>289.50133680000016</v>
      </c>
      <c r="DQ84" s="13">
        <f t="shared" si="97"/>
        <v>68.970998217904651</v>
      </c>
      <c r="DR84" s="20">
        <f t="shared" si="70"/>
        <v>624.33931682285095</v>
      </c>
      <c r="DS84" s="59">
        <f t="shared" si="71"/>
        <v>917.67265015618432</v>
      </c>
      <c r="DT84" s="59">
        <f ca="1">AVERAGE(OFFSET($DS$3,0,0,'Données projet'!$E$14+1,1))-AVERAGE(OFFSET($H$3,0,0,'Données projet'!$E$14+1,1))</f>
        <v>506.9153247310901</v>
      </c>
      <c r="DU84" s="59">
        <f t="shared" si="98"/>
        <v>247.31254626788319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30.951353524862995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30.951353524862995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6.2826666666666631</v>
      </c>
      <c r="N85" s="13">
        <f>IF('Données projet'!$A$36&gt;35,N84+M85-V84,IF(A85&lt;'Données projet'!$A$36,$K$205^A85,IF(A85='Données projet'!$A$36,'Données projet'!$B$36,N84+M85-V84)))</f>
        <v>241.62866666666667</v>
      </c>
      <c r="O85" s="13">
        <f>N85*VLOOKUP('Données projet'!$B$9,Paramètres!$A$1:$I$89,3,0)*VLOOKUP('Données projet'!$B$9,Paramètres!$A$1:$I$89,5,0)</f>
        <v>144.4939426666667</v>
      </c>
      <c r="P85" s="13">
        <f t="shared" si="87"/>
        <v>37.324603939509743</v>
      </c>
      <c r="Q85" s="20">
        <f t="shared" si="54"/>
        <v>316.66730200575722</v>
      </c>
      <c r="R85" s="59">
        <f t="shared" si="55"/>
        <v>610.00063533909054</v>
      </c>
      <c r="S85" s="59">
        <f ca="1">AVERAGE(OFFSET($R$3,0,0,'Données projet'!$E$9+1,1))-AVERAGE(OFFSET($H$3,0,0,'Données projet'!$E$9+1,1))</f>
        <v>193.8828274189392</v>
      </c>
      <c r="T85" s="59">
        <f t="shared" si="88"/>
        <v>179.13381331066427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34.264552832430091</v>
      </c>
      <c r="AA85" s="21">
        <f>EXP(-LN(2)/25)*AA84+(1-EXP(-LN(2)/25))/(LN(2)/25)*Calculateur!V85*Calculateur!X85*VLOOKUP('Données projet'!$B$9,Paramètres!$A$1:$I$89,3,0)*0.475*44/12</f>
        <v>15.466210238406369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49.73076307083646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-6.8212102632969618E-13</v>
      </c>
      <c r="AJ85" s="13">
        <f>AI85*VLOOKUP('Données projet'!$B$10,Paramètres!$A$1:$I$89,3,0)*VLOOKUP('Données projet'!$B$10,Paramètres!$A$1:$I$89,5,0)</f>
        <v>-4.0790837374515837E-13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228.36873053496748</v>
      </c>
      <c r="AO85" s="59">
        <f t="shared" si="90"/>
        <v>177.73676400313303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129.1482754786835</v>
      </c>
      <c r="AV85" s="21">
        <f>EXP(-LN(2)/25)*AV84+(1-EXP(-LN(2)/25))/(LN(2)/25)*Calculateur!AQ85*Calculateur!AS85*VLOOKUP('Données projet'!$B$10,Paramètres!$A$1:$I$89,3,0)*0.475*44/12</f>
        <v>62.613055218557783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191.76133069724128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312.30794400000019</v>
      </c>
      <c r="BF85" s="13">
        <f t="shared" si="91"/>
        <v>73.750612468537497</v>
      </c>
      <c r="BG85" s="20">
        <f t="shared" si="61"/>
        <v>672.38531918270314</v>
      </c>
      <c r="BH85" s="59">
        <f t="shared" si="62"/>
        <v>965.7186525160364</v>
      </c>
      <c r="BI85" s="59">
        <f ca="1">AVERAGE(OFFSET($BH$3,0,0,'Données projet'!$E$11+1,1))-AVERAGE(OFFSET($H$3,0,0,'Données projet'!$E$11+1,1))</f>
        <v>534.59150243554586</v>
      </c>
      <c r="BJ85" s="59">
        <f t="shared" si="92"/>
        <v>259.04458689606491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31.812694571703695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31.812694571703695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2.8421709430404007E-14</v>
      </c>
      <c r="BZ85" s="13">
        <f>BY85*VLOOKUP('Données projet'!$B$12,Paramètres!$A$1:$I$89,3,0)*VLOOKUP('Données projet'!$B$12,Paramètres!$A$1:$I$89,5,0)</f>
        <v>2.4829205358400945E-14</v>
      </c>
      <c r="CA85" s="13">
        <f t="shared" si="93"/>
        <v>4.3867331143352915E-13</v>
      </c>
      <c r="CB85" s="20">
        <f t="shared" si="64"/>
        <v>8.0726688341261168E-13</v>
      </c>
      <c r="CC85" s="59">
        <f t="shared" si="65"/>
        <v>293.33333333333411</v>
      </c>
      <c r="CD85" s="59">
        <f ca="1">AVERAGE(OFFSET($CC$3,0,0,'Données projet'!$E$12+1,1))-AVERAGE(OFFSET($H$3,0,0,'Données projet'!$E$12+1,1))</f>
        <v>211.91720528436969</v>
      </c>
      <c r="CE85" s="59">
        <f t="shared" si="94"/>
        <v>218.88548486038957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74.478206365390278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74.478206365390278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8.6770000000000014</v>
      </c>
      <c r="CT85" s="12">
        <f>IF('Données projet'!$A$140&gt;35,CT84+CS85-DB84,IF(A85&lt;'Données projet'!$A$140,$CQ$205^A85,IF(A85='Données projet'!$A$140,'Données projet'!$B$140,CT84+CS85-DB84)))</f>
        <v>307.99600000000021</v>
      </c>
      <c r="CU85" s="17">
        <f>CT85*VLOOKUP('Données projet'!$B$13,Paramètres!$A$1:$I$89,3,0)*VLOOKUP('Données projet'!$B$13,Paramètres!$A$1:$I$89,5,0)</f>
        <v>278.67478080000018</v>
      </c>
      <c r="CV85" s="13">
        <f t="shared" si="95"/>
        <v>66.686874688958113</v>
      </c>
      <c r="CW85" s="20">
        <f t="shared" si="67"/>
        <v>601.50488330993562</v>
      </c>
      <c r="CX85" s="59">
        <f t="shared" si="68"/>
        <v>894.83821664326888</v>
      </c>
      <c r="CY85" s="59">
        <f ca="1">AVERAGE(OFFSET($CX$3,0,0,'Données projet'!$E$13+1,1))-AVERAGE(OFFSET($H$3,0,0,'Données projet'!$E$13+1,1))</f>
        <v>469.97161976912071</v>
      </c>
      <c r="CZ85" s="59">
        <f t="shared" si="96"/>
        <v>231.65013084759306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28.386712079366379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28.386712079366379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8.6770000000000014</v>
      </c>
      <c r="DO85" s="12">
        <f>IF('Données projet'!$A$166&gt;35,DO84+DN85-DW84,IF(A85&lt;'Données projet'!$A$166,$DL$205^A85,IF(A85='Données projet'!$A$166,'Données projet'!$B$166,DO84+DN85-DW84)))</f>
        <v>307.99600000000021</v>
      </c>
      <c r="DP85" s="17">
        <f>DO85*VLOOKUP('Données projet'!$B$14,Paramètres!$A$1:$I$89,3,0)*VLOOKUP('Données projet'!$B$14,Paramètres!$A$1:$I$89,5,0)</f>
        <v>297.89373120000022</v>
      </c>
      <c r="DQ85" s="13">
        <f t="shared" si="97"/>
        <v>70.734727732931788</v>
      </c>
      <c r="DR85" s="20">
        <f t="shared" si="70"/>
        <v>642.02789930818994</v>
      </c>
      <c r="DS85" s="59">
        <f t="shared" si="71"/>
        <v>935.3612326415232</v>
      </c>
      <c r="DT85" s="59">
        <f ca="1">AVERAGE(OFFSET($DS$3,0,0,'Données projet'!$E$14+1,1))-AVERAGE(OFFSET($H$3,0,0,'Données projet'!$E$14+1,1))</f>
        <v>506.9153247310901</v>
      </c>
      <c r="DU85" s="59">
        <f t="shared" si="98"/>
        <v>247.31254626788319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30.344416360701988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30.344416360701988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6.2826666666666631</v>
      </c>
      <c r="N86" s="13">
        <f>IF('Données projet'!$A$36&gt;35,N85+M86-V85,IF(A86&lt;'Données projet'!$A$36,$K$205^A86,IF(A86='Données projet'!$A$36,'Données projet'!$B$36,N85+M86-V85)))</f>
        <v>247.91133333333335</v>
      </c>
      <c r="O86" s="13">
        <f>N86*VLOOKUP('Données projet'!$B$9,Paramètres!$A$1:$I$89,3,0)*VLOOKUP('Données projet'!$B$9,Paramètres!$A$1:$I$89,5,0)</f>
        <v>148.25097733333337</v>
      </c>
      <c r="P86" s="13">
        <f t="shared" si="87"/>
        <v>38.180843033500082</v>
      </c>
      <c r="Q86" s="20">
        <f t="shared" si="54"/>
        <v>324.70208713890156</v>
      </c>
      <c r="R86" s="59">
        <f t="shared" si="55"/>
        <v>618.03542047223482</v>
      </c>
      <c r="S86" s="59">
        <f ca="1">AVERAGE(OFFSET($R$3,0,0,'Données projet'!$E$9+1,1))-AVERAGE(OFFSET($H$3,0,0,'Données projet'!$E$9+1,1))</f>
        <v>193.8828274189392</v>
      </c>
      <c r="T86" s="59">
        <f t="shared" si="88"/>
        <v>179.13381331066427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33.592645850699732</v>
      </c>
      <c r="AA86" s="21">
        <f>EXP(-LN(2)/25)*AA85+(1-EXP(-LN(2)/25))/(LN(2)/25)*Calculateur!V86*Calculateur!X86*VLOOKUP('Données projet'!$B$9,Paramètres!$A$1:$I$89,3,0)*0.475*44/12</f>
        <v>15.043285906104499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48.635931756804233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-6.8212102632969618E-13</v>
      </c>
      <c r="AJ86" s="13">
        <f>AI86*VLOOKUP('Données projet'!$B$10,Paramètres!$A$1:$I$89,3,0)*VLOOKUP('Données projet'!$B$10,Paramètres!$A$1:$I$89,5,0)</f>
        <v>-4.0790837374515837E-13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228.36873053496748</v>
      </c>
      <c r="AO86" s="59">
        <f t="shared" si="90"/>
        <v>177.73676400313303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126.6157565692164</v>
      </c>
      <c r="AV86" s="21">
        <f>EXP(-LN(2)/25)*AV85+(1-EXP(-LN(2)/25))/(LN(2)/25)*Calculateur!AQ86*Calculateur!AS86*VLOOKUP('Données projet'!$B$10,Paramètres!$A$1:$I$89,3,0)*0.475*44/12</f>
        <v>60.900897930928849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187.51665450014525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321.10642200000024</v>
      </c>
      <c r="BF86" s="13">
        <f t="shared" si="91"/>
        <v>75.58352001110228</v>
      </c>
      <c r="BG86" s="20">
        <f t="shared" si="61"/>
        <v>690.90164900267018</v>
      </c>
      <c r="BH86" s="59">
        <f t="shared" si="62"/>
        <v>984.23498233600344</v>
      </c>
      <c r="BI86" s="59">
        <f ca="1">AVERAGE(OFFSET($BH$3,0,0,'Données projet'!$E$11+1,1))-AVERAGE(OFFSET($H$3,0,0,'Données projet'!$E$11+1,1))</f>
        <v>534.59150243554586</v>
      </c>
      <c r="BJ86" s="59">
        <f t="shared" si="92"/>
        <v>259.04458689606491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31.188867034980305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31.188867034980305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2.8421709430404007E-14</v>
      </c>
      <c r="BZ86" s="13">
        <f>BY86*VLOOKUP('Données projet'!$B$12,Paramètres!$A$1:$I$89,3,0)*VLOOKUP('Données projet'!$B$12,Paramètres!$A$1:$I$89,5,0)</f>
        <v>2.4829205358400945E-14</v>
      </c>
      <c r="CA86" s="13">
        <f t="shared" si="93"/>
        <v>4.3867331143352915E-13</v>
      </c>
      <c r="CB86" s="20">
        <f t="shared" si="64"/>
        <v>8.0726688341261168E-13</v>
      </c>
      <c r="CC86" s="59">
        <f t="shared" si="65"/>
        <v>293.33333333333411</v>
      </c>
      <c r="CD86" s="59">
        <f ca="1">AVERAGE(OFFSET($CC$3,0,0,'Données projet'!$E$12+1,1))-AVERAGE(OFFSET($H$3,0,0,'Données projet'!$E$12+1,1))</f>
        <v>211.91720528436969</v>
      </c>
      <c r="CE86" s="59">
        <f t="shared" si="94"/>
        <v>218.88548486038957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73.017734165785299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73.017734165785299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8.6770000000000014</v>
      </c>
      <c r="CT86" s="12">
        <f>IF('Données projet'!$A$140&gt;35,CT85+CS86-DB85,IF(A86&lt;'Données projet'!$A$140,$CQ$205^A86,IF(A86='Données projet'!$A$140,'Données projet'!$B$140,CT85+CS86-DB85)))</f>
        <v>316.67300000000023</v>
      </c>
      <c r="CU86" s="17">
        <f>CT86*VLOOKUP('Données projet'!$B$13,Paramètres!$A$1:$I$89,3,0)*VLOOKUP('Données projet'!$B$13,Paramètres!$A$1:$I$89,5,0)</f>
        <v>286.52573040000021</v>
      </c>
      <c r="CV86" s="13">
        <f t="shared" si="95"/>
        <v>68.344228730046424</v>
      </c>
      <c r="CW86" s="20">
        <f t="shared" si="67"/>
        <v>618.06517881816455</v>
      </c>
      <c r="CX86" s="59">
        <f t="shared" si="68"/>
        <v>911.39851215149793</v>
      </c>
      <c r="CY86" s="59">
        <f ca="1">AVERAGE(OFFSET($CX$3,0,0,'Données projet'!$E$13+1,1))-AVERAGE(OFFSET($H$3,0,0,'Données projet'!$E$13+1,1))</f>
        <v>469.97161976912071</v>
      </c>
      <c r="CZ86" s="59">
        <f t="shared" si="96"/>
        <v>231.65013084759306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27.830065969674738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27.830065969674738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8.6770000000000014</v>
      </c>
      <c r="DO86" s="12">
        <f>IF('Données projet'!$A$166&gt;35,DO85+DN86-DW85,IF(A86&lt;'Données projet'!$A$166,$DL$205^A86,IF(A86='Données projet'!$A$166,'Données projet'!$B$166,DO85+DN86-DW85)))</f>
        <v>316.67300000000023</v>
      </c>
      <c r="DP86" s="17">
        <f>DO86*VLOOKUP('Données projet'!$B$14,Paramètres!$A$1:$I$89,3,0)*VLOOKUP('Données projet'!$B$14,Paramètres!$A$1:$I$89,5,0)</f>
        <v>306.28612560000022</v>
      </c>
      <c r="DQ86" s="13">
        <f t="shared" si="97"/>
        <v>72.492682163998609</v>
      </c>
      <c r="DR86" s="20">
        <f t="shared" si="70"/>
        <v>659.70642352229788</v>
      </c>
      <c r="DS86" s="59">
        <f t="shared" si="71"/>
        <v>953.03975685563114</v>
      </c>
      <c r="DT86" s="59">
        <f ca="1">AVERAGE(OFFSET($DS$3,0,0,'Données projet'!$E$14+1,1))-AVERAGE(OFFSET($H$3,0,0,'Données projet'!$E$14+1,1))</f>
        <v>506.9153247310901</v>
      </c>
      <c r="DU86" s="59">
        <f t="shared" si="98"/>
        <v>247.31254626788319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29.749380864135063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29.749380864135063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6.2826666666666631</v>
      </c>
      <c r="N87" s="13">
        <f>IF('Données projet'!$A$36&gt;35,N86+M87-V86,IF(A87&lt;'Données projet'!$A$36,$K$205^A87,IF(A87='Données projet'!$A$36,'Données projet'!$B$36,N86+M87-V86)))</f>
        <v>254.19400000000002</v>
      </c>
      <c r="O87" s="13">
        <f>N87*VLOOKUP('Données projet'!$B$9,Paramètres!$A$1:$I$89,3,0)*VLOOKUP('Données projet'!$B$9,Paramètres!$A$1:$I$89,5,0)</f>
        <v>152.00801200000001</v>
      </c>
      <c r="P87" s="13">
        <f t="shared" si="87"/>
        <v>39.034559782971215</v>
      </c>
      <c r="Q87" s="20">
        <f t="shared" si="54"/>
        <v>332.73247918867486</v>
      </c>
      <c r="R87" s="59">
        <f t="shared" si="55"/>
        <v>626.06581252200817</v>
      </c>
      <c r="S87" s="59">
        <f ca="1">AVERAGE(OFFSET($R$3,0,0,'Données projet'!$E$9+1,1))-AVERAGE(OFFSET($H$3,0,0,'Données projet'!$E$9+1,1))</f>
        <v>193.8828274189392</v>
      </c>
      <c r="T87" s="59">
        <f t="shared" si="88"/>
        <v>179.13381331066427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32.933914555058308</v>
      </c>
      <c r="AA87" s="21">
        <f>EXP(-LN(2)/25)*AA86+(1-EXP(-LN(2)/25))/(LN(2)/25)*Calculateur!V87*Calculateur!X87*VLOOKUP('Données projet'!$B$9,Paramètres!$A$1:$I$89,3,0)*0.475*44/12</f>
        <v>14.631926461910048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47.565841016968356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-6.8212102632969618E-13</v>
      </c>
      <c r="AJ87" s="13">
        <f>AI87*VLOOKUP('Données projet'!$B$10,Paramètres!$A$1:$I$89,3,0)*VLOOKUP('Données projet'!$B$10,Paramètres!$A$1:$I$89,5,0)</f>
        <v>-4.0790837374515837E-13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228.36873053496748</v>
      </c>
      <c r="AO87" s="59">
        <f t="shared" si="90"/>
        <v>177.73676400313303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124.13289881087995</v>
      </c>
      <c r="AV87" s="21">
        <f>EXP(-LN(2)/25)*AV86+(1-EXP(-LN(2)/25))/(LN(2)/25)*Calculateur!AQ87*Calculateur!AS87*VLOOKUP('Données projet'!$B$10,Paramètres!$A$1:$I$89,3,0)*0.475*44/12</f>
        <v>59.235559674368567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183.36845848524851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329.90490000000028</v>
      </c>
      <c r="BF87" s="13">
        <f t="shared" si="91"/>
        <v>77.410590184772218</v>
      </c>
      <c r="BG87" s="20">
        <f t="shared" si="61"/>
        <v>709.40781207181215</v>
      </c>
      <c r="BH87" s="59">
        <f t="shared" si="62"/>
        <v>1002.7411454051455</v>
      </c>
      <c r="BI87" s="59">
        <f ca="1">AVERAGE(OFFSET($BH$3,0,0,'Données projet'!$E$11+1,1))-AVERAGE(OFFSET($H$3,0,0,'Données projet'!$E$11+1,1))</f>
        <v>534.59150243554586</v>
      </c>
      <c r="BJ87" s="59">
        <f t="shared" si="92"/>
        <v>259.04458689606491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48.354661737464937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48.354661737464937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2.8421709430404007E-14</v>
      </c>
      <c r="BZ87" s="13">
        <f>BY87*VLOOKUP('Données projet'!$B$12,Paramètres!$A$1:$I$89,3,0)*VLOOKUP('Données projet'!$B$12,Paramètres!$A$1:$I$89,5,0)</f>
        <v>2.4829205358400945E-14</v>
      </c>
      <c r="CA87" s="13">
        <f t="shared" si="93"/>
        <v>4.3867331143352915E-13</v>
      </c>
      <c r="CB87" s="20">
        <f t="shared" si="64"/>
        <v>8.0726688341261168E-13</v>
      </c>
      <c r="CC87" s="59">
        <f t="shared" si="65"/>
        <v>293.33333333333411</v>
      </c>
      <c r="CD87" s="59">
        <f ca="1">AVERAGE(OFFSET($CC$3,0,0,'Données projet'!$E$12+1,1))-AVERAGE(OFFSET($H$3,0,0,'Données projet'!$E$12+1,1))</f>
        <v>211.91720528436969</v>
      </c>
      <c r="CE87" s="59">
        <f t="shared" si="94"/>
        <v>218.88548486038957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71.585900935214482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71.585900935214482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325.35000000000002</v>
      </c>
      <c r="CR87" s="12">
        <f>VLOOKUP(A87,'Données projet'!$A$139:$I$159,9,0)</f>
        <v>8.6770000000000014</v>
      </c>
      <c r="CS87" s="12">
        <f t="array" ref="CS87">INDEX(CR:CR,MIN(IF(ISNUMBER(CR87:CR283),ROW(CR87:CR283),"")))</f>
        <v>8.6770000000000014</v>
      </c>
      <c r="CT87" s="12">
        <f>IF('Données projet'!$A$140&gt;35,CT86+CS87-DB86,IF(A87&lt;'Données projet'!$A$140,$CQ$205^A87,IF(A87='Données projet'!$A$140,'Données projet'!$B$140,CT86+CS87-DB86)))</f>
        <v>325.35000000000025</v>
      </c>
      <c r="CU87" s="17">
        <f>CT87*VLOOKUP('Données projet'!$B$13,Paramètres!$A$1:$I$89,3,0)*VLOOKUP('Données projet'!$B$13,Paramètres!$A$1:$I$89,5,0)</f>
        <v>294.37668000000025</v>
      </c>
      <c r="CV87" s="13">
        <f t="shared" si="95"/>
        <v>69.99630449784344</v>
      </c>
      <c r="CW87" s="20">
        <f t="shared" si="67"/>
        <v>634.61628133374438</v>
      </c>
      <c r="CX87" s="59">
        <f t="shared" si="68"/>
        <v>927.94961466707764</v>
      </c>
      <c r="CY87" s="59">
        <f ca="1">AVERAGE(OFFSET($CX$3,0,0,'Données projet'!$E$13+1,1))-AVERAGE(OFFSET($H$3,0,0,'Données projet'!$E$13+1,1))</f>
        <v>469.97161976912071</v>
      </c>
      <c r="CZ87" s="59">
        <f t="shared" si="96"/>
        <v>231.65013084759306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0.25800000000000001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43.147236627276406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43.147236627276406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325.35000000000002</v>
      </c>
      <c r="DM87" s="12">
        <f>VLOOKUP(A87,'Données projet'!$A$165:$I$185,9,0)</f>
        <v>8.6770000000000014</v>
      </c>
      <c r="DN87" s="12">
        <f t="array" ref="DN87">INDEX(DM:DM,MIN(IF(ISNUMBER(DM87:DM283),ROW(DM87:DM283),"")))</f>
        <v>8.6770000000000014</v>
      </c>
      <c r="DO87" s="12">
        <f>IF('Données projet'!$A$166&gt;35,DO86+DN87-DW86,IF(A87&lt;'Données projet'!$A$166,$DL$205^A87,IF(A87='Données projet'!$A$166,'Données projet'!$B$166,DO86+DN87-DW86)))</f>
        <v>325.35000000000025</v>
      </c>
      <c r="DP87" s="17">
        <f>DO87*VLOOKUP('Données projet'!$B$14,Paramètres!$A$1:$I$89,3,0)*VLOOKUP('Données projet'!$B$14,Paramètres!$A$1:$I$89,5,0)</f>
        <v>314.67852000000028</v>
      </c>
      <c r="DQ87" s="13">
        <f t="shared" si="97"/>
        <v>74.245037933771187</v>
      </c>
      <c r="DR87" s="20">
        <f t="shared" si="70"/>
        <v>677.37519673465192</v>
      </c>
      <c r="DS87" s="59">
        <f t="shared" si="71"/>
        <v>970.70853006798529</v>
      </c>
      <c r="DT87" s="59">
        <f ca="1">AVERAGE(OFFSET($DS$3,0,0,'Données projet'!$E$14+1,1))-AVERAGE(OFFSET($H$3,0,0,'Données projet'!$E$14+1,1))</f>
        <v>506.9153247310901</v>
      </c>
      <c r="DU87" s="59">
        <f t="shared" si="98"/>
        <v>247.31254626788319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61.47</v>
      </c>
      <c r="DX87" s="16">
        <f>IF(ISNA(VLOOKUP(A87,'Données projet'!$A$165:$I$185,5,0)),0%,VLOOKUP(A87,'Données projet'!$A$165:$I$185,5,0)*VLOOKUP('Données projet'!$B$14,Paramètres!$A$1:$I$89,7,0))</f>
        <v>0.25800000000000001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46.12290811881271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46.12290811881271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6.2826666666666631</v>
      </c>
      <c r="N88" s="13">
        <f>IF('Données projet'!$A$36&gt;35,N87+M88-V87,IF(A88&lt;'Données projet'!$A$36,$K$205^A88,IF(A88='Données projet'!$A$36,'Données projet'!$B$36,N87+M88-V87)))</f>
        <v>260.47666666666669</v>
      </c>
      <c r="O88" s="13">
        <f>N88*VLOOKUP('Données projet'!$B$9,Paramètres!$A$1:$I$89,3,0)*VLOOKUP('Données projet'!$B$9,Paramètres!$A$1:$I$89,5,0)</f>
        <v>155.76504666666668</v>
      </c>
      <c r="P88" s="13">
        <f t="shared" si="87"/>
        <v>39.885823701211613</v>
      </c>
      <c r="Q88" s="20">
        <f t="shared" si="54"/>
        <v>340.75859922405465</v>
      </c>
      <c r="R88" s="59">
        <f t="shared" si="55"/>
        <v>634.09193255738796</v>
      </c>
      <c r="S88" s="59">
        <f ca="1">AVERAGE(OFFSET($R$3,0,0,'Données projet'!$E$9+1,1))-AVERAGE(OFFSET($H$3,0,0,'Données projet'!$E$9+1,1))</f>
        <v>193.8828274189392</v>
      </c>
      <c r="T88" s="59">
        <f t="shared" si="88"/>
        <v>179.13381331066427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32.288100578337996</v>
      </c>
      <c r="AA88" s="21">
        <f>EXP(-LN(2)/25)*AA87+(1-EXP(-LN(2)/25))/(LN(2)/25)*Calculateur!V88*Calculateur!X88*VLOOKUP('Données projet'!$B$9,Paramètres!$A$1:$I$89,3,0)*0.475*44/12</f>
        <v>14.231815663349547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46.51991624168754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-6.8212102632969618E-13</v>
      </c>
      <c r="AJ88" s="13">
        <f>AI88*VLOOKUP('Données projet'!$B$10,Paramètres!$A$1:$I$89,3,0)*VLOOKUP('Données projet'!$B$10,Paramètres!$A$1:$I$89,5,0)</f>
        <v>-4.0790837374515837E-13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228.36873053496748</v>
      </c>
      <c r="AO88" s="59">
        <f t="shared" si="90"/>
        <v>177.73676400313303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121.69872837879078</v>
      </c>
      <c r="AV88" s="21">
        <f>EXP(-LN(2)/25)*AV87+(1-EXP(-LN(2)/25))/(LN(2)/25)*Calculateur!AQ88*Calculateur!AS88*VLOOKUP('Données projet'!$B$10,Paramètres!$A$1:$I$89,3,0)*0.475*44/12</f>
        <v>57.615760180010263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179.31448855880103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275.98139400000031</v>
      </c>
      <c r="BF88" s="13">
        <f t="shared" si="91"/>
        <v>66.117048721763197</v>
      </c>
      <c r="BG88" s="20">
        <f t="shared" si="61"/>
        <v>595.82145440707143</v>
      </c>
      <c r="BH88" s="59">
        <f t="shared" si="62"/>
        <v>889.1547877404048</v>
      </c>
      <c r="BI88" s="59">
        <f ca="1">AVERAGE(OFFSET($BH$3,0,0,'Données projet'!$E$11+1,1))-AVERAGE(OFFSET($H$3,0,0,'Données projet'!$E$11+1,1))</f>
        <v>534.59150243554586</v>
      </c>
      <c r="BJ88" s="59">
        <f t="shared" si="92"/>
        <v>259.04458689606491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47.406456314224677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47.406456314224677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2.8421709430404007E-14</v>
      </c>
      <c r="BZ88" s="13">
        <f>BY88*VLOOKUP('Données projet'!$B$12,Paramètres!$A$1:$I$89,3,0)*VLOOKUP('Données projet'!$B$12,Paramètres!$A$1:$I$89,5,0)</f>
        <v>2.4829205358400945E-14</v>
      </c>
      <c r="CA88" s="13">
        <f t="shared" si="93"/>
        <v>4.3867331143352915E-13</v>
      </c>
      <c r="CB88" s="20">
        <f t="shared" si="64"/>
        <v>8.0726688341261168E-13</v>
      </c>
      <c r="CC88" s="59">
        <f t="shared" si="65"/>
        <v>293.33333333333411</v>
      </c>
      <c r="CD88" s="59">
        <f ca="1">AVERAGE(OFFSET($CC$3,0,0,'Données projet'!$E$12+1,1))-AVERAGE(OFFSET($H$3,0,0,'Données projet'!$E$12+1,1))</f>
        <v>211.91720528436969</v>
      </c>
      <c r="CE88" s="59">
        <f t="shared" si="94"/>
        <v>218.88548486038957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70.182145080963124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70.182145080963124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8.2910000000000021</v>
      </c>
      <c r="CT88" s="12">
        <f>IF('Données projet'!$A$140&gt;35,CT87+CS88-DB87,IF(A88&lt;'Données projet'!$A$140,$CQ$205^A88,IF(A88='Données projet'!$A$140,'Données projet'!$B$140,CT87+CS88-DB87)))</f>
        <v>272.17100000000028</v>
      </c>
      <c r="CU88" s="17">
        <f>CT88*VLOOKUP('Données projet'!$B$13,Paramètres!$A$1:$I$89,3,0)*VLOOKUP('Données projet'!$B$13,Paramètres!$A$1:$I$89,5,0)</f>
        <v>246.26032080000024</v>
      </c>
      <c r="CV88" s="13">
        <f t="shared" si="95"/>
        <v>59.784443753506842</v>
      </c>
      <c r="CW88" s="20">
        <f t="shared" si="67"/>
        <v>533.02796493069138</v>
      </c>
      <c r="CX88" s="59">
        <f t="shared" si="68"/>
        <v>826.36129826402475</v>
      </c>
      <c r="CY88" s="59">
        <f ca="1">AVERAGE(OFFSET($CX$3,0,0,'Données projet'!$E$13+1,1))-AVERAGE(OFFSET($H$3,0,0,'Données projet'!$E$13+1,1))</f>
        <v>469.97161976912071</v>
      </c>
      <c r="CZ88" s="59">
        <f t="shared" si="96"/>
        <v>231.65013084759306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42.301145634231247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42.301145634231247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8.2910000000000021</v>
      </c>
      <c r="DO88" s="12">
        <f>IF('Données projet'!$A$166&gt;35,DO87+DN88-DW87,IF(A88&lt;'Données projet'!$A$166,$DL$205^A88,IF(A88='Données projet'!$A$166,'Données projet'!$B$166,DO87+DN88-DW87)))</f>
        <v>272.17100000000028</v>
      </c>
      <c r="DP88" s="17">
        <f>DO88*VLOOKUP('Données projet'!$B$14,Paramètres!$A$1:$I$89,3,0)*VLOOKUP('Données projet'!$B$14,Paramètres!$A$1:$I$89,5,0)</f>
        <v>263.24379120000026</v>
      </c>
      <c r="DQ88" s="13">
        <f t="shared" si="97"/>
        <v>63.413323405741842</v>
      </c>
      <c r="DR88" s="20">
        <f t="shared" si="70"/>
        <v>568.92780793833413</v>
      </c>
      <c r="DS88" s="59">
        <f t="shared" si="71"/>
        <v>862.26114127166738</v>
      </c>
      <c r="DT88" s="59">
        <f ca="1">AVERAGE(OFFSET($DS$3,0,0,'Données projet'!$E$14+1,1))-AVERAGE(OFFSET($H$3,0,0,'Données projet'!$E$14+1,1))</f>
        <v>506.9153247310901</v>
      </c>
      <c r="DU88" s="59">
        <f t="shared" si="98"/>
        <v>247.31254626788319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45.218466022798921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45.218466022798921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6.2826666666666631</v>
      </c>
      <c r="N89" s="13">
        <f>IF('Données projet'!$A$36&gt;35,N88+M89-V88,IF(A89&lt;'Données projet'!$A$36,$K$205^A89,IF(A89='Données projet'!$A$36,'Données projet'!$B$36,N88+M89-V88)))</f>
        <v>266.75933333333336</v>
      </c>
      <c r="O89" s="13">
        <f>N89*VLOOKUP('Données projet'!$B$9,Paramètres!$A$1:$I$89,3,0)*VLOOKUP('Données projet'!$B$9,Paramètres!$A$1:$I$89,5,0)</f>
        <v>159.52208133333335</v>
      </c>
      <c r="P89" s="13">
        <f t="shared" si="87"/>
        <v>40.734700756984076</v>
      </c>
      <c r="Q89" s="20">
        <f t="shared" si="54"/>
        <v>348.78056214063616</v>
      </c>
      <c r="R89" s="59">
        <f t="shared" si="55"/>
        <v>642.11389547396948</v>
      </c>
      <c r="S89" s="59">
        <f ca="1">AVERAGE(OFFSET($R$3,0,0,'Données projet'!$E$9+1,1))-AVERAGE(OFFSET($H$3,0,0,'Données projet'!$E$9+1,1))</f>
        <v>193.8828274189392</v>
      </c>
      <c r="T89" s="59">
        <f t="shared" si="88"/>
        <v>179.13381331066427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31.654950619793539</v>
      </c>
      <c r="AA89" s="21">
        <f>EXP(-LN(2)/25)*AA88+(1-EXP(-LN(2)/25))/(LN(2)/25)*Calculateur!V89*Calculateur!X89*VLOOKUP('Données projet'!$B$9,Paramètres!$A$1:$I$89,3,0)*0.475*44/12</f>
        <v>13.842645915616595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45.497596535410132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-6.8212102632969618E-13</v>
      </c>
      <c r="AJ89" s="13">
        <f>AI89*VLOOKUP('Données projet'!$B$10,Paramètres!$A$1:$I$89,3,0)*VLOOKUP('Données projet'!$B$10,Paramètres!$A$1:$I$89,5,0)</f>
        <v>-4.0790837374515837E-13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228.36873053496748</v>
      </c>
      <c r="AO89" s="59">
        <f t="shared" si="90"/>
        <v>177.73676400313303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119.3122905441775</v>
      </c>
      <c r="AV89" s="21">
        <f>EXP(-LN(2)/25)*AV88+(1-EXP(-LN(2)/25))/(LN(2)/25)*Calculateur!AQ89*Calculateur!AS89*VLOOKUP('Données projet'!$B$10,Paramètres!$A$1:$I$89,3,0)*0.475*44/12</f>
        <v>56.040254188006735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175.35254473218424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284.38846800000033</v>
      </c>
      <c r="BF89" s="13">
        <f t="shared" si="91"/>
        <v>67.893577257383939</v>
      </c>
      <c r="BG89" s="20">
        <f t="shared" si="61"/>
        <v>613.55789548994426</v>
      </c>
      <c r="BH89" s="59">
        <f t="shared" si="62"/>
        <v>906.89122882327752</v>
      </c>
      <c r="BI89" s="59">
        <f ca="1">AVERAGE(OFFSET($BH$3,0,0,'Données projet'!$E$11+1,1))-AVERAGE(OFFSET($H$3,0,0,'Données projet'!$E$11+1,1))</f>
        <v>534.59150243554586</v>
      </c>
      <c r="BJ89" s="59">
        <f t="shared" si="92"/>
        <v>259.04458689606491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46.476844620985958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46.476844620985958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2.8421709430404007E-14</v>
      </c>
      <c r="BZ89" s="13">
        <f>BY89*VLOOKUP('Données projet'!$B$12,Paramètres!$A$1:$I$89,3,0)*VLOOKUP('Données projet'!$B$12,Paramètres!$A$1:$I$89,5,0)</f>
        <v>2.4829205358400945E-14</v>
      </c>
      <c r="CA89" s="13">
        <f t="shared" si="93"/>
        <v>4.3867331143352915E-13</v>
      </c>
      <c r="CB89" s="20">
        <f t="shared" si="64"/>
        <v>8.0726688341261168E-13</v>
      </c>
      <c r="CC89" s="59">
        <f t="shared" si="65"/>
        <v>293.33333333333411</v>
      </c>
      <c r="CD89" s="59">
        <f ca="1">AVERAGE(OFFSET($CC$3,0,0,'Données projet'!$E$12+1,1))-AVERAGE(OFFSET($H$3,0,0,'Données projet'!$E$12+1,1))</f>
        <v>211.91720528436969</v>
      </c>
      <c r="CE89" s="59">
        <f t="shared" si="94"/>
        <v>218.88548486038957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68.805916022807111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68.805916022807111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8.2910000000000021</v>
      </c>
      <c r="CT89" s="12">
        <f>IF('Données projet'!$A$140&gt;35,CT88+CS89-DB88,IF(A89&lt;'Données projet'!$A$140,$CQ$205^A89,IF(A89='Données projet'!$A$140,'Données projet'!$B$140,CT88+CS89-DB88)))</f>
        <v>280.46200000000027</v>
      </c>
      <c r="CU89" s="17">
        <f>CT89*VLOOKUP('Données projet'!$B$13,Paramètres!$A$1:$I$89,3,0)*VLOOKUP('Données projet'!$B$13,Paramètres!$A$1:$I$89,5,0)</f>
        <v>253.76201760000023</v>
      </c>
      <c r="CV89" s="13">
        <f t="shared" si="95"/>
        <v>61.390818695638195</v>
      </c>
      <c r="CW89" s="20">
        <f t="shared" si="67"/>
        <v>548.89118988157031</v>
      </c>
      <c r="CX89" s="59">
        <f t="shared" si="68"/>
        <v>842.22452321490368</v>
      </c>
      <c r="CY89" s="59">
        <f ca="1">AVERAGE(OFFSET($CX$3,0,0,'Données projet'!$E$13+1,1))-AVERAGE(OFFSET($H$3,0,0,'Données projet'!$E$13+1,1))</f>
        <v>469.97161976912071</v>
      </c>
      <c r="CZ89" s="59">
        <f t="shared" si="96"/>
        <v>231.65013084759306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41.471645969495157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41.471645969495157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8.2910000000000021</v>
      </c>
      <c r="DO89" s="12">
        <f>IF('Données projet'!$A$166&gt;35,DO88+DN89-DW88,IF(A89&lt;'Données projet'!$A$166,$DL$205^A89,IF(A89='Données projet'!$A$166,'Données projet'!$B$166,DO88+DN89-DW88)))</f>
        <v>280.46200000000027</v>
      </c>
      <c r="DP89" s="17">
        <f>DO89*VLOOKUP('Données projet'!$B$14,Paramètres!$A$1:$I$89,3,0)*VLOOKUP('Données projet'!$B$14,Paramètres!$A$1:$I$89,5,0)</f>
        <v>271.26284640000029</v>
      </c>
      <c r="DQ89" s="13">
        <f t="shared" si="97"/>
        <v>65.117204337314064</v>
      </c>
      <c r="DR89" s="20">
        <f t="shared" si="70"/>
        <v>585.86192170082245</v>
      </c>
      <c r="DS89" s="59">
        <f t="shared" si="71"/>
        <v>879.19525503415571</v>
      </c>
      <c r="DT89" s="59">
        <f ca="1">AVERAGE(OFFSET($DS$3,0,0,'Données projet'!$E$14+1,1))-AVERAGE(OFFSET($H$3,0,0,'Données projet'!$E$14+1,1))</f>
        <v>506.9153247310901</v>
      </c>
      <c r="DU89" s="59">
        <f t="shared" si="98"/>
        <v>247.31254626788319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44.331759484632755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44.331759484632755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6.2826666666666631</v>
      </c>
      <c r="N90" s="13">
        <f>IF('Données projet'!$A$36&gt;35,N89+M90-V89,IF(A90&lt;'Données projet'!$A$36,$K$205^A90,IF(A90='Données projet'!$A$36,'Données projet'!$B$36,N89+M90-V89)))</f>
        <v>273.04200000000003</v>
      </c>
      <c r="O90" s="13">
        <f>N90*VLOOKUP('Données projet'!$B$9,Paramètres!$A$1:$I$89,3,0)*VLOOKUP('Données projet'!$B$9,Paramètres!$A$1:$I$89,5,0)</f>
        <v>163.27911600000004</v>
      </c>
      <c r="P90" s="13">
        <f t="shared" si="87"/>
        <v>41.581253634423376</v>
      </c>
      <c r="Q90" s="20">
        <f t="shared" si="54"/>
        <v>356.79847711328745</v>
      </c>
      <c r="R90" s="59">
        <f t="shared" si="55"/>
        <v>650.13181044662076</v>
      </c>
      <c r="S90" s="59">
        <f ca="1">AVERAGE(OFFSET($R$3,0,0,'Données projet'!$E$9+1,1))-AVERAGE(OFFSET($H$3,0,0,'Données projet'!$E$9+1,1))</f>
        <v>193.8828274189392</v>
      </c>
      <c r="T90" s="59">
        <f t="shared" si="88"/>
        <v>179.13381331066427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31.034216345752796</v>
      </c>
      <c r="AA90" s="21">
        <f>EXP(-LN(2)/25)*AA89+(1-EXP(-LN(2)/25))/(LN(2)/25)*Calculateur!V90*Calculateur!X90*VLOOKUP('Données projet'!$B$9,Paramètres!$A$1:$I$89,3,0)*0.475*44/12</f>
        <v>13.464118035100949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44.498334380853748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-6.8212102632969618E-13</v>
      </c>
      <c r="AJ90" s="13">
        <f>AI90*VLOOKUP('Données projet'!$B$10,Paramètres!$A$1:$I$89,3,0)*VLOOKUP('Données projet'!$B$10,Paramètres!$A$1:$I$89,5,0)</f>
        <v>-4.0790837374515837E-13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228.36873053496748</v>
      </c>
      <c r="AO90" s="59">
        <f t="shared" si="90"/>
        <v>177.73676400313303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116.97264929991765</v>
      </c>
      <c r="AV90" s="21">
        <f>EXP(-LN(2)/25)*AV89+(1-EXP(-LN(2)/25))/(LN(2)/25)*Calculateur!AQ90*Calculateur!AS90*VLOOKUP('Données projet'!$B$10,Paramètres!$A$1:$I$89,3,0)*0.475*44/12</f>
        <v>54.507830490206807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171.48047979012446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292.7955420000003</v>
      </c>
      <c r="BF90" s="13">
        <f t="shared" si="91"/>
        <v>69.664002307656872</v>
      </c>
      <c r="BG90" s="20">
        <f t="shared" si="61"/>
        <v>631.2837063358362</v>
      </c>
      <c r="BH90" s="59">
        <f t="shared" si="62"/>
        <v>924.61703966916957</v>
      </c>
      <c r="BI90" s="59">
        <f ca="1">AVERAGE(OFFSET($BH$3,0,0,'Données projet'!$E$11+1,1))-AVERAGE(OFFSET($H$3,0,0,'Données projet'!$E$11+1,1))</f>
        <v>534.59150243554586</v>
      </c>
      <c r="BJ90" s="59">
        <f t="shared" si="92"/>
        <v>259.04458689606491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45.565462046044502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45.565462046044502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2.8421709430404007E-14</v>
      </c>
      <c r="BZ90" s="13">
        <f>BY90*VLOOKUP('Données projet'!$B$12,Paramètres!$A$1:$I$89,3,0)*VLOOKUP('Données projet'!$B$12,Paramètres!$A$1:$I$89,5,0)</f>
        <v>2.4829205358400945E-14</v>
      </c>
      <c r="CA90" s="13">
        <f t="shared" si="93"/>
        <v>4.3867331143352915E-13</v>
      </c>
      <c r="CB90" s="20">
        <f t="shared" si="64"/>
        <v>8.0726688341261168E-13</v>
      </c>
      <c r="CC90" s="59">
        <f t="shared" si="65"/>
        <v>293.33333333333411</v>
      </c>
      <c r="CD90" s="59">
        <f ca="1">AVERAGE(OFFSET($CC$3,0,0,'Données projet'!$E$12+1,1))-AVERAGE(OFFSET($H$3,0,0,'Données projet'!$E$12+1,1))</f>
        <v>211.91720528436969</v>
      </c>
      <c r="CE90" s="59">
        <f t="shared" si="94"/>
        <v>218.88548486038957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67.456673977064696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67.456673977064696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8.2910000000000021</v>
      </c>
      <c r="CT90" s="12">
        <f>IF('Données projet'!$A$140&gt;35,CT89+CS90-DB89,IF(A90&lt;'Données projet'!$A$140,$CQ$205^A90,IF(A90='Données projet'!$A$140,'Données projet'!$B$140,CT89+CS90-DB89)))</f>
        <v>288.75300000000027</v>
      </c>
      <c r="CU90" s="17">
        <f>CT90*VLOOKUP('Données projet'!$B$13,Paramètres!$A$1:$I$89,3,0)*VLOOKUP('Données projet'!$B$13,Paramètres!$A$1:$I$89,5,0)</f>
        <v>261.26371440000025</v>
      </c>
      <c r="CV90" s="13">
        <f t="shared" si="95"/>
        <v>62.991674736313257</v>
      </c>
      <c r="CW90" s="20">
        <f t="shared" si="67"/>
        <v>564.74480274574603</v>
      </c>
      <c r="CX90" s="59">
        <f t="shared" si="68"/>
        <v>858.07813607907929</v>
      </c>
      <c r="CY90" s="59">
        <f ca="1">AVERAGE(OFFSET($CX$3,0,0,'Données projet'!$E$13+1,1))-AVERAGE(OFFSET($H$3,0,0,'Données projet'!$E$13+1,1))</f>
        <v>469.97161976912071</v>
      </c>
      <c r="CZ90" s="59">
        <f t="shared" si="96"/>
        <v>231.65013084759306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40.658412287239706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40.658412287239706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8.2910000000000021</v>
      </c>
      <c r="DO90" s="12">
        <f>IF('Données projet'!$A$166&gt;35,DO89+DN90-DW89,IF(A90&lt;'Données projet'!$A$166,$DL$205^A90,IF(A90='Données projet'!$A$166,'Données projet'!$B$166,DO89+DN90-DW89)))</f>
        <v>288.75300000000027</v>
      </c>
      <c r="DP90" s="17">
        <f>DO90*VLOOKUP('Données projet'!$B$14,Paramètres!$A$1:$I$89,3,0)*VLOOKUP('Données projet'!$B$14,Paramètres!$A$1:$I$89,5,0)</f>
        <v>279.28190160000025</v>
      </c>
      <c r="DQ90" s="13">
        <f t="shared" si="97"/>
        <v>66.815231373442643</v>
      </c>
      <c r="DR90" s="20">
        <f t="shared" si="70"/>
        <v>602.78583992874633</v>
      </c>
      <c r="DS90" s="59">
        <f t="shared" si="71"/>
        <v>896.11917326207958</v>
      </c>
      <c r="DT90" s="59">
        <f ca="1">AVERAGE(OFFSET($DS$3,0,0,'Données projet'!$E$14+1,1))-AVERAGE(OFFSET($H$3,0,0,'Données projet'!$E$14+1,1))</f>
        <v>506.9153247310901</v>
      </c>
      <c r="DU90" s="59">
        <f t="shared" si="98"/>
        <v>247.31254626788319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43.462440720842444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43.462440720842444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6.2826666666666631</v>
      </c>
      <c r="N91" s="13">
        <f>IF('Données projet'!$A$36&gt;35,N90+M91-V90,IF(A91&lt;'Données projet'!$A$36,$K$205^A91,IF(A91='Données projet'!$A$36,'Données projet'!$B$36,N90+M91-V90)))</f>
        <v>279.3246666666667</v>
      </c>
      <c r="O91" s="13">
        <f>N91*VLOOKUP('Données projet'!$B$9,Paramètres!$A$1:$I$89,3,0)*VLOOKUP('Données projet'!$B$9,Paramètres!$A$1:$I$89,5,0)</f>
        <v>167.03615066666669</v>
      </c>
      <c r="P91" s="13">
        <f t="shared" si="87"/>
        <v>42.425541968338628</v>
      </c>
      <c r="Q91" s="20">
        <f t="shared" si="54"/>
        <v>364.81244800596755</v>
      </c>
      <c r="R91" s="59">
        <f t="shared" si="55"/>
        <v>658.14578133930081</v>
      </c>
      <c r="S91" s="59">
        <f ca="1">AVERAGE(OFFSET($R$3,0,0,'Données projet'!$E$9+1,1))-AVERAGE(OFFSET($H$3,0,0,'Données projet'!$E$9+1,1))</f>
        <v>193.8828274189392</v>
      </c>
      <c r="T91" s="59">
        <f t="shared" si="88"/>
        <v>179.13381331066427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30.425654292215469</v>
      </c>
      <c r="AA91" s="21">
        <f>EXP(-LN(2)/25)*AA90+(1-EXP(-LN(2)/25))/(LN(2)/25)*Calculateur!V91*Calculateur!X91*VLOOKUP('Données projet'!$B$9,Paramètres!$A$1:$I$89,3,0)*0.475*44/12</f>
        <v>13.095941019383918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43.521595311599384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-6.8212102632969618E-13</v>
      </c>
      <c r="AJ91" s="13">
        <f>AI91*VLOOKUP('Données projet'!$B$10,Paramètres!$A$1:$I$89,3,0)*VLOOKUP('Données projet'!$B$10,Paramètres!$A$1:$I$89,5,0)</f>
        <v>-4.0790837374515837E-13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228.36873053496748</v>
      </c>
      <c r="AO91" s="59">
        <f t="shared" si="90"/>
        <v>177.73676400313303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114.67888699341748</v>
      </c>
      <c r="AV91" s="21">
        <f>EXP(-LN(2)/25)*AV90+(1-EXP(-LN(2)/25))/(LN(2)/25)*Calculateur!AQ91*Calculateur!AS91*VLOOKUP('Données projet'!$B$10,Paramètres!$A$1:$I$89,3,0)*0.475*44/12</f>
        <v>53.017310999009872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167.69619799242736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301.20261600000032</v>
      </c>
      <c r="BF91" s="13">
        <f t="shared" si="91"/>
        <v>71.428519249633297</v>
      </c>
      <c r="BG91" s="20">
        <f t="shared" si="61"/>
        <v>648.99922722644521</v>
      </c>
      <c r="BH91" s="59">
        <f t="shared" si="62"/>
        <v>942.33256055977859</v>
      </c>
      <c r="BI91" s="59">
        <f ca="1">AVERAGE(OFFSET($BH$3,0,0,'Données projet'!$E$11+1,1))-AVERAGE(OFFSET($H$3,0,0,'Données projet'!$E$11+1,1))</f>
        <v>534.59150243554586</v>
      </c>
      <c r="BJ91" s="59">
        <f t="shared" si="92"/>
        <v>259.04458689606491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44.671951127509168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44.671951127509168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2.8421709430404007E-14</v>
      </c>
      <c r="BZ91" s="13">
        <f>BY91*VLOOKUP('Données projet'!$B$12,Paramètres!$A$1:$I$89,3,0)*VLOOKUP('Données projet'!$B$12,Paramètres!$A$1:$I$89,5,0)</f>
        <v>2.4829205358400945E-14</v>
      </c>
      <c r="CA91" s="13">
        <f t="shared" si="93"/>
        <v>4.3867331143352915E-13</v>
      </c>
      <c r="CB91" s="20">
        <f t="shared" si="64"/>
        <v>8.0726688341261168E-13</v>
      </c>
      <c r="CC91" s="59">
        <f t="shared" si="65"/>
        <v>293.33333333333411</v>
      </c>
      <c r="CD91" s="59">
        <f ca="1">AVERAGE(OFFSET($CC$3,0,0,'Données projet'!$E$12+1,1))-AVERAGE(OFFSET($H$3,0,0,'Données projet'!$E$12+1,1))</f>
        <v>211.91720528436969</v>
      </c>
      <c r="CE91" s="59">
        <f t="shared" si="94"/>
        <v>218.88548486038957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66.133889744882907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66.133889744882907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8.2910000000000021</v>
      </c>
      <c r="CT91" s="12">
        <f>IF('Données projet'!$A$140&gt;35,CT90+CS91-DB90,IF(A91&lt;'Données projet'!$A$140,$CQ$205^A91,IF(A91='Données projet'!$A$140,'Données projet'!$B$140,CT90+CS91-DB90)))</f>
        <v>297.04400000000027</v>
      </c>
      <c r="CU91" s="17">
        <f>CT91*VLOOKUP('Données projet'!$B$13,Paramètres!$A$1:$I$89,3,0)*VLOOKUP('Données projet'!$B$13,Paramètres!$A$1:$I$89,5,0)</f>
        <v>268.76541120000024</v>
      </c>
      <c r="CV91" s="13">
        <f t="shared" si="95"/>
        <v>64.587188539623412</v>
      </c>
      <c r="CW91" s="20">
        <f t="shared" si="67"/>
        <v>580.58911121317794</v>
      </c>
      <c r="CX91" s="59">
        <f t="shared" si="68"/>
        <v>873.92244454651131</v>
      </c>
      <c r="CY91" s="59">
        <f ca="1">AVERAGE(OFFSET($CX$3,0,0,'Données projet'!$E$13+1,1))-AVERAGE(OFFSET($H$3,0,0,'Données projet'!$E$13+1,1))</f>
        <v>469.97161976912071</v>
      </c>
      <c r="CZ91" s="59">
        <f t="shared" si="96"/>
        <v>231.65013084759306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39.861125621469718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39.861125621469718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8.2910000000000021</v>
      </c>
      <c r="DO91" s="12">
        <f>IF('Données projet'!$A$166&gt;35,DO90+DN91-DW90,IF(A91&lt;'Données projet'!$A$166,$DL$205^A91,IF(A91='Données projet'!$A$166,'Données projet'!$B$166,DO90+DN91-DW90)))</f>
        <v>297.04400000000027</v>
      </c>
      <c r="DP91" s="17">
        <f>DO91*VLOOKUP('Données projet'!$B$14,Paramètres!$A$1:$I$89,3,0)*VLOOKUP('Données projet'!$B$14,Paramètres!$A$1:$I$89,5,0)</f>
        <v>287.30095680000028</v>
      </c>
      <c r="DQ91" s="13">
        <f t="shared" si="97"/>
        <v>68.507591901622632</v>
      </c>
      <c r="DR91" s="20">
        <f t="shared" si="70"/>
        <v>619.69988898865984</v>
      </c>
      <c r="DS91" s="59">
        <f t="shared" si="71"/>
        <v>913.03322232199321</v>
      </c>
      <c r="DT91" s="59">
        <f ca="1">AVERAGE(OFFSET($DS$3,0,0,'Données projet'!$E$14+1,1))-AVERAGE(OFFSET($H$3,0,0,'Données projet'!$E$14+1,1))</f>
        <v>506.9153247310901</v>
      </c>
      <c r="DU91" s="59">
        <f t="shared" si="98"/>
        <v>247.31254626788319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42.610168767777971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42.610168767777971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6.2826666666666631</v>
      </c>
      <c r="N92" s="13">
        <f>IF('Données projet'!$A$36&gt;35,N91+M92-V91,IF(A92&lt;'Données projet'!$A$36,$K$205^A92,IF(A92='Données projet'!$A$36,'Données projet'!$B$36,N91+M92-V91)))</f>
        <v>285.60733333333337</v>
      </c>
      <c r="O92" s="13">
        <f>N92*VLOOKUP('Données projet'!$B$9,Paramètres!$A$1:$I$89,3,0)*VLOOKUP('Données projet'!$B$9,Paramètres!$A$1:$I$89,5,0)</f>
        <v>170.79318533333335</v>
      </c>
      <c r="P92" s="13">
        <f t="shared" si="87"/>
        <v>43.267622557749021</v>
      </c>
      <c r="Q92" s="20">
        <f t="shared" si="54"/>
        <v>372.82257374363513</v>
      </c>
      <c r="R92" s="59">
        <f t="shared" si="55"/>
        <v>666.15590707696845</v>
      </c>
      <c r="S92" s="59">
        <f ca="1">AVERAGE(OFFSET($R$3,0,0,'Données projet'!$E$9+1,1))-AVERAGE(OFFSET($H$3,0,0,'Données projet'!$E$9+1,1))</f>
        <v>193.8828274189392</v>
      </c>
      <c r="T92" s="59">
        <f t="shared" si="88"/>
        <v>179.13381331066427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29.829025769361809</v>
      </c>
      <c r="AA92" s="21">
        <f>EXP(-LN(2)/25)*AA91+(1-EXP(-LN(2)/25))/(LN(2)/25)*Calculateur!V92*Calculateur!X92*VLOOKUP('Données projet'!$B$9,Paramètres!$A$1:$I$89,3,0)*0.475*44/12</f>
        <v>12.737831823523258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42.566857592885071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-6.8212102632969618E-13</v>
      </c>
      <c r="AJ92" s="13">
        <f>AI92*VLOOKUP('Données projet'!$B$10,Paramètres!$A$1:$I$89,3,0)*VLOOKUP('Données projet'!$B$10,Paramètres!$A$1:$I$89,5,0)</f>
        <v>-4.0790837374515837E-13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228.36873053496748</v>
      </c>
      <c r="AO92" s="59">
        <f t="shared" si="90"/>
        <v>177.73676400313303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112.43010396669091</v>
      </c>
      <c r="AV92" s="21">
        <f>EXP(-LN(2)/25)*AV91+(1-EXP(-LN(2)/25))/(LN(2)/25)*Calculateur!AQ92*Calculateur!AS92*VLOOKUP('Données projet'!$B$10,Paramètres!$A$1:$I$89,3,0)*0.475*44/12</f>
        <v>51.567549841682734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163.99765380837363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309.60969000000028</v>
      </c>
      <c r="BF92" s="13">
        <f t="shared" si="91"/>
        <v>73.187311933195204</v>
      </c>
      <c r="BG92" s="20">
        <f t="shared" si="61"/>
        <v>666.70477836698205</v>
      </c>
      <c r="BH92" s="59">
        <f t="shared" si="62"/>
        <v>960.03811170031531</v>
      </c>
      <c r="BI92" s="59">
        <f ca="1">AVERAGE(OFFSET($BH$3,0,0,'Données projet'!$E$11+1,1))-AVERAGE(OFFSET($H$3,0,0,'Données projet'!$E$11+1,1))</f>
        <v>534.59150243554586</v>
      </c>
      <c r="BJ92" s="59">
        <f t="shared" si="92"/>
        <v>259.04458689606491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43.79596141309846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43.79596141309846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2.8421709430404007E-14</v>
      </c>
      <c r="BZ92" s="13">
        <f>BY92*VLOOKUP('Données projet'!$B$12,Paramètres!$A$1:$I$89,3,0)*VLOOKUP('Données projet'!$B$12,Paramètres!$A$1:$I$89,5,0)</f>
        <v>2.4829205358400945E-14</v>
      </c>
      <c r="CA92" s="13">
        <f t="shared" si="93"/>
        <v>4.3867331143352915E-13</v>
      </c>
      <c r="CB92" s="20">
        <f t="shared" si="64"/>
        <v>8.0726688341261168E-13</v>
      </c>
      <c r="CC92" s="59">
        <f t="shared" si="65"/>
        <v>293.33333333333411</v>
      </c>
      <c r="CD92" s="59">
        <f ca="1">AVERAGE(OFFSET($CC$3,0,0,'Données projet'!$E$12+1,1))-AVERAGE(OFFSET($H$3,0,0,'Données projet'!$E$12+1,1))</f>
        <v>211.91720528436969</v>
      </c>
      <c r="CE92" s="59">
        <f t="shared" si="94"/>
        <v>218.88548486038957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64.837044504675475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64.837044504675475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8.2910000000000021</v>
      </c>
      <c r="CT92" s="12">
        <f>IF('Données projet'!$A$140&gt;35,CT91+CS92-DB91,IF(A92&lt;'Données projet'!$A$140,$CQ$205^A92,IF(A92='Données projet'!$A$140,'Données projet'!$B$140,CT91+CS92-DB91)))</f>
        <v>305.33500000000026</v>
      </c>
      <c r="CU92" s="17">
        <f>CT92*VLOOKUP('Données projet'!$B$13,Paramètres!$A$1:$I$89,3,0)*VLOOKUP('Données projet'!$B$13,Paramètres!$A$1:$I$89,5,0)</f>
        <v>276.26710800000023</v>
      </c>
      <c r="CV92" s="13">
        <f t="shared" si="95"/>
        <v>66.177526346547864</v>
      </c>
      <c r="CW92" s="20">
        <f t="shared" si="67"/>
        <v>596.42440482023801</v>
      </c>
      <c r="CX92" s="59">
        <f t="shared" si="68"/>
        <v>889.75773815357138</v>
      </c>
      <c r="CY92" s="59">
        <f ca="1">AVERAGE(OFFSET($CX$3,0,0,'Données projet'!$E$13+1,1))-AVERAGE(OFFSET($H$3,0,0,'Données projet'!$E$13+1,1))</f>
        <v>469.97161976912071</v>
      </c>
      <c r="CZ92" s="59">
        <f t="shared" si="96"/>
        <v>231.65013084759306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39.079473260918625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39.079473260918625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8.2910000000000021</v>
      </c>
      <c r="DO92" s="12">
        <f>IF('Données projet'!$A$166&gt;35,DO91+DN92-DW91,IF(A92&lt;'Données projet'!$A$166,$DL$205^A92,IF(A92='Données projet'!$A$166,'Données projet'!$B$166,DO91+DN92-DW91)))</f>
        <v>305.33500000000026</v>
      </c>
      <c r="DP92" s="17">
        <f>DO92*VLOOKUP('Données projet'!$B$14,Paramètres!$A$1:$I$89,3,0)*VLOOKUP('Données projet'!$B$14,Paramètres!$A$1:$I$89,5,0)</f>
        <v>295.32001200000025</v>
      </c>
      <c r="DQ92" s="13">
        <f t="shared" si="97"/>
        <v>70.194462253560403</v>
      </c>
      <c r="DR92" s="20">
        <f t="shared" si="70"/>
        <v>636.60437599161821</v>
      </c>
      <c r="DS92" s="59">
        <f t="shared" si="71"/>
        <v>929.93770932495158</v>
      </c>
      <c r="DT92" s="59">
        <f ca="1">AVERAGE(OFFSET($DS$3,0,0,'Données projet'!$E$14+1,1))-AVERAGE(OFFSET($H$3,0,0,'Données projet'!$E$14+1,1))</f>
        <v>506.9153247310901</v>
      </c>
      <c r="DU92" s="59">
        <f t="shared" si="98"/>
        <v>247.31254626788319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41.774609347878531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41.774609347878531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291.89</v>
      </c>
      <c r="L93" s="12">
        <f>VLOOKUP(A93,'Données projet'!$A$35:$I$55,9,0)</f>
        <v>6.2826666666666631</v>
      </c>
      <c r="M93" s="12">
        <f t="array" ref="M93">INDEX(L:L,MIN(IF(ISNUMBER(L93:L289),ROW(L93:L289),"")))</f>
        <v>6.2826666666666631</v>
      </c>
      <c r="N93" s="13">
        <f>IF('Données projet'!$A$36&gt;35,N92+M93-V92,IF(A93&lt;'Données projet'!$A$36,$K$205^A93,IF(A93='Données projet'!$A$36,'Données projet'!$B$36,N92+M93-V92)))</f>
        <v>291.89000000000004</v>
      </c>
      <c r="O93" s="13">
        <f>N93*VLOOKUP('Données projet'!$B$9,Paramètres!$A$1:$I$89,3,0)*VLOOKUP('Données projet'!$B$9,Paramètres!$A$1:$I$89,5,0)</f>
        <v>174.55022000000002</v>
      </c>
      <c r="P93" s="13">
        <f t="shared" si="87"/>
        <v>44.10754956010063</v>
      </c>
      <c r="Q93" s="20">
        <f t="shared" si="54"/>
        <v>380.82894865050861</v>
      </c>
      <c r="R93" s="59">
        <f t="shared" si="55"/>
        <v>674.16228198384192</v>
      </c>
      <c r="S93" s="59">
        <f ca="1">AVERAGE(OFFSET($R$3,0,0,'Données projet'!$E$9+1,1))-AVERAGE(OFFSET($H$3,0,0,'Données projet'!$E$9+1,1))</f>
        <v>193.8828274189392</v>
      </c>
      <c r="T93" s="59">
        <f t="shared" si="88"/>
        <v>179.13381331066427</v>
      </c>
      <c r="U93" s="15">
        <f>IF(ISNA(VLOOKUP(A93,'Données projet'!$A$35:$I$55,3,0)),0,VLOOKUP(A93,'Données projet'!$A$35:$I$55,3,0))</f>
        <v>4</v>
      </c>
      <c r="V93" s="15">
        <f>IF(ISNA(VLOOKUP(A93,'Données projet'!$A$35:$I$55,4,0)),0,VLOOKUP(A93,'Données projet'!$A$35:$I$55,4,0))</f>
        <v>65.83</v>
      </c>
      <c r="W93" s="16">
        <f>IF(ISNA(VLOOKUP(A93,'Données projet'!$A$35:$I$55,5,0)),0%,VLOOKUP(A93,'Données projet'!$A$35:$I$55,5,0)*VLOOKUP('Données projet'!$B$9,Paramètres!$A$1:$I$89,7,0))</f>
        <v>0.315</v>
      </c>
      <c r="X93" s="16">
        <f>IF(ISNA(VLOOKUP(A93,'Données projet'!$A$35:$I$55,6,0)),0%,VLOOKUP(A93,'Données projet'!$A$35:$I$55,6,0)*VLOOKUP('Données projet'!$B$9,Paramètres!$A$1:$I$89,7,0))</f>
        <v>0.13500000000000001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45.694022794129395</v>
      </c>
      <c r="AA93" s="21">
        <f>EXP(-LN(2)/25)*AA92+(1-EXP(-LN(2)/25))/(LN(2)/25)*Calculateur!V93*Calculateur!X93*VLOOKUP('Données projet'!$B$9,Paramètres!$A$1:$I$89,3,0)*0.475*44/12</f>
        <v>19.41172502796293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65.105747822092326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-6.8212102632969618E-13</v>
      </c>
      <c r="AJ93" s="13">
        <f>AI93*VLOOKUP('Données projet'!$B$10,Paramètres!$A$1:$I$89,3,0)*VLOOKUP('Données projet'!$B$10,Paramètres!$A$1:$I$89,5,0)</f>
        <v>-4.0790837374515837E-13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228.36873053496748</v>
      </c>
      <c r="AO93" s="59">
        <f t="shared" si="90"/>
        <v>177.73676400313303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110.22541820349625</v>
      </c>
      <c r="AV93" s="21">
        <f>EXP(-LN(2)/25)*AV92+(1-EXP(-LN(2)/25))/(LN(2)/25)*Calculateur!AQ93*Calculateur!AS93*VLOOKUP('Données projet'!$B$10,Paramètres!$A$1:$I$89,3,0)*0.475*44/12</f>
        <v>50.157432479442335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160.38285068293857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318.01676400000025</v>
      </c>
      <c r="BF93" s="13">
        <f t="shared" si="91"/>
        <v>74.940553655452632</v>
      </c>
      <c r="BG93" s="20">
        <f t="shared" si="61"/>
        <v>684.40066158324714</v>
      </c>
      <c r="BH93" s="59">
        <f t="shared" si="62"/>
        <v>977.73399491658051</v>
      </c>
      <c r="BI93" s="59">
        <f ca="1">AVERAGE(OFFSET($BH$3,0,0,'Données projet'!$E$11+1,1))-AVERAGE(OFFSET($H$3,0,0,'Données projet'!$E$11+1,1))</f>
        <v>534.59150243554586</v>
      </c>
      <c r="BJ93" s="59">
        <f t="shared" si="92"/>
        <v>259.04458689606491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42.937149322686381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42.937149322686381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2.8421709430404007E-14</v>
      </c>
      <c r="BZ93" s="13">
        <f>BY93*VLOOKUP('Données projet'!$B$12,Paramètres!$A$1:$I$89,3,0)*VLOOKUP('Données projet'!$B$12,Paramètres!$A$1:$I$89,5,0)</f>
        <v>2.4829205358400945E-14</v>
      </c>
      <c r="CA93" s="13">
        <f t="shared" si="93"/>
        <v>4.3867331143352915E-13</v>
      </c>
      <c r="CB93" s="20">
        <f t="shared" si="64"/>
        <v>8.0726688341261168E-13</v>
      </c>
      <c r="CC93" s="59">
        <f t="shared" si="65"/>
        <v>293.33333333333411</v>
      </c>
      <c r="CD93" s="59">
        <f ca="1">AVERAGE(OFFSET($CC$3,0,0,'Données projet'!$E$12+1,1))-AVERAGE(OFFSET($H$3,0,0,'Données projet'!$E$12+1,1))</f>
        <v>211.91720528436969</v>
      </c>
      <c r="CE93" s="59">
        <f t="shared" si="94"/>
        <v>218.88548486038957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63.565629608631028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63.565629608631028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8.2910000000000021</v>
      </c>
      <c r="CT93" s="12">
        <f>IF('Données projet'!$A$140&gt;35,CT92+CS93-DB92,IF(A93&lt;'Données projet'!$A$140,$CQ$205^A93,IF(A93='Données projet'!$A$140,'Données projet'!$B$140,CT92+CS93-DB92)))</f>
        <v>313.62600000000026</v>
      </c>
      <c r="CU93" s="17">
        <f>CT93*VLOOKUP('Données projet'!$B$13,Paramètres!$A$1:$I$89,3,0)*VLOOKUP('Données projet'!$B$13,Paramètres!$A$1:$I$89,5,0)</f>
        <v>283.76880480000023</v>
      </c>
      <c r="CV93" s="13">
        <f t="shared" si="95"/>
        <v>67.762844856024827</v>
      </c>
      <c r="CW93" s="20">
        <f t="shared" si="67"/>
        <v>612.2509564842436</v>
      </c>
      <c r="CX93" s="59">
        <f t="shared" si="68"/>
        <v>905.58428981757697</v>
      </c>
      <c r="CY93" s="59">
        <f ca="1">AVERAGE(OFFSET($CX$3,0,0,'Données projet'!$E$13+1,1))-AVERAGE(OFFSET($H$3,0,0,'Données projet'!$E$13+1,1))</f>
        <v>469.97161976912071</v>
      </c>
      <c r="CZ93" s="59">
        <f t="shared" si="96"/>
        <v>231.65013084759306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38.31314862639708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38.31314862639708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8.2910000000000021</v>
      </c>
      <c r="DO93" s="12">
        <f>IF('Données projet'!$A$166&gt;35,DO92+DN93-DW92,IF(A93&lt;'Données projet'!$A$166,$DL$205^A93,IF(A93='Données projet'!$A$166,'Données projet'!$B$166,DO92+DN93-DW92)))</f>
        <v>313.62600000000026</v>
      </c>
      <c r="DP93" s="17">
        <f>DO93*VLOOKUP('Données projet'!$B$14,Paramètres!$A$1:$I$89,3,0)*VLOOKUP('Données projet'!$B$14,Paramètres!$A$1:$I$89,5,0)</f>
        <v>303.33906720000027</v>
      </c>
      <c r="DQ93" s="13">
        <f t="shared" si="97"/>
        <v>71.876008639724958</v>
      </c>
      <c r="DR93" s="20">
        <f t="shared" si="70"/>
        <v>653.4995904208547</v>
      </c>
      <c r="DS93" s="59">
        <f t="shared" si="71"/>
        <v>946.83292375418796</v>
      </c>
      <c r="DT93" s="59">
        <f ca="1">AVERAGE(OFFSET($DS$3,0,0,'Données projet'!$E$14+1,1))-AVERAGE(OFFSET($H$3,0,0,'Données projet'!$E$14+1,1))</f>
        <v>506.9153247310901</v>
      </c>
      <c r="DU93" s="59">
        <f t="shared" si="98"/>
        <v>247.31254626788319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40.955434738562396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40.955434738562396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5.9170000000000016</v>
      </c>
      <c r="N94" s="13">
        <f>IF('Données projet'!$A$36&gt;35,N93+M94-V93,IF(A94&lt;'Données projet'!$A$36,$K$205^A94,IF(A94='Données projet'!$A$36,'Données projet'!$B$36,N93+M94-V93)))</f>
        <v>231.97700000000003</v>
      </c>
      <c r="O94" s="13">
        <f>N94*VLOOKUP('Données projet'!$B$9,Paramètres!$A$1:$I$89,3,0)*VLOOKUP('Données projet'!$B$9,Paramètres!$A$1:$I$89,5,0)</f>
        <v>138.72224600000004</v>
      </c>
      <c r="P94" s="13">
        <f t="shared" si="87"/>
        <v>36.004133980975695</v>
      </c>
      <c r="Q94" s="20">
        <f t="shared" si="54"/>
        <v>304.31511180019942</v>
      </c>
      <c r="R94" s="59">
        <f t="shared" si="55"/>
        <v>597.64844513353273</v>
      </c>
      <c r="S94" s="59">
        <f ca="1">AVERAGE(OFFSET($R$3,0,0,'Données projet'!$E$9+1,1))-AVERAGE(OFFSET($H$3,0,0,'Données projet'!$E$9+1,1))</f>
        <v>193.8828274189392</v>
      </c>
      <c r="T94" s="59">
        <f t="shared" si="88"/>
        <v>179.13381331066427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44.797990877738428</v>
      </c>
      <c r="AA94" s="21">
        <f>EXP(-LN(2)/25)*AA93+(1-EXP(-LN(2)/25))/(LN(2)/25)*Calculateur!V94*Calculateur!X94*VLOOKUP('Données projet'!$B$9,Paramètres!$A$1:$I$89,3,0)*0.475*44/12</f>
        <v>18.880910386255032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63.67890126399346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-6.8212102632969618E-13</v>
      </c>
      <c r="AJ94" s="13">
        <f>AI94*VLOOKUP('Données projet'!$B$10,Paramètres!$A$1:$I$89,3,0)*VLOOKUP('Données projet'!$B$10,Paramètres!$A$1:$I$89,5,0)</f>
        <v>-4.0790837374515837E-13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228.36873053496748</v>
      </c>
      <c r="AO94" s="59">
        <f t="shared" si="90"/>
        <v>177.73676400313303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108.0639649833923</v>
      </c>
      <c r="AV94" s="21">
        <f>EXP(-LN(2)/25)*AV93+(1-EXP(-LN(2)/25))/(LN(2)/25)*Calculateur!AQ94*Calculateur!AS94*VLOOKUP('Données projet'!$B$10,Paramètres!$A$1:$I$89,3,0)*0.475*44/12</f>
        <v>48.785874850627245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156.84983983401955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326.42383800000027</v>
      </c>
      <c r="BF94" s="13">
        <f t="shared" si="91"/>
        <v>76.688408029206073</v>
      </c>
      <c r="BG94" s="20">
        <f t="shared" si="61"/>
        <v>702.08716183420108</v>
      </c>
      <c r="BH94" s="59">
        <f t="shared" si="62"/>
        <v>995.42049516753445</v>
      </c>
      <c r="BI94" s="59">
        <f ca="1">AVERAGE(OFFSET($BH$3,0,0,'Données projet'!$E$11+1,1))-AVERAGE(OFFSET($H$3,0,0,'Données projet'!$E$11+1,1))</f>
        <v>534.59150243554586</v>
      </c>
      <c r="BJ94" s="59">
        <f t="shared" si="92"/>
        <v>259.04458689606491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42.095178013543631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42.095178013543631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2.8421709430404007E-14</v>
      </c>
      <c r="BZ94" s="13">
        <f>BY94*VLOOKUP('Données projet'!$B$12,Paramètres!$A$1:$I$89,3,0)*VLOOKUP('Données projet'!$B$12,Paramètres!$A$1:$I$89,5,0)</f>
        <v>2.4829205358400945E-14</v>
      </c>
      <c r="CA94" s="13">
        <f t="shared" si="93"/>
        <v>4.3867331143352915E-13</v>
      </c>
      <c r="CB94" s="20">
        <f t="shared" si="64"/>
        <v>8.0726688341261168E-13</v>
      </c>
      <c r="CC94" s="59">
        <f t="shared" si="65"/>
        <v>293.33333333333411</v>
      </c>
      <c r="CD94" s="59">
        <f ca="1">AVERAGE(OFFSET($CC$3,0,0,'Données projet'!$E$12+1,1))-AVERAGE(OFFSET($H$3,0,0,'Données projet'!$E$12+1,1))</f>
        <v>211.91720528436969</v>
      </c>
      <c r="CE94" s="59">
        <f t="shared" si="94"/>
        <v>218.88548486038957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62.319146383211496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62.319146383211496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8.2910000000000021</v>
      </c>
      <c r="CT94" s="12">
        <f>IF('Données projet'!$A$140&gt;35,CT93+CS94-DB93,IF(A94&lt;'Données projet'!$A$140,$CQ$205^A94,IF(A94='Données projet'!$A$140,'Données projet'!$B$140,CT93+CS94-DB93)))</f>
        <v>321.91700000000026</v>
      </c>
      <c r="CU94" s="17">
        <f>CT94*VLOOKUP('Données projet'!$B$13,Paramètres!$A$1:$I$89,3,0)*VLOOKUP('Données projet'!$B$13,Paramètres!$A$1:$I$89,5,0)</f>
        <v>291.27050160000022</v>
      </c>
      <c r="CV94" s="13">
        <f t="shared" si="95"/>
        <v>69.343292010233441</v>
      </c>
      <c r="CW94" s="20">
        <f t="shared" si="67"/>
        <v>628.0690238711569</v>
      </c>
      <c r="CX94" s="59">
        <f t="shared" si="68"/>
        <v>921.40235720449027</v>
      </c>
      <c r="CY94" s="59">
        <f ca="1">AVERAGE(OFFSET($CX$3,0,0,'Données projet'!$E$13+1,1))-AVERAGE(OFFSET($H$3,0,0,'Données projet'!$E$13+1,1))</f>
        <v>469.97161976912071</v>
      </c>
      <c r="CZ94" s="59">
        <f t="shared" si="96"/>
        <v>231.65013084759306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37.561851150546623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37.561851150546623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8.2910000000000021</v>
      </c>
      <c r="DO94" s="12">
        <f>IF('Données projet'!$A$166&gt;35,DO93+DN94-DW93,IF(A94&lt;'Données projet'!$A$166,$DL$205^A94,IF(A94='Données projet'!$A$166,'Données projet'!$B$166,DO93+DN94-DW93)))</f>
        <v>321.91700000000026</v>
      </c>
      <c r="DP94" s="17">
        <f>DO94*VLOOKUP('Données projet'!$B$14,Paramètres!$A$1:$I$89,3,0)*VLOOKUP('Données projet'!$B$14,Paramètres!$A$1:$I$89,5,0)</f>
        <v>311.35812240000024</v>
      </c>
      <c r="DQ94" s="13">
        <f t="shared" si="97"/>
        <v>73.552387982296665</v>
      </c>
      <c r="DR94" s="20">
        <f t="shared" si="70"/>
        <v>670.38580558250044</v>
      </c>
      <c r="DS94" s="59">
        <f t="shared" si="71"/>
        <v>963.71913891583381</v>
      </c>
      <c r="DT94" s="59">
        <f ca="1">AVERAGE(OFFSET($DS$3,0,0,'Données projet'!$E$14+1,1))-AVERAGE(OFFSET($H$3,0,0,'Données projet'!$E$14+1,1))</f>
        <v>506.9153247310901</v>
      </c>
      <c r="DU94" s="59">
        <f t="shared" si="98"/>
        <v>247.31254626788319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40.152323643687772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40.152323643687772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5.9170000000000016</v>
      </c>
      <c r="N95" s="13">
        <f>IF('Données projet'!$A$36&gt;35,N94+M95-V94,IF(A95&lt;'Données projet'!$A$36,$K$205^A95,IF(A95='Données projet'!$A$36,'Données projet'!$B$36,N94+M95-V94)))</f>
        <v>237.89400000000003</v>
      </c>
      <c r="O95" s="13">
        <f>N95*VLOOKUP('Données projet'!$B$9,Paramètres!$A$1:$I$89,3,0)*VLOOKUP('Données projet'!$B$9,Paramètres!$A$1:$I$89,5,0)</f>
        <v>142.26061200000004</v>
      </c>
      <c r="P95" s="13">
        <f t="shared" si="87"/>
        <v>36.814396177136373</v>
      </c>
      <c r="Q95" s="20">
        <f t="shared" si="54"/>
        <v>311.88897257517925</v>
      </c>
      <c r="R95" s="59">
        <f t="shared" si="55"/>
        <v>605.22230590851257</v>
      </c>
      <c r="S95" s="59">
        <f ca="1">AVERAGE(OFFSET($R$3,0,0,'Données projet'!$E$9+1,1))-AVERAGE(OFFSET($H$3,0,0,'Données projet'!$E$9+1,1))</f>
        <v>193.8828274189392</v>
      </c>
      <c r="T95" s="59">
        <f t="shared" si="88"/>
        <v>179.13381331066427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43.919529600702383</v>
      </c>
      <c r="AA95" s="21">
        <f>EXP(-LN(2)/25)*AA94+(1-EXP(-LN(2)/25))/(LN(2)/25)*Calculateur!V95*Calculateur!X95*VLOOKUP('Données projet'!$B$9,Paramètres!$A$1:$I$89,3,0)*0.475*44/12</f>
        <v>18.364610898838965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62.284140499541351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-6.8212102632969618E-13</v>
      </c>
      <c r="AJ95" s="13">
        <f>AI95*VLOOKUP('Données projet'!$B$10,Paramètres!$A$1:$I$89,3,0)*VLOOKUP('Données projet'!$B$10,Paramètres!$A$1:$I$89,5,0)</f>
        <v>-4.0790837374515837E-13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228.36873053496748</v>
      </c>
      <c r="AO95" s="59">
        <f t="shared" si="90"/>
        <v>177.73676400313303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105.94489654257829</v>
      </c>
      <c r="AV95" s="21">
        <f>EXP(-LN(2)/25)*AV94+(1-EXP(-LN(2)/25))/(LN(2)/25)*Calculateur!AQ95*Calculateur!AS95*VLOOKUP('Données projet'!$B$10,Paramètres!$A$1:$I$89,3,0)*0.475*44/12</f>
        <v>47.451822537299186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153.39671907987747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334.8309120000003</v>
      </c>
      <c r="BF95" s="13">
        <f t="shared" si="91"/>
        <v>78.431029759422557</v>
      </c>
      <c r="BG95" s="20">
        <f t="shared" si="61"/>
        <v>719.76454856432804</v>
      </c>
      <c r="BH95" s="59">
        <f t="shared" si="62"/>
        <v>1013.0978818976614</v>
      </c>
      <c r="BI95" s="59">
        <f ca="1">AVERAGE(OFFSET($BH$3,0,0,'Données projet'!$E$11+1,1))-AVERAGE(OFFSET($H$3,0,0,'Données projet'!$E$11+1,1))</f>
        <v>534.59150243554586</v>
      </c>
      <c r="BJ95" s="59">
        <f t="shared" si="92"/>
        <v>259.04458689606491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41.269717248221383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41.269717248221383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2.8421709430404007E-14</v>
      </c>
      <c r="BZ95" s="13">
        <f>BY95*VLOOKUP('Données projet'!$B$12,Paramètres!$A$1:$I$89,3,0)*VLOOKUP('Données projet'!$B$12,Paramètres!$A$1:$I$89,5,0)</f>
        <v>2.4829205358400945E-14</v>
      </c>
      <c r="CA95" s="13">
        <f t="shared" si="93"/>
        <v>4.3867331143352915E-13</v>
      </c>
      <c r="CB95" s="20">
        <f t="shared" si="64"/>
        <v>8.0726688341261168E-13</v>
      </c>
      <c r="CC95" s="59">
        <f t="shared" si="65"/>
        <v>293.33333333333411</v>
      </c>
      <c r="CD95" s="59">
        <f ca="1">AVERAGE(OFFSET($CC$3,0,0,'Données projet'!$E$12+1,1))-AVERAGE(OFFSET($H$3,0,0,'Données projet'!$E$12+1,1))</f>
        <v>211.91720528436969</v>
      </c>
      <c r="CE95" s="59">
        <f t="shared" si="94"/>
        <v>218.88548486038957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61.097105933562744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61.097105933562744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8.2910000000000021</v>
      </c>
      <c r="CT95" s="12">
        <f>IF('Données projet'!$A$140&gt;35,CT94+CS95-DB94,IF(A95&lt;'Données projet'!$A$140,$CQ$205^A95,IF(A95='Données projet'!$A$140,'Données projet'!$B$140,CT94+CS95-DB94)))</f>
        <v>330.20800000000025</v>
      </c>
      <c r="CU95" s="17">
        <f>CT95*VLOOKUP('Données projet'!$B$13,Paramètres!$A$1:$I$89,3,0)*VLOOKUP('Données projet'!$B$13,Paramètres!$A$1:$I$89,5,0)</f>
        <v>298.77219840000021</v>
      </c>
      <c r="CV95" s="13">
        <f t="shared" si="95"/>
        <v>70.919007696700163</v>
      </c>
      <c r="CW95" s="20">
        <f t="shared" si="67"/>
        <v>643.87885061841985</v>
      </c>
      <c r="CX95" s="59">
        <f t="shared" si="68"/>
        <v>937.2121839517531</v>
      </c>
      <c r="CY95" s="59">
        <f ca="1">AVERAGE(OFFSET($CX$3,0,0,'Données projet'!$E$13+1,1))-AVERAGE(OFFSET($H$3,0,0,'Données projet'!$E$13+1,1))</f>
        <v>469.97161976912071</v>
      </c>
      <c r="CZ95" s="59">
        <f t="shared" si="96"/>
        <v>231.65013084759306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36.825286159951382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36.825286159951382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8.2910000000000021</v>
      </c>
      <c r="DO95" s="12">
        <f>IF('Données projet'!$A$166&gt;35,DO94+DN95-DW94,IF(A95&lt;'Données projet'!$A$166,$DL$205^A95,IF(A95='Données projet'!$A$166,'Données projet'!$B$166,DO94+DN95-DW94)))</f>
        <v>330.20800000000025</v>
      </c>
      <c r="DP95" s="17">
        <f>DO95*VLOOKUP('Données projet'!$B$14,Paramètres!$A$1:$I$89,3,0)*VLOOKUP('Données projet'!$B$14,Paramètres!$A$1:$I$89,5,0)</f>
        <v>319.37717760000021</v>
      </c>
      <c r="DQ95" s="13">
        <f t="shared" si="97"/>
        <v>75.223748659890148</v>
      </c>
      <c r="DR95" s="20">
        <f t="shared" si="70"/>
        <v>687.26327990264235</v>
      </c>
      <c r="DS95" s="59">
        <f t="shared" si="71"/>
        <v>980.59661323597561</v>
      </c>
      <c r="DT95" s="59">
        <f ca="1">AVERAGE(OFFSET($DS$3,0,0,'Données projet'!$E$14+1,1))-AVERAGE(OFFSET($H$3,0,0,'Données projet'!$E$14+1,1))</f>
        <v>506.9153247310901</v>
      </c>
      <c r="DU95" s="59">
        <f t="shared" si="98"/>
        <v>247.31254626788319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39.364961067534239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39.364961067534239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5.9170000000000016</v>
      </c>
      <c r="N96" s="13">
        <f>IF('Données projet'!$A$36&gt;35,N95+M96-V95,IF(A96&lt;'Données projet'!$A$36,$K$205^A96,IF(A96='Données projet'!$A$36,'Données projet'!$B$36,N95+M96-V95)))</f>
        <v>243.81100000000004</v>
      </c>
      <c r="O96" s="13">
        <f>N96*VLOOKUP('Données projet'!$B$9,Paramètres!$A$1:$I$89,3,0)*VLOOKUP('Données projet'!$B$9,Paramètres!$A$1:$I$89,5,0)</f>
        <v>145.79897800000003</v>
      </c>
      <c r="P96" s="13">
        <f t="shared" si="87"/>
        <v>37.622315679966036</v>
      </c>
      <c r="Q96" s="20">
        <f t="shared" si="54"/>
        <v>319.45875315927424</v>
      </c>
      <c r="R96" s="59">
        <f t="shared" si="55"/>
        <v>612.7920864926075</v>
      </c>
      <c r="S96" s="59">
        <f ca="1">AVERAGE(OFFSET($R$3,0,0,'Données projet'!$E$9+1,1))-AVERAGE(OFFSET($H$3,0,0,'Données projet'!$E$9+1,1))</f>
        <v>193.8828274189392</v>
      </c>
      <c r="T96" s="59">
        <f t="shared" si="88"/>
        <v>179.13381331066427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43.058294413500541</v>
      </c>
      <c r="AA96" s="21">
        <f>EXP(-LN(2)/25)*AA95+(1-EXP(-LN(2)/25))/(LN(2)/25)*Calculateur!V96*Calculateur!X96*VLOOKUP('Données projet'!$B$9,Paramètres!$A$1:$I$89,3,0)*0.475*44/12</f>
        <v>17.862429648057301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60.920724061557841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-6.8212102632969618E-13</v>
      </c>
      <c r="AJ96" s="13">
        <f>AI96*VLOOKUP('Données projet'!$B$10,Paramètres!$A$1:$I$89,3,0)*VLOOKUP('Données projet'!$B$10,Paramètres!$A$1:$I$89,5,0)</f>
        <v>-4.0790837374515837E-13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228.36873053496748</v>
      </c>
      <c r="AO96" s="59">
        <f t="shared" si="90"/>
        <v>177.73676400313303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103.86738174138452</v>
      </c>
      <c r="AV96" s="21">
        <f>EXP(-LN(2)/25)*AV95+(1-EXP(-LN(2)/25))/(LN(2)/25)*Calculateur!AQ96*Calculateur!AS96*VLOOKUP('Données projet'!$B$10,Paramètres!$A$1:$I$89,3,0)*0.475*44/12</f>
        <v>46.154249954633848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150.02163169601837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343.23798600000026</v>
      </c>
      <c r="BF96" s="13">
        <f t="shared" si="91"/>
        <v>80.16856533953208</v>
      </c>
      <c r="BG96" s="20">
        <f t="shared" si="61"/>
        <v>737.43307691635209</v>
      </c>
      <c r="BH96" s="59">
        <f t="shared" si="62"/>
        <v>1030.7664102496854</v>
      </c>
      <c r="BI96" s="59">
        <f ca="1">AVERAGE(OFFSET($BH$3,0,0,'Données projet'!$E$11+1,1))-AVERAGE(OFFSET($H$3,0,0,'Données projet'!$E$11+1,1))</f>
        <v>534.59150243554586</v>
      </c>
      <c r="BJ96" s="59">
        <f t="shared" si="92"/>
        <v>259.04458689606491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40.460443265025752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40.460443265025752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2.8421709430404007E-14</v>
      </c>
      <c r="BZ96" s="13">
        <f>BY96*VLOOKUP('Données projet'!$B$12,Paramètres!$A$1:$I$89,3,0)*VLOOKUP('Données projet'!$B$12,Paramètres!$A$1:$I$89,5,0)</f>
        <v>2.4829205358400945E-14</v>
      </c>
      <c r="CA96" s="13">
        <f t="shared" si="93"/>
        <v>4.3867331143352915E-13</v>
      </c>
      <c r="CB96" s="20">
        <f t="shared" si="64"/>
        <v>8.0726688341261168E-13</v>
      </c>
      <c r="CC96" s="59">
        <f t="shared" si="65"/>
        <v>293.33333333333411</v>
      </c>
      <c r="CD96" s="59">
        <f ca="1">AVERAGE(OFFSET($CC$3,0,0,'Données projet'!$E$12+1,1))-AVERAGE(OFFSET($H$3,0,0,'Données projet'!$E$12+1,1))</f>
        <v>211.91720528436969</v>
      </c>
      <c r="CE96" s="59">
        <f t="shared" si="94"/>
        <v>218.88548486038957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59.899028951760528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59.899028951760528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8.2910000000000021</v>
      </c>
      <c r="CT96" s="12">
        <f>IF('Données projet'!$A$140&gt;35,CT95+CS96-DB95,IF(A96&lt;'Données projet'!$A$140,$CQ$205^A96,IF(A96='Données projet'!$A$140,'Données projet'!$B$140,CT95+CS96-DB95)))</f>
        <v>338.49900000000025</v>
      </c>
      <c r="CU96" s="17">
        <f>CT96*VLOOKUP('Données projet'!$B$13,Paramètres!$A$1:$I$89,3,0)*VLOOKUP('Données projet'!$B$13,Paramètres!$A$1:$I$89,5,0)</f>
        <v>306.27389520000025</v>
      </c>
      <c r="CV96" s="13">
        <f t="shared" si="95"/>
        <v>72.490124377904692</v>
      </c>
      <c r="CW96" s="20">
        <f t="shared" si="67"/>
        <v>659.68066743151769</v>
      </c>
      <c r="CX96" s="59">
        <f t="shared" si="68"/>
        <v>953.01400076485106</v>
      </c>
      <c r="CY96" s="59">
        <f ca="1">AVERAGE(OFFSET($CX$3,0,0,'Données projet'!$E$13+1,1))-AVERAGE(OFFSET($H$3,0,0,'Données projet'!$E$13+1,1))</f>
        <v>469.97161976912071</v>
      </c>
      <c r="CZ96" s="59">
        <f t="shared" si="96"/>
        <v>231.65013084759306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36.10316475956143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36.10316475956143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8.2910000000000021</v>
      </c>
      <c r="DO96" s="12">
        <f>IF('Données projet'!$A$166&gt;35,DO95+DN96-DW95,IF(A96&lt;'Données projet'!$A$166,$DL$205^A96,IF(A96='Données projet'!$A$166,'Données projet'!$B$166,DO95+DN96-DW95)))</f>
        <v>338.49900000000025</v>
      </c>
      <c r="DP96" s="17">
        <f>DO96*VLOOKUP('Données projet'!$B$14,Paramètres!$A$1:$I$89,3,0)*VLOOKUP('Données projet'!$B$14,Paramètres!$A$1:$I$89,5,0)</f>
        <v>327.39623280000023</v>
      </c>
      <c r="DQ96" s="13">
        <f t="shared" si="97"/>
        <v>76.890231175377878</v>
      </c>
      <c r="DR96" s="20">
        <f t="shared" si="70"/>
        <v>704.13225809045025</v>
      </c>
      <c r="DS96" s="59">
        <f t="shared" si="71"/>
        <v>997.46559142378351</v>
      </c>
      <c r="DT96" s="59">
        <f ca="1">AVERAGE(OFFSET($DS$3,0,0,'Données projet'!$E$14+1,1))-AVERAGE(OFFSET($H$3,0,0,'Données projet'!$E$14+1,1))</f>
        <v>506.9153247310901</v>
      </c>
      <c r="DU96" s="59">
        <f t="shared" si="98"/>
        <v>247.31254626788319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38.593038191255324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38.593038191255324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5.9170000000000016</v>
      </c>
      <c r="N97" s="13">
        <f>IF('Données projet'!$A$36&gt;35,N96+M97-V96,IF(A97&lt;'Données projet'!$A$36,$K$205^A97,IF(A97='Données projet'!$A$36,'Données projet'!$B$36,N96+M97-V96)))</f>
        <v>249.72800000000004</v>
      </c>
      <c r="O97" s="13">
        <f>N97*VLOOKUP('Données projet'!$B$9,Paramètres!$A$1:$I$89,3,0)*VLOOKUP('Données projet'!$B$9,Paramètres!$A$1:$I$89,5,0)</f>
        <v>149.33734400000003</v>
      </c>
      <c r="P97" s="13">
        <f t="shared" si="87"/>
        <v>38.427955884681651</v>
      </c>
      <c r="Q97" s="20">
        <f t="shared" si="54"/>
        <v>327.02456396582056</v>
      </c>
      <c r="R97" s="59">
        <f t="shared" si="55"/>
        <v>620.35789729915382</v>
      </c>
      <c r="S97" s="59">
        <f ca="1">AVERAGE(OFFSET($R$3,0,0,'Données projet'!$E$9+1,1))-AVERAGE(OFFSET($H$3,0,0,'Données projet'!$E$9+1,1))</f>
        <v>193.8828274189392</v>
      </c>
      <c r="T97" s="59">
        <f t="shared" si="88"/>
        <v>179.13381331066427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42.213947523018135</v>
      </c>
      <c r="AA97" s="21">
        <f>EXP(-LN(2)/25)*AA96+(1-EXP(-LN(2)/25))/(LN(2)/25)*Calculateur!V97*Calculateur!X97*VLOOKUP('Données projet'!$B$9,Paramètres!$A$1:$I$89,3,0)*0.475*44/12</f>
        <v>17.373980569986823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59.587928093004962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-6.8212102632969618E-13</v>
      </c>
      <c r="AJ97" s="13">
        <f>AI97*VLOOKUP('Données projet'!$B$10,Paramètres!$A$1:$I$89,3,0)*VLOOKUP('Données projet'!$B$10,Paramètres!$A$1:$I$89,5,0)</f>
        <v>-4.0790837374515837E-13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228.36873053496748</v>
      </c>
      <c r="AO97" s="59">
        <f t="shared" si="90"/>
        <v>177.73676400313303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101.83060573828325</v>
      </c>
      <c r="AV97" s="21">
        <f>EXP(-LN(2)/25)*AV96+(1-EXP(-LN(2)/25))/(LN(2)/25)*Calculateur!AQ97*Calculateur!AS97*VLOOKUP('Données projet'!$B$10,Paramètres!$A$1:$I$89,3,0)*0.475*44/12</f>
        <v>44.892159562477865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146.72276530076113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351.64506000000029</v>
      </c>
      <c r="BF97" s="13">
        <f t="shared" si="91"/>
        <v>81.901153677584574</v>
      </c>
      <c r="BG97" s="20">
        <f t="shared" si="61"/>
        <v>755.09298882179371</v>
      </c>
      <c r="BH97" s="59">
        <f t="shared" si="62"/>
        <v>1048.4263221551271</v>
      </c>
      <c r="BI97" s="59">
        <f ca="1">AVERAGE(OFFSET($BH$3,0,0,'Données projet'!$E$11+1,1))-AVERAGE(OFFSET($H$3,0,0,'Données projet'!$E$11+1,1))</f>
        <v>534.59150243554586</v>
      </c>
      <c r="BJ97" s="59">
        <f t="shared" si="92"/>
        <v>259.04458689606491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57.554325653175837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57.554325653175837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2.8421709430404007E-14</v>
      </c>
      <c r="BZ97" s="13">
        <f>BY97*VLOOKUP('Données projet'!$B$12,Paramètres!$A$1:$I$89,3,0)*VLOOKUP('Données projet'!$B$12,Paramètres!$A$1:$I$89,5,0)</f>
        <v>2.4829205358400945E-14</v>
      </c>
      <c r="CA97" s="13">
        <f t="shared" si="93"/>
        <v>4.3867331143352915E-13</v>
      </c>
      <c r="CB97" s="20">
        <f t="shared" si="64"/>
        <v>8.0726688341261168E-13</v>
      </c>
      <c r="CC97" s="59">
        <f t="shared" si="65"/>
        <v>293.33333333333411</v>
      </c>
      <c r="CD97" s="59">
        <f ca="1">AVERAGE(OFFSET($CC$3,0,0,'Données projet'!$E$12+1,1))-AVERAGE(OFFSET($H$3,0,0,'Données projet'!$E$12+1,1))</f>
        <v>211.91720528436969</v>
      </c>
      <c r="CE97" s="59">
        <f t="shared" si="94"/>
        <v>218.88548486038957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58.724445528816652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58.724445528816652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346.79</v>
      </c>
      <c r="CR97" s="12">
        <f>VLOOKUP(A97,'Données projet'!$A$139:$I$159,9,0)</f>
        <v>8.2910000000000021</v>
      </c>
      <c r="CS97" s="12">
        <f t="array" ref="CS97">INDEX(CR:CR,MIN(IF(ISNUMBER(CR97:CR293),ROW(CR97:CR293),"")))</f>
        <v>8.2910000000000021</v>
      </c>
      <c r="CT97" s="12">
        <f>IF('Données projet'!$A$140&gt;35,CT96+CS97-DB96,IF(A97&lt;'Données projet'!$A$140,$CQ$205^A97,IF(A97='Données projet'!$A$140,'Données projet'!$B$140,CT96+CS97-DB96)))</f>
        <v>346.79000000000025</v>
      </c>
      <c r="CU97" s="17">
        <f>CT97*VLOOKUP('Données projet'!$B$13,Paramètres!$A$1:$I$89,3,0)*VLOOKUP('Données projet'!$B$13,Paramètres!$A$1:$I$89,5,0)</f>
        <v>313.77559200000019</v>
      </c>
      <c r="CV97" s="13">
        <f t="shared" si="95"/>
        <v>74.056767657464533</v>
      </c>
      <c r="CW97" s="20">
        <f t="shared" si="67"/>
        <v>675.47469307008441</v>
      </c>
      <c r="CX97" s="59">
        <f t="shared" si="68"/>
        <v>968.80802640341767</v>
      </c>
      <c r="CY97" s="59">
        <f ca="1">AVERAGE(OFFSET($CX$3,0,0,'Données projet'!$E$13+1,1))-AVERAGE(OFFSET($H$3,0,0,'Données projet'!$E$13+1,1))</f>
        <v>469.97161976912071</v>
      </c>
      <c r="CZ97" s="59">
        <f t="shared" si="96"/>
        <v>231.65013084759306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0.25800000000000001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51.356167505910733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51.356167505910733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>
        <f>VLOOKUP(A97,'Données projet'!$A$165:$I$185,2,0)</f>
        <v>346.79</v>
      </c>
      <c r="DM97" s="12">
        <f>VLOOKUP(A97,'Données projet'!$A$165:$I$185,9,0)</f>
        <v>8.2910000000000021</v>
      </c>
      <c r="DN97" s="12">
        <f t="array" ref="DN97">INDEX(DM:DM,MIN(IF(ISNUMBER(DM97:DM293),ROW(DM97:DM293),"")))</f>
        <v>8.2910000000000021</v>
      </c>
      <c r="DO97" s="12">
        <f>IF('Données projet'!$A$166&gt;35,DO96+DN97-DW96,IF(A97&lt;'Données projet'!$A$166,$DL$205^A97,IF(A97='Données projet'!$A$166,'Données projet'!$B$166,DO96+DN97-DW96)))</f>
        <v>346.79000000000025</v>
      </c>
      <c r="DP97" s="17">
        <f>DO97*VLOOKUP('Données projet'!$B$14,Paramètres!$A$1:$I$89,3,0)*VLOOKUP('Données projet'!$B$14,Paramètres!$A$1:$I$89,5,0)</f>
        <v>335.41528800000026</v>
      </c>
      <c r="DQ97" s="13">
        <f t="shared" si="97"/>
        <v>78.551968756441127</v>
      </c>
      <c r="DR97" s="20">
        <f t="shared" si="70"/>
        <v>720.9929721841354</v>
      </c>
      <c r="DS97" s="59">
        <f t="shared" si="71"/>
        <v>1014.3263055174687</v>
      </c>
      <c r="DT97" s="59">
        <f ca="1">AVERAGE(OFFSET($DS$3,0,0,'Données projet'!$E$14+1,1))-AVERAGE(OFFSET($H$3,0,0,'Données projet'!$E$14+1,1))</f>
        <v>506.9153247310901</v>
      </c>
      <c r="DU97" s="59">
        <f t="shared" si="98"/>
        <v>247.31254626788319</v>
      </c>
      <c r="DV97" s="15">
        <f>IF(ISNA(VLOOKUP(A97,'Données projet'!$A$165:$I$185,3,0)),0,VLOOKUP(A97,'Données projet'!$A$165:$I$185,3,0))</f>
        <v>7</v>
      </c>
      <c r="DW97" s="15">
        <f>IF(ISNA(VLOOKUP(A97,'Données projet'!$A$165:$I$185,4,0)),0,VLOOKUP(A97,'Données projet'!$A$165:$I$185,4,0))</f>
        <v>61.85</v>
      </c>
      <c r="DX97" s="16">
        <f>IF(ISNA(VLOOKUP(A97,'Données projet'!$A$165:$I$185,5,0)),0%,VLOOKUP(A97,'Données projet'!$A$165:$I$185,5,0)*VLOOKUP('Données projet'!$B$14,Paramètres!$A$1:$I$89,7,0))</f>
        <v>0.25800000000000001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54.897972161490785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54.897972161490785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5.9170000000000016</v>
      </c>
      <c r="N98" s="13">
        <f>IF('Données projet'!$A$36&gt;35,N97+M98-V97,IF(A98&lt;'Données projet'!$A$36,$K$205^A98,IF(A98='Données projet'!$A$36,'Données projet'!$B$36,N97+M98-V97)))</f>
        <v>255.64500000000004</v>
      </c>
      <c r="O98" s="13">
        <f>N98*VLOOKUP('Données projet'!$B$9,Paramètres!$A$1:$I$89,3,0)*VLOOKUP('Données projet'!$B$9,Paramètres!$A$1:$I$89,5,0)</f>
        <v>152.87571000000003</v>
      </c>
      <c r="P98" s="13">
        <f t="shared" si="87"/>
        <v>39.231377010999772</v>
      </c>
      <c r="Q98" s="20">
        <f t="shared" si="54"/>
        <v>334.58650987749132</v>
      </c>
      <c r="R98" s="59">
        <f t="shared" si="55"/>
        <v>627.91984321082464</v>
      </c>
      <c r="S98" s="59">
        <f ca="1">AVERAGE(OFFSET($R$3,0,0,'Données projet'!$E$9+1,1))-AVERAGE(OFFSET($H$3,0,0,'Données projet'!$E$9+1,1))</f>
        <v>193.8828274189392</v>
      </c>
      <c r="T98" s="59">
        <f t="shared" si="88"/>
        <v>179.13381331066427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41.386157760057337</v>
      </c>
      <c r="AA98" s="21">
        <f>EXP(-LN(2)/25)*AA97+(1-EXP(-LN(2)/25))/(LN(2)/25)*Calculateur!V98*Calculateur!X98*VLOOKUP('Données projet'!$B$9,Paramètres!$A$1:$I$89,3,0)*0.475*44/12</f>
        <v>16.898888157642606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58.285045917699946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-6.8212102632969618E-13</v>
      </c>
      <c r="AJ98" s="13">
        <f>AI98*VLOOKUP('Données projet'!$B$10,Paramètres!$A$1:$I$89,3,0)*VLOOKUP('Données projet'!$B$10,Paramètres!$A$1:$I$89,5,0)</f>
        <v>-4.0790837374515837E-13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228.36873053496748</v>
      </c>
      <c r="AO98" s="59">
        <f t="shared" si="90"/>
        <v>177.73676400313303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99.833769670292114</v>
      </c>
      <c r="AV98" s="21">
        <f>EXP(-LN(2)/25)*AV97+(1-EXP(-LN(2)/25))/(LN(2)/25)*Calculateur!AQ98*Calculateur!AS98*VLOOKUP('Données projet'!$B$10,Paramètres!$A$1:$I$89,3,0)*0.475*44/12</f>
        <v>43.664581098465838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143.49835076875794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297.08881800000029</v>
      </c>
      <c r="BF98" s="13">
        <f t="shared" si="91"/>
        <v>70.565821981438845</v>
      </c>
      <c r="BG98" s="20">
        <f t="shared" si="61"/>
        <v>640.33183130100645</v>
      </c>
      <c r="BH98" s="59">
        <f t="shared" si="62"/>
        <v>933.66516463433982</v>
      </c>
      <c r="BI98" s="59">
        <f ca="1">AVERAGE(OFFSET($BH$3,0,0,'Données projet'!$E$11+1,1))-AVERAGE(OFFSET($H$3,0,0,'Données projet'!$E$11+1,1))</f>
        <v>534.59150243554586</v>
      </c>
      <c r="BJ98" s="59">
        <f t="shared" si="92"/>
        <v>259.04458689606491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56.425720431789408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56.425720431789408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2.8421709430404007E-14</v>
      </c>
      <c r="BZ98" s="13">
        <f>BY98*VLOOKUP('Données projet'!$B$12,Paramètres!$A$1:$I$89,3,0)*VLOOKUP('Données projet'!$B$12,Paramètres!$A$1:$I$89,5,0)</f>
        <v>2.4829205358400945E-14</v>
      </c>
      <c r="CA98" s="13">
        <f t="shared" si="93"/>
        <v>4.3867331143352915E-13</v>
      </c>
      <c r="CB98" s="20">
        <f t="shared" si="64"/>
        <v>8.0726688341261168E-13</v>
      </c>
      <c r="CC98" s="59">
        <f t="shared" si="65"/>
        <v>293.33333333333411</v>
      </c>
      <c r="CD98" s="59">
        <f ca="1">AVERAGE(OFFSET($CC$3,0,0,'Données projet'!$E$12+1,1))-AVERAGE(OFFSET($H$3,0,0,'Données projet'!$E$12+1,1))</f>
        <v>211.91720528436969</v>
      </c>
      <c r="CE98" s="59">
        <f t="shared" si="94"/>
        <v>218.88548486038957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57.572894970371557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57.572894970371557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8.0470000000000024</v>
      </c>
      <c r="CT98" s="12">
        <f>IF('Données projet'!$A$140&gt;35,CT97+CS98-DB97,IF(A98&lt;'Données projet'!$A$140,$CQ$205^A98,IF(A98='Données projet'!$A$140,'Données projet'!$B$140,CT97+CS98-DB97)))</f>
        <v>292.98700000000025</v>
      </c>
      <c r="CU98" s="17">
        <f>CT98*VLOOKUP('Données projet'!$B$13,Paramètres!$A$1:$I$89,3,0)*VLOOKUP('Données projet'!$B$13,Paramètres!$A$1:$I$89,5,0)</f>
        <v>265.09463760000023</v>
      </c>
      <c r="CV98" s="13">
        <f t="shared" si="95"/>
        <v>63.807119294189917</v>
      </c>
      <c r="CW98" s="20">
        <f t="shared" si="67"/>
        <v>572.83722659071452</v>
      </c>
      <c r="CX98" s="59">
        <f t="shared" si="68"/>
        <v>866.17055992404789</v>
      </c>
      <c r="CY98" s="59">
        <f ca="1">AVERAGE(OFFSET($CX$3,0,0,'Données projet'!$E$13+1,1))-AVERAGE(OFFSET($H$3,0,0,'Données projet'!$E$13+1,1))</f>
        <v>469.97161976912071</v>
      </c>
      <c r="CZ98" s="59">
        <f t="shared" si="96"/>
        <v>231.65013084759306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50.349104385288996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50.349104385288996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8.0470000000000024</v>
      </c>
      <c r="DO98" s="12">
        <f>IF('Données projet'!$A$166&gt;35,DO97+DN98-DW97,IF(A98&lt;'Données projet'!$A$166,$DL$205^A98,IF(A98='Données projet'!$A$166,'Données projet'!$B$166,DO97+DN98-DW97)))</f>
        <v>292.98700000000025</v>
      </c>
      <c r="DP98" s="17">
        <f>DO98*VLOOKUP('Données projet'!$B$14,Paramètres!$A$1:$I$89,3,0)*VLOOKUP('Données projet'!$B$14,Paramètres!$A$1:$I$89,5,0)</f>
        <v>283.37702640000026</v>
      </c>
      <c r="DQ98" s="13">
        <f t="shared" si="97"/>
        <v>67.68017292381127</v>
      </c>
      <c r="DR98" s="20">
        <f t="shared" si="70"/>
        <v>611.42462215563842</v>
      </c>
      <c r="DS98" s="59">
        <f t="shared" si="71"/>
        <v>904.75795548897167</v>
      </c>
      <c r="DT98" s="59">
        <f ca="1">AVERAGE(OFFSET($DS$3,0,0,'Données projet'!$E$14+1,1))-AVERAGE(OFFSET($H$3,0,0,'Données projet'!$E$14+1,1))</f>
        <v>506.9153247310901</v>
      </c>
      <c r="DU98" s="59">
        <f t="shared" si="98"/>
        <v>247.31254626788319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53.821456411860652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53.821456411860652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5.9170000000000016</v>
      </c>
      <c r="N99" s="13">
        <f>IF('Données projet'!$A$36&gt;35,N98+M99-V98,IF(A99&lt;'Données projet'!$A$36,$K$205^A99,IF(A99='Données projet'!$A$36,'Données projet'!$B$36,N98+M99-V98)))</f>
        <v>261.56200000000001</v>
      </c>
      <c r="O99" s="13">
        <f>N99*VLOOKUP('Données projet'!$B$9,Paramètres!$A$1:$I$89,3,0)*VLOOKUP('Données projet'!$B$9,Paramètres!$A$1:$I$89,5,0)</f>
        <v>156.41407600000002</v>
      </c>
      <c r="P99" s="13">
        <f t="shared" si="87"/>
        <v>40.032636331959992</v>
      </c>
      <c r="Q99" s="20">
        <f t="shared" ref="Q99:Q130" si="107">(O99+P99)*0.475*44/12</f>
        <v>342.1446906448304</v>
      </c>
      <c r="R99" s="59">
        <f t="shared" si="55"/>
        <v>635.47802397816372</v>
      </c>
      <c r="S99" s="59">
        <f ca="1">AVERAGE(OFFSET($R$3,0,0,'Données projet'!$E$9+1,1))-AVERAGE(OFFSET($H$3,0,0,'Données projet'!$E$9+1,1))</f>
        <v>193.8828274189392</v>
      </c>
      <c r="T99" s="59">
        <f t="shared" si="88"/>
        <v>179.13381331066427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40.574600449446301</v>
      </c>
      <c r="AA99" s="21">
        <f>EXP(-LN(2)/25)*AA98+(1-EXP(-LN(2)/25))/(LN(2)/25)*Calculateur!V99*Calculateur!X99*VLOOKUP('Données projet'!$B$9,Paramètres!$A$1:$I$89,3,0)*0.475*44/12</f>
        <v>16.436787172297965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57.011387621744262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-6.8212102632969618E-13</v>
      </c>
      <c r="AJ99" s="13">
        <f>AI99*VLOOKUP('Données projet'!$B$10,Paramètres!$A$1:$I$89,3,0)*VLOOKUP('Données projet'!$B$10,Paramètres!$A$1:$I$89,5,0)</f>
        <v>-4.0790837374515837E-13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228.36873053496748</v>
      </c>
      <c r="AO99" s="59">
        <f t="shared" si="90"/>
        <v>177.73676400313303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97.876090339644534</v>
      </c>
      <c r="AV99" s="21">
        <f>EXP(-LN(2)/25)*AV98+(1-EXP(-LN(2)/25))/(LN(2)/25)*Calculateur!AQ99*Calculateur!AS99*VLOOKUP('Données projet'!$B$10,Paramètres!$A$1:$I$89,3,0)*0.475*44/12</f>
        <v>42.470570832107768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140.34666117175232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305.24847600000032</v>
      </c>
      <c r="BF99" s="13">
        <f t="shared" si="91"/>
        <v>72.275632556335026</v>
      </c>
      <c r="BG99" s="20">
        <f t="shared" si="61"/>
        <v>657.52115573561741</v>
      </c>
      <c r="BH99" s="59">
        <f t="shared" si="62"/>
        <v>950.85448906895067</v>
      </c>
      <c r="BI99" s="59">
        <f ca="1">AVERAGE(OFFSET($BH$3,0,0,'Données projet'!$E$11+1,1))-AVERAGE(OFFSET($H$3,0,0,'Données projet'!$E$11+1,1))</f>
        <v>534.59150243554586</v>
      </c>
      <c r="BJ99" s="59">
        <f t="shared" si="92"/>
        <v>259.04458689606491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55.319246470413155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55.319246470413155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2.8421709430404007E-14</v>
      </c>
      <c r="BZ99" s="13">
        <f>BY99*VLOOKUP('Données projet'!$B$12,Paramètres!$A$1:$I$89,3,0)*VLOOKUP('Données projet'!$B$12,Paramètres!$A$1:$I$89,5,0)</f>
        <v>2.4829205358400945E-14</v>
      </c>
      <c r="CA99" s="13">
        <f t="shared" si="93"/>
        <v>4.3867331143352915E-13</v>
      </c>
      <c r="CB99" s="20">
        <f t="shared" si="64"/>
        <v>8.0726688341261168E-13</v>
      </c>
      <c r="CC99" s="59">
        <f t="shared" si="65"/>
        <v>293.33333333333411</v>
      </c>
      <c r="CD99" s="59">
        <f ca="1">AVERAGE(OFFSET($CC$3,0,0,'Données projet'!$E$12+1,1))-AVERAGE(OFFSET($H$3,0,0,'Données projet'!$E$12+1,1))</f>
        <v>211.91720528436969</v>
      </c>
      <c r="CE99" s="59">
        <f t="shared" si="94"/>
        <v>218.88548486038957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56.443925616001088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56.443925616001088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8.0470000000000024</v>
      </c>
      <c r="CT99" s="12">
        <f>IF('Données projet'!$A$140&gt;35,CT98+CS99-DB98,IF(A99&lt;'Données projet'!$A$140,$CQ$205^A99,IF(A99='Données projet'!$A$140,'Données projet'!$B$140,CT98+CS99-DB98)))</f>
        <v>301.03400000000028</v>
      </c>
      <c r="CU99" s="17">
        <f>CT99*VLOOKUP('Données projet'!$B$13,Paramètres!$A$1:$I$89,3,0)*VLOOKUP('Données projet'!$B$13,Paramètres!$A$1:$I$89,5,0)</f>
        <v>272.37556320000027</v>
      </c>
      <c r="CV99" s="13">
        <f t="shared" si="95"/>
        <v>65.35316643513535</v>
      </c>
      <c r="CW99" s="20">
        <f t="shared" si="67"/>
        <v>588.21087078119456</v>
      </c>
      <c r="CX99" s="59">
        <f t="shared" si="68"/>
        <v>881.54420411452793</v>
      </c>
      <c r="CY99" s="59">
        <f ca="1">AVERAGE(OFFSET($CX$3,0,0,'Données projet'!$E$13+1,1))-AVERAGE(OFFSET($H$3,0,0,'Données projet'!$E$13+1,1))</f>
        <v>469.97161976912071</v>
      </c>
      <c r="CZ99" s="59">
        <f t="shared" si="96"/>
        <v>231.65013084759306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49.361789158214798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49.361789158214798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8.0470000000000024</v>
      </c>
      <c r="DO99" s="12">
        <f>IF('Données projet'!$A$166&gt;35,DO98+DN99-DW98,IF(A99&lt;'Données projet'!$A$166,$DL$205^A99,IF(A99='Données projet'!$A$166,'Données projet'!$B$166,DO98+DN99-DW98)))</f>
        <v>301.03400000000028</v>
      </c>
      <c r="DP99" s="17">
        <f>DO99*VLOOKUP('Données projet'!$B$14,Paramètres!$A$1:$I$89,3,0)*VLOOKUP('Données projet'!$B$14,Paramètres!$A$1:$I$89,5,0)</f>
        <v>291.16008480000028</v>
      </c>
      <c r="DQ99" s="13">
        <f t="shared" si="97"/>
        <v>69.320064193077258</v>
      </c>
      <c r="DR99" s="20">
        <f t="shared" si="70"/>
        <v>627.83625949627674</v>
      </c>
      <c r="DS99" s="59">
        <f t="shared" si="71"/>
        <v>921.16959282961011</v>
      </c>
      <c r="DT99" s="59">
        <f ca="1">AVERAGE(OFFSET($DS$3,0,0,'Données projet'!$E$14+1,1))-AVERAGE(OFFSET($H$3,0,0,'Données projet'!$E$14+1,1))</f>
        <v>506.9153247310901</v>
      </c>
      <c r="DU99" s="59">
        <f t="shared" si="98"/>
        <v>247.31254626788319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52.766050479470998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52.766050479470998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5.9170000000000016</v>
      </c>
      <c r="N100" s="13">
        <f>IF('Données projet'!$A$36&gt;35,N99+M100-V99,IF(A100&lt;'Données projet'!$A$36,$K$205^A100,IF(A100='Données projet'!$A$36,'Données projet'!$B$36,N99+M100-V99)))</f>
        <v>267.47900000000004</v>
      </c>
      <c r="O100" s="13">
        <f>N100*VLOOKUP('Données projet'!$B$9,Paramètres!$A$1:$I$89,3,0)*VLOOKUP('Données projet'!$B$9,Paramètres!$A$1:$I$89,5,0)</f>
        <v>159.95244200000005</v>
      </c>
      <c r="P100" s="13">
        <f t="shared" si="87"/>
        <v>40.83178838145907</v>
      </c>
      <c r="Q100" s="20">
        <f t="shared" si="107"/>
        <v>349.69920124770789</v>
      </c>
      <c r="R100" s="59">
        <f t="shared" si="55"/>
        <v>643.0325345810412</v>
      </c>
      <c r="S100" s="59">
        <f ca="1">AVERAGE(OFFSET($R$3,0,0,'Données projet'!$E$9+1,1))-AVERAGE(OFFSET($H$3,0,0,'Données projet'!$E$9+1,1))</f>
        <v>193.8828274189392</v>
      </c>
      <c r="T100" s="59">
        <f t="shared" si="88"/>
        <v>179.13381331066427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39.778957282695266</v>
      </c>
      <c r="AA100" s="21">
        <f>EXP(-LN(2)/25)*AA99+(1-EXP(-LN(2)/25))/(LN(2)/25)*Calculateur!V100*Calculateur!X100*VLOOKUP('Données projet'!$B$9,Paramètres!$A$1:$I$89,3,0)*0.475*44/12</f>
        <v>15.987322362698407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55.766279645393674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-6.8212102632969618E-13</v>
      </c>
      <c r="AJ100" s="13">
        <f>AI100*VLOOKUP('Données projet'!$B$10,Paramètres!$A$1:$I$89,3,0)*VLOOKUP('Données projet'!$B$10,Paramètres!$A$1:$I$89,5,0)</f>
        <v>-4.0790837374515837E-13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228.36873053496748</v>
      </c>
      <c r="AO100" s="59">
        <f t="shared" si="90"/>
        <v>177.73676400313303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95.956799906604473</v>
      </c>
      <c r="AV100" s="21">
        <f>EXP(-LN(2)/25)*AV99+(1-EXP(-LN(2)/25))/(LN(2)/25)*Calculateur!AQ100*Calculateur!AS100*VLOOKUP('Données projet'!$B$10,Paramètres!$A$1:$I$89,3,0)*0.475*44/12</f>
        <v>41.309210839273526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137.26601074587799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313.4081340000003</v>
      </c>
      <c r="BF100" s="13">
        <f t="shared" si="91"/>
        <v>73.980130635311994</v>
      </c>
      <c r="BG100" s="20">
        <f t="shared" si="61"/>
        <v>674.70122757316892</v>
      </c>
      <c r="BH100" s="59">
        <f t="shared" si="62"/>
        <v>968.03456090650229</v>
      </c>
      <c r="BI100" s="59">
        <f ca="1">AVERAGE(OFFSET($BH$3,0,0,'Données projet'!$E$11+1,1))-AVERAGE(OFFSET($H$3,0,0,'Données projet'!$E$11+1,1))</f>
        <v>534.59150243554586</v>
      </c>
      <c r="BJ100" s="59">
        <f t="shared" si="92"/>
        <v>259.04458689606491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54.234469788537012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54.234469788537012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2.8421709430404007E-14</v>
      </c>
      <c r="BZ100" s="13">
        <f>BY100*VLOOKUP('Données projet'!$B$12,Paramètres!$A$1:$I$89,3,0)*VLOOKUP('Données projet'!$B$12,Paramètres!$A$1:$I$89,5,0)</f>
        <v>2.4829205358400945E-14</v>
      </c>
      <c r="CA100" s="13">
        <f t="shared" si="93"/>
        <v>4.3867331143352915E-13</v>
      </c>
      <c r="CB100" s="20">
        <f t="shared" si="64"/>
        <v>8.0726688341261168E-13</v>
      </c>
      <c r="CC100" s="59">
        <f t="shared" si="65"/>
        <v>293.33333333333411</v>
      </c>
      <c r="CD100" s="59">
        <f ca="1">AVERAGE(OFFSET($CC$3,0,0,'Données projet'!$E$12+1,1))-AVERAGE(OFFSET($H$3,0,0,'Données projet'!$E$12+1,1))</f>
        <v>211.91720528436969</v>
      </c>
      <c r="CE100" s="59">
        <f t="shared" si="94"/>
        <v>218.88548486038957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55.337094662066512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55.337094662066512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8.0470000000000024</v>
      </c>
      <c r="CT100" s="12">
        <f>IF('Données projet'!$A$140&gt;35,CT99+CS100-DB99,IF(A100&lt;'Données projet'!$A$140,$CQ$205^A100,IF(A100='Données projet'!$A$140,'Données projet'!$B$140,CT99+CS100-DB99)))</f>
        <v>309.0810000000003</v>
      </c>
      <c r="CU100" s="17">
        <f>CT100*VLOOKUP('Données projet'!$B$13,Paramètres!$A$1:$I$89,3,0)*VLOOKUP('Données projet'!$B$13,Paramètres!$A$1:$I$89,5,0)</f>
        <v>279.65648880000026</v>
      </c>
      <c r="CV100" s="13">
        <f t="shared" si="95"/>
        <v>66.894409904113928</v>
      </c>
      <c r="CW100" s="20">
        <f t="shared" si="67"/>
        <v>603.57614857633223</v>
      </c>
      <c r="CX100" s="59">
        <f t="shared" si="68"/>
        <v>896.9094819096656</v>
      </c>
      <c r="CY100" s="59">
        <f ca="1">AVERAGE(OFFSET($CX$3,0,0,'Données projet'!$E$13+1,1))-AVERAGE(OFFSET($H$3,0,0,'Données projet'!$E$13+1,1))</f>
        <v>469.97161976912071</v>
      </c>
      <c r="CZ100" s="59">
        <f t="shared" si="96"/>
        <v>231.65013084759306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48.393834580540698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48.393834580540698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8.0470000000000024</v>
      </c>
      <c r="DO100" s="12">
        <f>IF('Données projet'!$A$166&gt;35,DO99+DN100-DW99,IF(A100&lt;'Données projet'!$A$166,$DL$205^A100,IF(A100='Données projet'!$A$166,'Données projet'!$B$166,DO99+DN100-DW99)))</f>
        <v>309.0810000000003</v>
      </c>
      <c r="DP100" s="17">
        <f>DO100*VLOOKUP('Données projet'!$B$14,Paramètres!$A$1:$I$89,3,0)*VLOOKUP('Données projet'!$B$14,Paramètres!$A$1:$I$89,5,0)</f>
        <v>298.94314320000029</v>
      </c>
      <c r="DQ100" s="13">
        <f t="shared" si="97"/>
        <v>70.954860210387238</v>
      </c>
      <c r="DR100" s="20">
        <f t="shared" si="70"/>
        <v>644.23902260642501</v>
      </c>
      <c r="DS100" s="59">
        <f t="shared" si="71"/>
        <v>937.57235593975838</v>
      </c>
      <c r="DT100" s="59">
        <f ca="1">AVERAGE(OFFSET($DS$3,0,0,'Données projet'!$E$14+1,1))-AVERAGE(OFFSET($H$3,0,0,'Données projet'!$E$14+1,1))</f>
        <v>506.9153247310901</v>
      </c>
      <c r="DU100" s="59">
        <f t="shared" si="98"/>
        <v>247.31254626788319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51.731340413681444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51.731340413681444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5.9170000000000016</v>
      </c>
      <c r="N101" s="13">
        <f>IF('Données projet'!$A$36&gt;35,N100+M101-V100,IF(A101&lt;'Données projet'!$A$36,$K$205^A101,IF(A101='Données projet'!$A$36,'Données projet'!$B$36,N100+M101-V100)))</f>
        <v>273.39600000000007</v>
      </c>
      <c r="O101" s="13">
        <f>N101*VLOOKUP('Données projet'!$B$9,Paramètres!$A$1:$I$89,3,0)*VLOOKUP('Données projet'!$B$9,Paramètres!$A$1:$I$89,5,0)</f>
        <v>163.49080800000004</v>
      </c>
      <c r="P101" s="13">
        <f t="shared" si="87"/>
        <v>41.628885142903925</v>
      </c>
      <c r="Q101" s="20">
        <f t="shared" si="107"/>
        <v>357.25013222389106</v>
      </c>
      <c r="R101" s="59">
        <f t="shared" si="55"/>
        <v>650.58346555722437</v>
      </c>
      <c r="S101" s="59">
        <f ca="1">AVERAGE(OFFSET($R$3,0,0,'Données projet'!$E$9+1,1))-AVERAGE(OFFSET($H$3,0,0,'Données projet'!$E$9+1,1))</f>
        <v>193.8828274189392</v>
      </c>
      <c r="T101" s="59">
        <f t="shared" si="88"/>
        <v>179.13381331066427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38.998916193149803</v>
      </c>
      <c r="AA101" s="21">
        <f>EXP(-LN(2)/25)*AA100+(1-EXP(-LN(2)/25))/(LN(2)/25)*Calculateur!V101*Calculateur!X101*VLOOKUP('Données projet'!$B$9,Paramètres!$A$1:$I$89,3,0)*0.475*44/12</f>
        <v>15.550148191953676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54.549064385103478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-6.8212102632969618E-13</v>
      </c>
      <c r="AJ101" s="13">
        <f>AI101*VLOOKUP('Données projet'!$B$10,Paramètres!$A$1:$I$89,3,0)*VLOOKUP('Données projet'!$B$10,Paramètres!$A$1:$I$89,5,0)</f>
        <v>-4.0790837374515837E-13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228.36873053496748</v>
      </c>
      <c r="AO101" s="59">
        <f t="shared" si="90"/>
        <v>177.73676400313303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94.07514558830475</v>
      </c>
      <c r="AV101" s="21">
        <f>EXP(-LN(2)/25)*AV100+(1-EXP(-LN(2)/25))/(LN(2)/25)*Calculateur!AQ101*Calculateur!AS101*VLOOKUP('Données projet'!$B$10,Paramètres!$A$1:$I$89,3,0)*0.475*44/12</f>
        <v>40.179608296516605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134.25475388482135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321.56779200000034</v>
      </c>
      <c r="BF101" s="13">
        <f t="shared" si="91"/>
        <v>75.679470431568902</v>
      </c>
      <c r="BG101" s="20">
        <f t="shared" si="61"/>
        <v>691.87231540164976</v>
      </c>
      <c r="BH101" s="59">
        <f t="shared" si="62"/>
        <v>985.20564873498301</v>
      </c>
      <c r="BI101" s="59">
        <f ca="1">AVERAGE(OFFSET($BH$3,0,0,'Données projet'!$E$11+1,1))-AVERAGE(OFFSET($H$3,0,0,'Données projet'!$E$11+1,1))</f>
        <v>534.59150243554586</v>
      </c>
      <c r="BJ101" s="59">
        <f t="shared" si="92"/>
        <v>259.04458689606491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53.170964915744015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53.170964915744015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2.8421709430404007E-14</v>
      </c>
      <c r="BZ101" s="13">
        <f>BY101*VLOOKUP('Données projet'!$B$12,Paramètres!$A$1:$I$89,3,0)*VLOOKUP('Données projet'!$B$12,Paramètres!$A$1:$I$89,5,0)</f>
        <v>2.4829205358400945E-14</v>
      </c>
      <c r="CA101" s="13">
        <f t="shared" si="93"/>
        <v>4.3867331143352915E-13</v>
      </c>
      <c r="CB101" s="20">
        <f t="shared" si="64"/>
        <v>8.0726688341261168E-13</v>
      </c>
      <c r="CC101" s="59">
        <f t="shared" si="65"/>
        <v>293.33333333333411</v>
      </c>
      <c r="CD101" s="59">
        <f ca="1">AVERAGE(OFFSET($CC$3,0,0,'Données projet'!$E$12+1,1))-AVERAGE(OFFSET($H$3,0,0,'Données projet'!$E$12+1,1))</f>
        <v>211.91720528436969</v>
      </c>
      <c r="CE101" s="59">
        <f t="shared" si="94"/>
        <v>218.88548486038957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54.251967988038366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54.251967988038366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8.0470000000000024</v>
      </c>
      <c r="CT101" s="12">
        <f>IF('Données projet'!$A$140&gt;35,CT100+CS101-DB100,IF(A101&lt;'Données projet'!$A$140,$CQ$205^A101,IF(A101='Données projet'!$A$140,'Données projet'!$B$140,CT100+CS101-DB100)))</f>
        <v>317.12800000000033</v>
      </c>
      <c r="CU101" s="17">
        <f>CT101*VLOOKUP('Données projet'!$B$13,Paramètres!$A$1:$I$89,3,0)*VLOOKUP('Données projet'!$B$13,Paramètres!$A$1:$I$89,5,0)</f>
        <v>286.93741440000031</v>
      </c>
      <c r="CV101" s="13">
        <f t="shared" si="95"/>
        <v>68.430989143985158</v>
      </c>
      <c r="CW101" s="20">
        <f t="shared" si="67"/>
        <v>618.93330283910791</v>
      </c>
      <c r="CX101" s="59">
        <f t="shared" si="68"/>
        <v>912.26663617244117</v>
      </c>
      <c r="CY101" s="59">
        <f ca="1">AVERAGE(OFFSET($CX$3,0,0,'Données projet'!$E$13+1,1))-AVERAGE(OFFSET($H$3,0,0,'Données projet'!$E$13+1,1))</f>
        <v>469.97161976912071</v>
      </c>
      <c r="CZ101" s="59">
        <f t="shared" si="96"/>
        <v>231.65013084759306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47.444861001740797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47.444861001740797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8.0470000000000024</v>
      </c>
      <c r="DO101" s="12">
        <f>IF('Données projet'!$A$166&gt;35,DO100+DN101-DW100,IF(A101&lt;'Données projet'!$A$166,$DL$205^A101,IF(A101='Données projet'!$A$166,'Données projet'!$B$166,DO100+DN101-DW100)))</f>
        <v>317.12800000000033</v>
      </c>
      <c r="DP101" s="17">
        <f>DO101*VLOOKUP('Données projet'!$B$14,Paramètres!$A$1:$I$89,3,0)*VLOOKUP('Données projet'!$B$14,Paramètres!$A$1:$I$89,5,0)</f>
        <v>306.72620160000031</v>
      </c>
      <c r="DQ101" s="13">
        <f t="shared" si="97"/>
        <v>72.584708882698152</v>
      </c>
      <c r="DR101" s="20">
        <f t="shared" si="70"/>
        <v>660.63316909069977</v>
      </c>
      <c r="DS101" s="59">
        <f t="shared" si="71"/>
        <v>953.96650242403302</v>
      </c>
      <c r="DT101" s="59">
        <f ca="1">AVERAGE(OFFSET($DS$3,0,0,'Données projet'!$E$14+1,1))-AVERAGE(OFFSET($H$3,0,0,'Données projet'!$E$14+1,1))</f>
        <v>506.9153247310901</v>
      </c>
      <c r="DU101" s="59">
        <f t="shared" si="98"/>
        <v>247.31254626788319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50.716920381171207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50.716920381171207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5.9170000000000016</v>
      </c>
      <c r="N102" s="13">
        <f>IF('Données projet'!$A$36&gt;35,N101+M102-V101,IF(A102&lt;'Données projet'!$A$36,$K$205^A102,IF(A102='Données projet'!$A$36,'Données projet'!$B$36,N101+M102-V101)))</f>
        <v>279.3130000000001</v>
      </c>
      <c r="O102" s="13">
        <f>N102*VLOOKUP('Données projet'!$B$9,Paramètres!$A$1:$I$89,3,0)*VLOOKUP('Données projet'!$B$9,Paramètres!$A$1:$I$89,5,0)</f>
        <v>167.0291740000001</v>
      </c>
      <c r="P102" s="13">
        <f t="shared" si="87"/>
        <v>42.423976221071555</v>
      </c>
      <c r="Q102" s="20">
        <f t="shared" si="107"/>
        <v>364.79756996836642</v>
      </c>
      <c r="R102" s="59">
        <f t="shared" si="55"/>
        <v>658.13090330169973</v>
      </c>
      <c r="S102" s="59">
        <f ca="1">AVERAGE(OFFSET($R$3,0,0,'Données projet'!$E$9+1,1))-AVERAGE(OFFSET($H$3,0,0,'Données projet'!$E$9+1,1))</f>
        <v>193.8828274189392</v>
      </c>
      <c r="T102" s="59">
        <f t="shared" si="88"/>
        <v>179.13381331066427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38.234171233592242</v>
      </c>
      <c r="AA102" s="21">
        <f>EXP(-LN(2)/25)*AA101+(1-EXP(-LN(2)/25))/(LN(2)/25)*Calculateur!V102*Calculateur!X102*VLOOKUP('Données projet'!$B$9,Paramètres!$A$1:$I$89,3,0)*0.475*44/12</f>
        <v>15.12492857189795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53.359099805490189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-6.8212102632969618E-13</v>
      </c>
      <c r="AJ102" s="13">
        <f>AI102*VLOOKUP('Données projet'!$B$10,Paramètres!$A$1:$I$89,3,0)*VLOOKUP('Données projet'!$B$10,Paramètres!$A$1:$I$89,5,0)</f>
        <v>-4.0790837374515837E-13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228.36873053496748</v>
      </c>
      <c r="AO102" s="59">
        <f t="shared" si="90"/>
        <v>177.73676400313303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92.230389363491085</v>
      </c>
      <c r="AV102" s="21">
        <f>EXP(-LN(2)/25)*AV101+(1-EXP(-LN(2)/25))/(LN(2)/25)*Calculateur!AQ102*Calculateur!AS102*VLOOKUP('Données projet'!$B$10,Paramètres!$A$1:$I$89,3,0)*0.475*44/12</f>
        <v>39.080894794694586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131.31128415818569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329.72745000000037</v>
      </c>
      <c r="BF102" s="13">
        <f t="shared" si="91"/>
        <v>77.373797886161128</v>
      </c>
      <c r="BG102" s="20">
        <f t="shared" si="61"/>
        <v>709.0346734017312</v>
      </c>
      <c r="BH102" s="59">
        <f t="shared" si="62"/>
        <v>1002.3680067350645</v>
      </c>
      <c r="BI102" s="59">
        <f ca="1">AVERAGE(OFFSET($BH$3,0,0,'Données projet'!$E$11+1,1))-AVERAGE(OFFSET($H$3,0,0,'Données projet'!$E$11+1,1))</f>
        <v>534.59150243554586</v>
      </c>
      <c r="BJ102" s="59">
        <f t="shared" si="92"/>
        <v>259.04458689606491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52.12831472483257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52.12831472483257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2.8421709430404007E-14</v>
      </c>
      <c r="BZ102" s="13">
        <f>BY102*VLOOKUP('Données projet'!$B$12,Paramètres!$A$1:$I$89,3,0)*VLOOKUP('Données projet'!$B$12,Paramètres!$A$1:$I$89,5,0)</f>
        <v>2.4829205358400945E-14</v>
      </c>
      <c r="CA102" s="13">
        <f t="shared" si="93"/>
        <v>4.3867331143352915E-13</v>
      </c>
      <c r="CB102" s="20">
        <f t="shared" si="64"/>
        <v>8.0726688341261168E-13</v>
      </c>
      <c r="CC102" s="59">
        <f t="shared" si="65"/>
        <v>293.33333333333411</v>
      </c>
      <c r="CD102" s="59">
        <f ca="1">AVERAGE(OFFSET($CC$3,0,0,'Données projet'!$E$12+1,1))-AVERAGE(OFFSET($H$3,0,0,'Données projet'!$E$12+1,1))</f>
        <v>211.91720528436969</v>
      </c>
      <c r="CE102" s="59">
        <f t="shared" si="94"/>
        <v>218.88548486038957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53.188119986225999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53.188119986225999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8.0470000000000024</v>
      </c>
      <c r="CT102" s="12">
        <f>IF('Données projet'!$A$140&gt;35,CT101+CS102-DB101,IF(A102&lt;'Données projet'!$A$140,$CQ$205^A102,IF(A102='Données projet'!$A$140,'Données projet'!$B$140,CT101+CS102-DB101)))</f>
        <v>325.17500000000035</v>
      </c>
      <c r="CU102" s="17">
        <f>CT102*VLOOKUP('Données projet'!$B$13,Paramètres!$A$1:$I$89,3,0)*VLOOKUP('Données projet'!$B$13,Paramètres!$A$1:$I$89,5,0)</f>
        <v>294.2183400000003</v>
      </c>
      <c r="CV102" s="13">
        <f t="shared" si="95"/>
        <v>69.963036117759913</v>
      </c>
      <c r="CW102" s="20">
        <f t="shared" si="67"/>
        <v>634.28256340509904</v>
      </c>
      <c r="CX102" s="59">
        <f t="shared" si="68"/>
        <v>927.61589673843241</v>
      </c>
      <c r="CY102" s="59">
        <f ca="1">AVERAGE(OFFSET($CX$3,0,0,'Données projet'!$E$13+1,1))-AVERAGE(OFFSET($H$3,0,0,'Données projet'!$E$13+1,1))</f>
        <v>469.97161976912071</v>
      </c>
      <c r="CZ102" s="59">
        <f t="shared" si="96"/>
        <v>231.65013084759306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46.514496216004432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46.514496216004432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8.0470000000000024</v>
      </c>
      <c r="DO102" s="12">
        <f>IF('Données projet'!$A$166&gt;35,DO101+DN102-DW101,IF(A102&lt;'Données projet'!$A$166,$DL$205^A102,IF(A102='Données projet'!$A$166,'Données projet'!$B$166,DO101+DN102-DW101)))</f>
        <v>325.17500000000035</v>
      </c>
      <c r="DP102" s="17">
        <f>DO102*VLOOKUP('Données projet'!$B$14,Paramètres!$A$1:$I$89,3,0)*VLOOKUP('Données projet'!$B$14,Paramètres!$A$1:$I$89,5,0)</f>
        <v>314.50926000000038</v>
      </c>
      <c r="DQ102" s="13">
        <f t="shared" si="97"/>
        <v>74.209750183096105</v>
      </c>
      <c r="DR102" s="20">
        <f t="shared" si="70"/>
        <v>677.01894273555968</v>
      </c>
      <c r="DS102" s="59">
        <f t="shared" si="71"/>
        <v>970.35227606889293</v>
      </c>
      <c r="DT102" s="59">
        <f ca="1">AVERAGE(OFFSET($DS$3,0,0,'Données projet'!$E$14+1,1))-AVERAGE(OFFSET($H$3,0,0,'Données projet'!$E$14+1,1))</f>
        <v>506.9153247310901</v>
      </c>
      <c r="DU102" s="59">
        <f t="shared" si="98"/>
        <v>247.31254626788319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49.72239250676337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49.72239250676337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285.23</v>
      </c>
      <c r="L103" s="12">
        <f>VLOOKUP(A103,'Données projet'!$A$35:$I$55,9,0)</f>
        <v>5.9170000000000016</v>
      </c>
      <c r="M103" s="12">
        <f t="array" ref="M103">INDEX(L:L,MIN(IF(ISNUMBER(L103:L299),ROW(L103:L299),"")))</f>
        <v>5.9170000000000016</v>
      </c>
      <c r="N103" s="13">
        <f>IF('Données projet'!$A$36&gt;35,N102+M103-V102,IF(A103&lt;'Données projet'!$A$36,$K$205^A103,IF(A103='Données projet'!$A$36,'Données projet'!$B$36,N102+M103-V102)))</f>
        <v>285.23000000000013</v>
      </c>
      <c r="O103" s="13">
        <f>N103*VLOOKUP('Données projet'!$B$9,Paramètres!$A$1:$I$89,3,0)*VLOOKUP('Données projet'!$B$9,Paramètres!$A$1:$I$89,5,0)</f>
        <v>170.56754000000009</v>
      </c>
      <c r="P103" s="13">
        <f t="shared" si="87"/>
        <v>43.21710899899557</v>
      </c>
      <c r="Q103" s="20">
        <f t="shared" si="107"/>
        <v>372.3415970065841</v>
      </c>
      <c r="R103" s="59">
        <f t="shared" si="55"/>
        <v>665.67493033991741</v>
      </c>
      <c r="S103" s="59">
        <f ca="1">AVERAGE(OFFSET($R$3,0,0,'Données projet'!$E$9+1,1))-AVERAGE(OFFSET($H$3,0,0,'Données projet'!$E$9+1,1))</f>
        <v>193.8828274189392</v>
      </c>
      <c r="T103" s="59">
        <f t="shared" si="88"/>
        <v>179.13381331066427</v>
      </c>
      <c r="U103" s="15">
        <f>IF(ISNA(VLOOKUP(A103,'Données projet'!$A$35:$I$55,3,0)),0,VLOOKUP(A103,'Données projet'!$A$35:$I$55,3,0))</f>
        <v>5</v>
      </c>
      <c r="V103" s="15">
        <f>IF(ISNA(VLOOKUP(A103,'Données projet'!$A$35:$I$55,4,0)),0,VLOOKUP(A103,'Données projet'!$A$35:$I$55,4,0))</f>
        <v>92.21</v>
      </c>
      <c r="W103" s="16">
        <f>IF(ISNA(VLOOKUP(A103,'Données projet'!$A$35:$I$55,5,0)),0%,VLOOKUP(A103,'Données projet'!$A$35:$I$55,5,0)*VLOOKUP('Données projet'!$B$9,Paramètres!$A$1:$I$89,7,0))</f>
        <v>0.315</v>
      </c>
      <c r="X103" s="16">
        <f>IF(ISNA(VLOOKUP(A103,'Données projet'!$A$35:$I$55,6,0)),0%,VLOOKUP(A103,'Données projet'!$A$35:$I$55,6,0)*VLOOKUP('Données projet'!$B$9,Paramètres!$A$1:$I$89,7,0))</f>
        <v>0.13500000000000001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60.526313370347623</v>
      </c>
      <c r="AA103" s="21">
        <f>EXP(-LN(2)/25)*AA102+(1-EXP(-LN(2)/25))/(LN(2)/25)*Calculateur!V103*Calculateur!X103*VLOOKUP('Données projet'!$B$9,Paramètres!$A$1:$I$89,3,0)*0.475*44/12</f>
        <v>24.547550694682606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85.073864065030222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-6.8212102632969618E-13</v>
      </c>
      <c r="AJ103" s="13">
        <f>AI103*VLOOKUP('Données projet'!$B$10,Paramètres!$A$1:$I$89,3,0)*VLOOKUP('Données projet'!$B$10,Paramètres!$A$1:$I$89,5,0)</f>
        <v>-4.0790837374515837E-13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228.36873053496748</v>
      </c>
      <c r="AO103" s="59">
        <f t="shared" si="90"/>
        <v>177.73676400313303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90.421807683055818</v>
      </c>
      <c r="AV103" s="21">
        <f>EXP(-LN(2)/25)*AV102+(1-EXP(-LN(2)/25))/(LN(2)/25)*Calculateur!AQ103*Calculateur!AS103*VLOOKUP('Données projet'!$B$10,Paramètres!$A$1:$I$89,3,0)*0.475*44/12</f>
        <v>38.012225671358728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128.43403335441454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337.88710800000041</v>
      </c>
      <c r="BF103" s="13">
        <f t="shared" si="91"/>
        <v>79.063251305296689</v>
      </c>
      <c r="BG103" s="20">
        <f t="shared" si="61"/>
        <v>726.18854245672571</v>
      </c>
      <c r="BH103" s="59">
        <f t="shared" si="62"/>
        <v>1019.5218757900591</v>
      </c>
      <c r="BI103" s="59">
        <f ca="1">AVERAGE(OFFSET($BH$3,0,0,'Données projet'!$E$11+1,1))-AVERAGE(OFFSET($H$3,0,0,'Données projet'!$E$11+1,1))</f>
        <v>534.59150243554586</v>
      </c>
      <c r="BJ103" s="59">
        <f t="shared" si="92"/>
        <v>259.04458689606491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51.106110268211076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51.106110268211076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2.8421709430404007E-14</v>
      </c>
      <c r="BZ103" s="13">
        <f>BY103*VLOOKUP('Données projet'!$B$12,Paramètres!$A$1:$I$89,3,0)*VLOOKUP('Données projet'!$B$12,Paramètres!$A$1:$I$89,5,0)</f>
        <v>2.4829205358400945E-14</v>
      </c>
      <c r="CA103" s="13">
        <f t="shared" si="93"/>
        <v>4.3867331143352915E-13</v>
      </c>
      <c r="CB103" s="20">
        <f t="shared" si="64"/>
        <v>8.0726688341261168E-13</v>
      </c>
      <c r="CC103" s="59">
        <f t="shared" si="65"/>
        <v>293.33333333333411</v>
      </c>
      <c r="CD103" s="59">
        <f ca="1">AVERAGE(OFFSET($CC$3,0,0,'Données projet'!$E$12+1,1))-AVERAGE(OFFSET($H$3,0,0,'Données projet'!$E$12+1,1))</f>
        <v>211.91720528436969</v>
      </c>
      <c r="CE103" s="59">
        <f t="shared" si="94"/>
        <v>218.88548486038957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52.145133394845963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52.145133394845963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8.0470000000000024</v>
      </c>
      <c r="CT103" s="12">
        <f>IF('Données projet'!$A$140&gt;35,CT102+CS103-DB102,IF(A103&lt;'Données projet'!$A$140,$CQ$205^A103,IF(A103='Données projet'!$A$140,'Données projet'!$B$140,CT102+CS103-DB102)))</f>
        <v>333.22200000000038</v>
      </c>
      <c r="CU103" s="17">
        <f>CT103*VLOOKUP('Données projet'!$B$13,Paramètres!$A$1:$I$89,3,0)*VLOOKUP('Données projet'!$B$13,Paramètres!$A$1:$I$89,5,0)</f>
        <v>301.49926560000034</v>
      </c>
      <c r="CV103" s="13">
        <f t="shared" si="95"/>
        <v>71.490675884857296</v>
      </c>
      <c r="CW103" s="20">
        <f t="shared" si="67"/>
        <v>649.62414808612709</v>
      </c>
      <c r="CX103" s="59">
        <f t="shared" si="68"/>
        <v>942.95748141946046</v>
      </c>
      <c r="CY103" s="59">
        <f ca="1">AVERAGE(OFFSET($CX$3,0,0,'Données projet'!$E$13+1,1))-AVERAGE(OFFSET($H$3,0,0,'Données projet'!$E$13+1,1))</f>
        <v>469.97161976912071</v>
      </c>
      <c r="CZ103" s="59">
        <f t="shared" si="96"/>
        <v>231.65013084759306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45.602375316249869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45.602375316249869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8.0470000000000024</v>
      </c>
      <c r="DO103" s="12">
        <f>IF('Données projet'!$A$166&gt;35,DO102+DN103-DW102,IF(A103&lt;'Données projet'!$A$166,$DL$205^A103,IF(A103='Données projet'!$A$166,'Données projet'!$B$166,DO102+DN103-DW102)))</f>
        <v>333.22200000000038</v>
      </c>
      <c r="DP103" s="17">
        <f>DO103*VLOOKUP('Données projet'!$B$14,Paramètres!$A$1:$I$89,3,0)*VLOOKUP('Données projet'!$B$14,Paramètres!$A$1:$I$89,5,0)</f>
        <v>322.2923184000004</v>
      </c>
      <c r="DQ103" s="13">
        <f t="shared" si="97"/>
        <v>75.830116762031381</v>
      </c>
      <c r="DR103" s="20">
        <f t="shared" si="70"/>
        <v>693.39657457387193</v>
      </c>
      <c r="DS103" s="59">
        <f t="shared" si="71"/>
        <v>986.72990790720519</v>
      </c>
      <c r="DT103" s="59">
        <f ca="1">AVERAGE(OFFSET($DS$3,0,0,'Données projet'!$E$14+1,1))-AVERAGE(OFFSET($H$3,0,0,'Données projet'!$E$14+1,1))</f>
        <v>506.9153247310901</v>
      </c>
      <c r="DU103" s="59">
        <f t="shared" si="98"/>
        <v>247.31254626788319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48.747366717370561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48.747366717370561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5.1069999999999967</v>
      </c>
      <c r="N104" s="13">
        <f>IF('Données projet'!$A$36&gt;35,N103+M104-V103,IF(A104&lt;'Données projet'!$A$36,$K$205^A104,IF(A104='Données projet'!$A$36,'Données projet'!$B$36,N103+M104-V103)))</f>
        <v>198.12700000000012</v>
      </c>
      <c r="O104" s="13">
        <f>N104*VLOOKUP('Données projet'!$B$9,Paramètres!$A$1:$I$89,3,0)*VLOOKUP('Données projet'!$B$9,Paramètres!$A$1:$I$89,5,0)</f>
        <v>118.4799460000001</v>
      </c>
      <c r="P104" s="13">
        <f t="shared" si="87"/>
        <v>31.320209053317207</v>
      </c>
      <c r="Q104" s="20">
        <f t="shared" si="107"/>
        <v>260.90193671786096</v>
      </c>
      <c r="R104" s="59">
        <f t="shared" si="55"/>
        <v>554.23527005119422</v>
      </c>
      <c r="S104" s="59">
        <f ca="1">AVERAGE(OFFSET($R$3,0,0,'Données projet'!$E$9+1,1))-AVERAGE(OFFSET($H$3,0,0,'Données projet'!$E$9+1,1))</f>
        <v>193.8828274189392</v>
      </c>
      <c r="T104" s="59">
        <f t="shared" si="88"/>
        <v>179.13381331066427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59.339429282560971</v>
      </c>
      <c r="AA104" s="21">
        <f>EXP(-LN(2)/25)*AA103+(1-EXP(-LN(2)/25))/(LN(2)/25)*Calculateur!V104*Calculateur!X104*VLOOKUP('Données projet'!$B$9,Paramètres!$A$1:$I$89,3,0)*0.475*44/12</f>
        <v>23.876296630036922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83.21572591259789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-6.8212102632969618E-13</v>
      </c>
      <c r="AJ104" s="13">
        <f>AI104*VLOOKUP('Données projet'!$B$10,Paramètres!$A$1:$I$89,3,0)*VLOOKUP('Données projet'!$B$10,Paramètres!$A$1:$I$89,5,0)</f>
        <v>-4.0790837374515837E-13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228.36873053496748</v>
      </c>
      <c r="AO104" s="59">
        <f t="shared" si="90"/>
        <v>177.73676400313303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88.648691186247987</v>
      </c>
      <c r="AV104" s="21">
        <f>EXP(-LN(2)/25)*AV103+(1-EXP(-LN(2)/25))/(LN(2)/25)*Calculateur!AQ104*Calculateur!AS104*VLOOKUP('Données projet'!$B$10,Paramètres!$A$1:$I$89,3,0)*0.475*44/12</f>
        <v>36.972779361399354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125.62147054764733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346.04676600000045</v>
      </c>
      <c r="BF104" s="13">
        <f t="shared" si="91"/>
        <v>80.747961934338676</v>
      </c>
      <c r="BG104" s="20">
        <f t="shared" si="61"/>
        <v>743.33415115230719</v>
      </c>
      <c r="BH104" s="59">
        <f t="shared" si="62"/>
        <v>1036.6674844856404</v>
      </c>
      <c r="BI104" s="59">
        <f ca="1">AVERAGE(OFFSET($BH$3,0,0,'Données projet'!$E$11+1,1))-AVERAGE(OFFSET($H$3,0,0,'Données projet'!$E$11+1,1))</f>
        <v>534.59150243554586</v>
      </c>
      <c r="BJ104" s="59">
        <f t="shared" si="92"/>
        <v>259.04458689606491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50.103950617500779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50.103950617500779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2.8421709430404007E-14</v>
      </c>
      <c r="BZ104" s="13">
        <f>BY104*VLOOKUP('Données projet'!$B$12,Paramètres!$A$1:$I$89,3,0)*VLOOKUP('Données projet'!$B$12,Paramètres!$A$1:$I$89,5,0)</f>
        <v>2.4829205358400945E-14</v>
      </c>
      <c r="CA104" s="13">
        <f t="shared" si="93"/>
        <v>4.3867331143352915E-13</v>
      </c>
      <c r="CB104" s="20">
        <f t="shared" si="64"/>
        <v>8.0726688341261168E-13</v>
      </c>
      <c r="CC104" s="59">
        <f t="shared" si="65"/>
        <v>293.33333333333411</v>
      </c>
      <c r="CD104" s="59">
        <f ca="1">AVERAGE(OFFSET($CC$3,0,0,'Données projet'!$E$12+1,1))-AVERAGE(OFFSET($H$3,0,0,'Données projet'!$E$12+1,1))</f>
        <v>211.91720528436969</v>
      </c>
      <c r="CE104" s="59">
        <f t="shared" si="94"/>
        <v>218.88548486038957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51.122599134363881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51.122599134363881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8.0470000000000024</v>
      </c>
      <c r="CT104" s="12">
        <f>IF('Données projet'!$A$140&gt;35,CT103+CS104-DB103,IF(A104&lt;'Données projet'!$A$140,$CQ$205^A104,IF(A104='Données projet'!$A$140,'Données projet'!$B$140,CT103+CS104-DB103)))</f>
        <v>341.2690000000004</v>
      </c>
      <c r="CU104" s="17">
        <f>CT104*VLOOKUP('Données projet'!$B$13,Paramètres!$A$1:$I$89,3,0)*VLOOKUP('Données projet'!$B$13,Paramètres!$A$1:$I$89,5,0)</f>
        <v>308.78019120000033</v>
      </c>
      <c r="CV104" s="13">
        <f t="shared" si="95"/>
        <v>73.014027120130123</v>
      </c>
      <c r="CW104" s="20">
        <f t="shared" si="67"/>
        <v>664.95826357422709</v>
      </c>
      <c r="CX104" s="59">
        <f t="shared" si="68"/>
        <v>958.29159690756046</v>
      </c>
      <c r="CY104" s="59">
        <f ca="1">AVERAGE(OFFSET($CX$3,0,0,'Données projet'!$E$13+1,1))-AVERAGE(OFFSET($H$3,0,0,'Données projet'!$E$13+1,1))</f>
        <v>469.97161976912071</v>
      </c>
      <c r="CZ104" s="59">
        <f t="shared" si="96"/>
        <v>231.65013084759306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44.708140551000682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44.708140551000682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8.0470000000000024</v>
      </c>
      <c r="DO104" s="12">
        <f>IF('Données projet'!$A$166&gt;35,DO103+DN104-DW103,IF(A104&lt;'Données projet'!$A$166,$DL$205^A104,IF(A104='Données projet'!$A$166,'Données projet'!$B$166,DO103+DN104-DW103)))</f>
        <v>341.2690000000004</v>
      </c>
      <c r="DP104" s="17">
        <f>DO104*VLOOKUP('Données projet'!$B$14,Paramètres!$A$1:$I$89,3,0)*VLOOKUP('Données projet'!$B$14,Paramètres!$A$1:$I$89,5,0)</f>
        <v>330.07537680000041</v>
      </c>
      <c r="DQ104" s="13">
        <f t="shared" si="97"/>
        <v>77.445934497848739</v>
      </c>
      <c r="DR104" s="20">
        <f t="shared" si="70"/>
        <v>709.76628384375397</v>
      </c>
      <c r="DS104" s="59">
        <f t="shared" si="71"/>
        <v>1003.0996171770873</v>
      </c>
      <c r="DT104" s="59">
        <f ca="1">AVERAGE(OFFSET($DS$3,0,0,'Données projet'!$E$14+1,1))-AVERAGE(OFFSET($H$3,0,0,'Données projet'!$E$14+1,1))</f>
        <v>506.9153247310901</v>
      </c>
      <c r="DU104" s="59">
        <f t="shared" si="98"/>
        <v>247.31254626788319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47.791460589000735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47.791460589000735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5.1069999999999967</v>
      </c>
      <c r="N105" s="13">
        <f>IF('Données projet'!$A$36&gt;35,N104+M105-V104,IF(A105&lt;'Données projet'!$A$36,$K$205^A105,IF(A105='Données projet'!$A$36,'Données projet'!$B$36,N104+M105-V104)))</f>
        <v>203.23400000000012</v>
      </c>
      <c r="O105" s="13">
        <f>N105*VLOOKUP('Données projet'!$B$9,Paramètres!$A$1:$I$89,3,0)*VLOOKUP('Données projet'!$B$9,Paramètres!$A$1:$I$89,5,0)</f>
        <v>121.53393200000008</v>
      </c>
      <c r="P105" s="13">
        <f t="shared" si="87"/>
        <v>32.032498839332504</v>
      </c>
      <c r="Q105" s="20">
        <f t="shared" si="107"/>
        <v>267.4615337118376</v>
      </c>
      <c r="R105" s="59">
        <f t="shared" si="55"/>
        <v>560.79486704517092</v>
      </c>
      <c r="S105" s="59">
        <f ca="1">AVERAGE(OFFSET($R$3,0,0,'Données projet'!$E$9+1,1))-AVERAGE(OFFSET($H$3,0,0,'Données projet'!$E$9+1,1))</f>
        <v>193.8828274189392</v>
      </c>
      <c r="T105" s="59">
        <f t="shared" si="88"/>
        <v>179.13381331066427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58.175819267808002</v>
      </c>
      <c r="AA105" s="21">
        <f>EXP(-LN(2)/25)*AA104+(1-EXP(-LN(2)/25))/(LN(2)/25)*Calculateur!V105*Calculateur!X105*VLOOKUP('Données projet'!$B$9,Paramètres!$A$1:$I$89,3,0)*0.475*44/12</f>
        <v>23.223398043088693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81.399217310896688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-6.8212102632969618E-13</v>
      </c>
      <c r="AJ105" s="13">
        <f>AI105*VLOOKUP('Données projet'!$B$10,Paramètres!$A$1:$I$89,3,0)*VLOOKUP('Données projet'!$B$10,Paramètres!$A$1:$I$89,5,0)</f>
        <v>-4.0790837374515837E-13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228.36873053496748</v>
      </c>
      <c r="AO105" s="59">
        <f t="shared" si="90"/>
        <v>177.73676400313303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86.91034442244829</v>
      </c>
      <c r="AV105" s="21">
        <f>EXP(-LN(2)/25)*AV104+(1-EXP(-LN(2)/25))/(LN(2)/25)*Calculateur!AQ105*Calculateur!AS105*VLOOKUP('Données projet'!$B$10,Paramètres!$A$1:$I$89,3,0)*0.475*44/12</f>
        <v>35.961756765447923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122.87210118789622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354.20642400000042</v>
      </c>
      <c r="BF105" s="13">
        <f t="shared" si="91"/>
        <v>82.42805447614306</v>
      </c>
      <c r="BG105" s="20">
        <f t="shared" si="61"/>
        <v>760.4717166792833</v>
      </c>
      <c r="BH105" s="59">
        <f t="shared" si="62"/>
        <v>1053.8050500126167</v>
      </c>
      <c r="BI105" s="59">
        <f ca="1">AVERAGE(OFFSET($BH$3,0,0,'Données projet'!$E$11+1,1))-AVERAGE(OFFSET($H$3,0,0,'Données projet'!$E$11+1,1))</f>
        <v>534.59150243554586</v>
      </c>
      <c r="BJ105" s="59">
        <f t="shared" si="92"/>
        <v>259.04458689606491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49.121442706283879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49.121442706283879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2.8421709430404007E-14</v>
      </c>
      <c r="BZ105" s="13">
        <f>BY105*VLOOKUP('Données projet'!$B$12,Paramètres!$A$1:$I$89,3,0)*VLOOKUP('Données projet'!$B$12,Paramètres!$A$1:$I$89,5,0)</f>
        <v>2.4829205358400945E-14</v>
      </c>
      <c r="CA105" s="13">
        <f t="shared" si="93"/>
        <v>4.3867331143352915E-13</v>
      </c>
      <c r="CB105" s="20">
        <f t="shared" si="64"/>
        <v>8.0726688341261168E-13</v>
      </c>
      <c r="CC105" s="59">
        <f t="shared" si="65"/>
        <v>293.33333333333411</v>
      </c>
      <c r="CD105" s="59">
        <f ca="1">AVERAGE(OFFSET($CC$3,0,0,'Données projet'!$E$12+1,1))-AVERAGE(OFFSET($H$3,0,0,'Données projet'!$E$12+1,1))</f>
        <v>211.91720528436969</v>
      </c>
      <c r="CE105" s="59">
        <f t="shared" si="94"/>
        <v>218.88548486038957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50.120116147045536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50.120116147045536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8.0470000000000024</v>
      </c>
      <c r="CT105" s="12">
        <f>IF('Données projet'!$A$140&gt;35,CT104+CS105-DB104,IF(A105&lt;'Données projet'!$A$140,$CQ$205^A105,IF(A105='Données projet'!$A$140,'Données projet'!$B$140,CT104+CS105-DB104)))</f>
        <v>349.31600000000043</v>
      </c>
      <c r="CU105" s="17">
        <f>CT105*VLOOKUP('Données projet'!$B$13,Paramètres!$A$1:$I$89,3,0)*VLOOKUP('Données projet'!$B$13,Paramètres!$A$1:$I$89,5,0)</f>
        <v>316.06111680000038</v>
      </c>
      <c r="CV105" s="13">
        <f t="shared" si="95"/>
        <v>74.533202582557081</v>
      </c>
      <c r="CW105" s="20">
        <f t="shared" si="67"/>
        <v>680.28510625795423</v>
      </c>
      <c r="CX105" s="59">
        <f t="shared" si="68"/>
        <v>973.6184395912876</v>
      </c>
      <c r="CY105" s="59">
        <f ca="1">AVERAGE(OFFSET($CX$3,0,0,'Données projet'!$E$13+1,1))-AVERAGE(OFFSET($H$3,0,0,'Données projet'!$E$13+1,1))</f>
        <v>469.97161976912071</v>
      </c>
      <c r="CZ105" s="59">
        <f t="shared" si="96"/>
        <v>231.65013084759306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43.83144118406868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43.83144118406868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8.0470000000000024</v>
      </c>
      <c r="DO105" s="12">
        <f>IF('Données projet'!$A$166&gt;35,DO104+DN105-DW104,IF(A105&lt;'Données projet'!$A$166,$DL$205^A105,IF(A105='Données projet'!$A$166,'Données projet'!$B$166,DO104+DN105-DW104)))</f>
        <v>349.31600000000043</v>
      </c>
      <c r="DP105" s="17">
        <f>DO105*VLOOKUP('Données projet'!$B$14,Paramètres!$A$1:$I$89,3,0)*VLOOKUP('Données projet'!$B$14,Paramètres!$A$1:$I$89,5,0)</f>
        <v>337.85843520000043</v>
      </c>
      <c r="DQ105" s="13">
        <f t="shared" si="97"/>
        <v>79.057322993928835</v>
      </c>
      <c r="DR105" s="20">
        <f t="shared" si="70"/>
        <v>726.12827885442675</v>
      </c>
      <c r="DS105" s="59">
        <f t="shared" si="71"/>
        <v>1019.46161218776</v>
      </c>
      <c r="DT105" s="59">
        <f ca="1">AVERAGE(OFFSET($DS$3,0,0,'Données projet'!$E$14+1,1))-AVERAGE(OFFSET($H$3,0,0,'Données projet'!$E$14+1,1))</f>
        <v>506.9153247310901</v>
      </c>
      <c r="DU105" s="59">
        <f t="shared" si="98"/>
        <v>247.31254626788319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46.854299196763073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46.854299196763073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5.1069999999999967</v>
      </c>
      <c r="N106" s="13">
        <f>IF('Données projet'!$A$36&gt;35,N105+M106-V105,IF(A106&lt;'Données projet'!$A$36,$K$205^A106,IF(A106='Données projet'!$A$36,'Données projet'!$B$36,N105+M106-V105)))</f>
        <v>208.34100000000012</v>
      </c>
      <c r="O106" s="13">
        <f>N106*VLOOKUP('Données projet'!$B$9,Paramètres!$A$1:$I$89,3,0)*VLOOKUP('Données projet'!$B$9,Paramètres!$A$1:$I$89,5,0)</f>
        <v>124.58791800000007</v>
      </c>
      <c r="P106" s="13">
        <f t="shared" si="87"/>
        <v>32.742708006638317</v>
      </c>
      <c r="Q106" s="20">
        <f t="shared" si="107"/>
        <v>274.01750696156188</v>
      </c>
      <c r="R106" s="59">
        <f t="shared" si="55"/>
        <v>567.35084029489519</v>
      </c>
      <c r="S106" s="59">
        <f ca="1">AVERAGE(OFFSET($R$3,0,0,'Données projet'!$E$9+1,1))-AVERAGE(OFFSET($H$3,0,0,'Données projet'!$E$9+1,1))</f>
        <v>193.8828274189392</v>
      </c>
      <c r="T106" s="59">
        <f t="shared" si="88"/>
        <v>179.13381331066427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57.03502693571231</v>
      </c>
      <c r="AA106" s="21">
        <f>EXP(-LN(2)/25)*AA105+(1-EXP(-LN(2)/25))/(LN(2)/25)*Calculateur!V106*Calculateur!X106*VLOOKUP('Données projet'!$B$9,Paramètres!$A$1:$I$89,3,0)*0.475*44/12</f>
        <v>22.588353002335008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79.623379938047322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-6.8212102632969618E-13</v>
      </c>
      <c r="AJ106" s="13">
        <f>AI106*VLOOKUP('Données projet'!$B$10,Paramètres!$A$1:$I$89,3,0)*VLOOKUP('Données projet'!$B$10,Paramètres!$A$1:$I$89,5,0)</f>
        <v>-4.0790837374515837E-13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228.36873053496748</v>
      </c>
      <c r="AO106" s="59">
        <f t="shared" si="90"/>
        <v>177.73676400313303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85.206085578399865</v>
      </c>
      <c r="AV106" s="21">
        <f>EXP(-LN(2)/25)*AV105+(1-EXP(-LN(2)/25))/(LN(2)/25)*Calculateur!AQ106*Calculateur!AS106*VLOOKUP('Données projet'!$B$10,Paramètres!$A$1:$I$89,3,0)*0.475*44/12</f>
        <v>34.978380635550153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120.18446621395002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362.36608200000046</v>
      </c>
      <c r="BF106" s="13">
        <f t="shared" si="91"/>
        <v>84.103647560288479</v>
      </c>
      <c r="BG106" s="20">
        <f t="shared" si="61"/>
        <v>777.60144565083658</v>
      </c>
      <c r="BH106" s="59">
        <f t="shared" si="62"/>
        <v>1070.93477898417</v>
      </c>
      <c r="BI106" s="59">
        <f ca="1">AVERAGE(OFFSET($BH$3,0,0,'Données projet'!$E$11+1,1))-AVERAGE(OFFSET($H$3,0,0,'Données projet'!$E$11+1,1))</f>
        <v>534.59150243554586</v>
      </c>
      <c r="BJ106" s="59">
        <f t="shared" si="92"/>
        <v>259.04458689606491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48.158201175935289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48.158201175935289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2.8421709430404007E-14</v>
      </c>
      <c r="BZ106" s="13">
        <f>BY106*VLOOKUP('Données projet'!$B$12,Paramètres!$A$1:$I$89,3,0)*VLOOKUP('Données projet'!$B$12,Paramètres!$A$1:$I$89,5,0)</f>
        <v>2.4829205358400945E-14</v>
      </c>
      <c r="CA106" s="13">
        <f t="shared" si="93"/>
        <v>4.3867331143352915E-13</v>
      </c>
      <c r="CB106" s="20">
        <f t="shared" si="64"/>
        <v>8.0726688341261168E-13</v>
      </c>
      <c r="CC106" s="59">
        <f t="shared" si="65"/>
        <v>293.33333333333411</v>
      </c>
      <c r="CD106" s="59">
        <f ca="1">AVERAGE(OFFSET($CC$3,0,0,'Données projet'!$E$12+1,1))-AVERAGE(OFFSET($H$3,0,0,'Données projet'!$E$12+1,1))</f>
        <v>211.91720528436969</v>
      </c>
      <c r="CE106" s="59">
        <f t="shared" si="94"/>
        <v>218.88548486038957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49.13729123965426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49.13729123965426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8.0470000000000024</v>
      </c>
      <c r="CT106" s="12">
        <f>IF('Données projet'!$A$140&gt;35,CT105+CS106-DB105,IF(A106&lt;'Données projet'!$A$140,$CQ$205^A106,IF(A106='Données projet'!$A$140,'Données projet'!$B$140,CT105+CS106-DB105)))</f>
        <v>357.36300000000045</v>
      </c>
      <c r="CU106" s="17">
        <f>CT106*VLOOKUP('Données projet'!$B$13,Paramètres!$A$1:$I$89,3,0)*VLOOKUP('Données projet'!$B$13,Paramètres!$A$1:$I$89,5,0)</f>
        <v>323.34204240000037</v>
      </c>
      <c r="CV106" s="13">
        <f t="shared" si="95"/>
        <v>76.048309539529996</v>
      </c>
      <c r="CW106" s="20">
        <f t="shared" si="67"/>
        <v>695.60486296134877</v>
      </c>
      <c r="CX106" s="59">
        <f t="shared" si="68"/>
        <v>988.93819629468203</v>
      </c>
      <c r="CY106" s="59">
        <f ca="1">AVERAGE(OFFSET($CX$3,0,0,'Données projet'!$E$13+1,1))-AVERAGE(OFFSET($H$3,0,0,'Données projet'!$E$13+1,1))</f>
        <v>469.97161976912071</v>
      </c>
      <c r="CZ106" s="59">
        <f t="shared" si="96"/>
        <v>231.65013084759306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42.971933356988401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42.971933356988401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8.0470000000000024</v>
      </c>
      <c r="DO106" s="12">
        <f>IF('Données projet'!$A$166&gt;35,DO105+DN106-DW105,IF(A106&lt;'Données projet'!$A$166,$DL$205^A106,IF(A106='Données projet'!$A$166,'Données projet'!$B$166,DO105+DN106-DW105)))</f>
        <v>357.36300000000045</v>
      </c>
      <c r="DP106" s="17">
        <f>DO106*VLOOKUP('Données projet'!$B$14,Paramètres!$A$1:$I$89,3,0)*VLOOKUP('Données projet'!$B$14,Paramètres!$A$1:$I$89,5,0)</f>
        <v>345.64149360000044</v>
      </c>
      <c r="DQ106" s="13">
        <f t="shared" si="97"/>
        <v>80.664396028729414</v>
      </c>
      <c r="DR106" s="20">
        <f t="shared" si="70"/>
        <v>742.48275777003767</v>
      </c>
      <c r="DS106" s="59">
        <f t="shared" si="71"/>
        <v>1035.816091103371</v>
      </c>
      <c r="DT106" s="59">
        <f ca="1">AVERAGE(OFFSET($DS$3,0,0,'Données projet'!$E$14+1,1))-AVERAGE(OFFSET($H$3,0,0,'Données projet'!$E$14+1,1))</f>
        <v>506.9153247310901</v>
      </c>
      <c r="DU106" s="59">
        <f t="shared" si="98"/>
        <v>247.31254626788319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45.935514967815188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45.935514967815188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5.1069999999999967</v>
      </c>
      <c r="N107" s="13">
        <f>IF('Données projet'!$A$36&gt;35,N106+M107-V106,IF(A107&lt;'Données projet'!$A$36,$K$205^A107,IF(A107='Données projet'!$A$36,'Données projet'!$B$36,N106+M107-V106)))</f>
        <v>213.44800000000012</v>
      </c>
      <c r="O107" s="13">
        <f>N107*VLOOKUP('Données projet'!$B$9,Paramètres!$A$1:$I$89,3,0)*VLOOKUP('Données projet'!$B$9,Paramètres!$A$1:$I$89,5,0)</f>
        <v>127.64190400000008</v>
      </c>
      <c r="P107" s="13">
        <f t="shared" si="87"/>
        <v>33.450893423761919</v>
      </c>
      <c r="Q107" s="20">
        <f t="shared" si="107"/>
        <v>280.56995551305215</v>
      </c>
      <c r="R107" s="59">
        <f t="shared" si="55"/>
        <v>573.90328884638552</v>
      </c>
      <c r="S107" s="59">
        <f ca="1">AVERAGE(OFFSET($R$3,0,0,'Données projet'!$E$9+1,1))-AVERAGE(OFFSET($H$3,0,0,'Données projet'!$E$9+1,1))</f>
        <v>193.8828274189392</v>
      </c>
      <c r="T107" s="59">
        <f t="shared" si="88"/>
        <v>179.13381331066427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55.916604845434399</v>
      </c>
      <c r="AA107" s="21">
        <f>EXP(-LN(2)/25)*AA106+(1-EXP(-LN(2)/25))/(LN(2)/25)*Calculateur!V107*Calculateur!X107*VLOOKUP('Données projet'!$B$9,Paramètres!$A$1:$I$89,3,0)*0.475*44/12</f>
        <v>21.970673301616298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77.887278147050694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-6.8212102632969618E-13</v>
      </c>
      <c r="AJ107" s="13">
        <f>AI107*VLOOKUP('Données projet'!$B$10,Paramètres!$A$1:$I$89,3,0)*VLOOKUP('Données projet'!$B$10,Paramètres!$A$1:$I$89,5,0)</f>
        <v>-4.0790837374515837E-13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228.36873053496748</v>
      </c>
      <c r="AO107" s="59">
        <f t="shared" si="90"/>
        <v>177.73676400313303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83.535246210787975</v>
      </c>
      <c r="AV107" s="21">
        <f>EXP(-LN(2)/25)*AV106+(1-EXP(-LN(2)/25))/(LN(2)/25)*Calculateur!AQ107*Calculateur!AS107*VLOOKUP('Données projet'!$B$10,Paramètres!$A$1:$I$89,3,0)*0.475*44/12</f>
        <v>34.021894977637942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117.55714118842592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370.5257400000005</v>
      </c>
      <c r="BF107" s="13">
        <f t="shared" si="91"/>
        <v>85.774854168850283</v>
      </c>
      <c r="BG107" s="20">
        <f t="shared" si="61"/>
        <v>794.72353484408177</v>
      </c>
      <c r="BH107" s="59">
        <f t="shared" si="62"/>
        <v>1088.056868177415</v>
      </c>
      <c r="BI107" s="59">
        <f ca="1">AVERAGE(OFFSET($BH$3,0,0,'Données projet'!$E$11+1,1))-AVERAGE(OFFSET($H$3,0,0,'Données projet'!$E$11+1,1))</f>
        <v>534.59150243554586</v>
      </c>
      <c r="BJ107" s="59">
        <f t="shared" si="92"/>
        <v>259.04458689606491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64.621056060516736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64.621056060516736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2.8421709430404007E-14</v>
      </c>
      <c r="BZ107" s="13">
        <f>BY107*VLOOKUP('Données projet'!$B$12,Paramètres!$A$1:$I$89,3,0)*VLOOKUP('Données projet'!$B$12,Paramètres!$A$1:$I$89,5,0)</f>
        <v>2.4829205358400945E-14</v>
      </c>
      <c r="CA107" s="13">
        <f t="shared" si="93"/>
        <v>4.3867331143352915E-13</v>
      </c>
      <c r="CB107" s="20">
        <f t="shared" si="64"/>
        <v>8.0726688341261168E-13</v>
      </c>
      <c r="CC107" s="59">
        <f t="shared" si="65"/>
        <v>293.33333333333411</v>
      </c>
      <c r="CD107" s="59">
        <f ca="1">AVERAGE(OFFSET($CC$3,0,0,'Données projet'!$E$12+1,1))-AVERAGE(OFFSET($H$3,0,0,'Données projet'!$E$12+1,1))</f>
        <v>211.91720528436969</v>
      </c>
      <c r="CE107" s="59">
        <f t="shared" si="94"/>
        <v>218.88548486038957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48.173738929232925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48.173738929232925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365.41</v>
      </c>
      <c r="CR107" s="12">
        <f>VLOOKUP(A107,'Données projet'!$A$139:$I$159,9,0)</f>
        <v>8.0470000000000024</v>
      </c>
      <c r="CS107" s="12">
        <f t="array" ref="CS107">INDEX(CR:CR,MIN(IF(ISNUMBER(CR107:CR303),ROW(CR107:CR303),"")))</f>
        <v>8.0470000000000024</v>
      </c>
      <c r="CT107" s="12">
        <f>IF('Données projet'!$A$140&gt;35,CT106+CS107-DB106,IF(A107&lt;'Données projet'!$A$140,$CQ$205^A107,IF(A107='Données projet'!$A$140,'Données projet'!$B$140,CT106+CS107-DB106)))</f>
        <v>365.41000000000048</v>
      </c>
      <c r="CU107" s="17">
        <f>CT107*VLOOKUP('Données projet'!$B$13,Paramètres!$A$1:$I$89,3,0)*VLOOKUP('Données projet'!$B$13,Paramètres!$A$1:$I$89,5,0)</f>
        <v>330.62296800000041</v>
      </c>
      <c r="CV107" s="13">
        <f t="shared" si="95"/>
        <v>77.559450151847827</v>
      </c>
      <c r="CW107" s="20">
        <f t="shared" si="67"/>
        <v>710.91771161446911</v>
      </c>
      <c r="CX107" s="59">
        <f t="shared" si="68"/>
        <v>1004.2510449478025</v>
      </c>
      <c r="CY107" s="59">
        <f ca="1">AVERAGE(OFFSET($CX$3,0,0,'Données projet'!$E$13+1,1))-AVERAGE(OFFSET($H$3,0,0,'Données projet'!$E$13+1,1))</f>
        <v>469.97161976912071</v>
      </c>
      <c r="CZ107" s="59">
        <f t="shared" si="96"/>
        <v>231.65013084759306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0.25800000000000001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57.661865407845688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57.661865407845688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365.41</v>
      </c>
      <c r="DM107" s="12">
        <f>VLOOKUP(A107,'Données projet'!$A$165:$I$185,9,0)</f>
        <v>8.0470000000000024</v>
      </c>
      <c r="DN107" s="12">
        <f t="array" ref="DN107">INDEX(DM:DM,MIN(IF(ISNUMBER(DM107:DM303),ROW(DM107:DM303),"")))</f>
        <v>8.0470000000000024</v>
      </c>
      <c r="DO107" s="12">
        <f>IF('Données projet'!$A$166&gt;35,DO106+DN107-DW106,IF(A107&lt;'Données projet'!$A$166,$DL$205^A107,IF(A107='Données projet'!$A$166,'Données projet'!$B$166,DO106+DN107-DW106)))</f>
        <v>365.41000000000048</v>
      </c>
      <c r="DP107" s="17">
        <f>DO107*VLOOKUP('Données projet'!$B$14,Paramètres!$A$1:$I$89,3,0)*VLOOKUP('Données projet'!$B$14,Paramètres!$A$1:$I$89,5,0)</f>
        <v>353.42455200000046</v>
      </c>
      <c r="DQ107" s="13">
        <f t="shared" si="97"/>
        <v>82.267261964148275</v>
      </c>
      <c r="DR107" s="20">
        <f t="shared" si="70"/>
        <v>758.8299093208924</v>
      </c>
      <c r="DS107" s="59">
        <f t="shared" si="71"/>
        <v>1052.1632426542258</v>
      </c>
      <c r="DT107" s="59">
        <f ca="1">AVERAGE(OFFSET($DS$3,0,0,'Données projet'!$E$14+1,1))-AVERAGE(OFFSET($H$3,0,0,'Données projet'!$E$14+1,1))</f>
        <v>506.9153247310901</v>
      </c>
      <c r="DU107" s="59">
        <f t="shared" si="98"/>
        <v>247.31254626788319</v>
      </c>
      <c r="DV107" s="15">
        <f>IF(ISNA(VLOOKUP(A107,'Données projet'!$A$165:$I$185,3,0)),0,VLOOKUP(A107,'Données projet'!$A$165:$I$185,3,0))</f>
        <v>8</v>
      </c>
      <c r="DW107" s="15">
        <f>IF(ISNA(VLOOKUP(A107,'Données projet'!$A$165:$I$185,4,0)),0,VLOOKUP(A107,'Données projet'!$A$165:$I$185,4,0))</f>
        <v>60.19</v>
      </c>
      <c r="DX107" s="16">
        <f>IF(ISNA(VLOOKUP(A107,'Données projet'!$A$165:$I$185,5,0)),0%,VLOOKUP(A107,'Données projet'!$A$165:$I$185,5,0)*VLOOKUP('Données projet'!$B$14,Paramètres!$A$1:$I$89,7,0))</f>
        <v>0.25800000000000001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61.638545780800555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61.638545780800555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5.1069999999999967</v>
      </c>
      <c r="N108" s="13">
        <f>IF('Données projet'!$A$36&gt;35,N107+M108-V107,IF(A108&lt;'Données projet'!$A$36,$K$205^A108,IF(A108='Données projet'!$A$36,'Données projet'!$B$36,N107+M108-V107)))</f>
        <v>218.55500000000012</v>
      </c>
      <c r="O108" s="13">
        <f>N108*VLOOKUP('Données projet'!$B$9,Paramètres!$A$1:$I$89,3,0)*VLOOKUP('Données projet'!$B$9,Paramètres!$A$1:$I$89,5,0)</f>
        <v>130.69589000000008</v>
      </c>
      <c r="P108" s="13">
        <f t="shared" si="87"/>
        <v>34.157109082735246</v>
      </c>
      <c r="Q108" s="20">
        <f t="shared" si="107"/>
        <v>287.1189734024307</v>
      </c>
      <c r="R108" s="59">
        <f t="shared" si="55"/>
        <v>580.45230673576407</v>
      </c>
      <c r="S108" s="59">
        <f ca="1">AVERAGE(OFFSET($R$3,0,0,'Données projet'!$E$9+1,1))-AVERAGE(OFFSET($H$3,0,0,'Données projet'!$E$9+1,1))</f>
        <v>193.8828274189392</v>
      </c>
      <c r="T108" s="59">
        <f t="shared" si="88"/>
        <v>179.13381331066427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54.820114330176722</v>
      </c>
      <c r="AA108" s="21">
        <f>EXP(-LN(2)/25)*AA107+(1-EXP(-LN(2)/25))/(LN(2)/25)*Calculateur!V108*Calculateur!X108*VLOOKUP('Données projet'!$B$9,Paramètres!$A$1:$I$89,3,0)*0.475*44/12</f>
        <v>21.369884084796105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76.18999841497282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-6.8212102632969618E-13</v>
      </c>
      <c r="AJ108" s="13">
        <f>AI108*VLOOKUP('Données projet'!$B$10,Paramètres!$A$1:$I$89,3,0)*VLOOKUP('Données projet'!$B$10,Paramètres!$A$1:$I$89,5,0)</f>
        <v>-4.0790837374515837E-13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228.36873053496748</v>
      </c>
      <c r="AO108" s="59">
        <f t="shared" si="90"/>
        <v>177.73676400313303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81.897170984063578</v>
      </c>
      <c r="AV108" s="21">
        <f>EXP(-LN(2)/25)*AV107+(1-EXP(-LN(2)/25))/(LN(2)/25)*Calculateur!AQ108*Calculateur!AS108*VLOOKUP('Données projet'!$B$10,Paramètres!$A$1:$I$89,3,0)*0.475*44/12</f>
        <v>33.091564470340735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114.98873545440432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317.53917000000052</v>
      </c>
      <c r="BF108" s="13">
        <f t="shared" si="91"/>
        <v>74.841100302084755</v>
      </c>
      <c r="BG108" s="20">
        <f t="shared" si="61"/>
        <v>683.39563744279849</v>
      </c>
      <c r="BH108" s="59">
        <f t="shared" si="62"/>
        <v>976.72897077613175</v>
      </c>
      <c r="BI108" s="59">
        <f ca="1">AVERAGE(OFFSET($BH$3,0,0,'Données projet'!$E$11+1,1))-AVERAGE(OFFSET($H$3,0,0,'Données projet'!$E$11+1,1))</f>
        <v>534.59150243554586</v>
      </c>
      <c r="BJ108" s="59">
        <f t="shared" si="92"/>
        <v>259.04458689606491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63.353876566122295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63.353876566122295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2.8421709430404007E-14</v>
      </c>
      <c r="BZ108" s="13">
        <f>BY108*VLOOKUP('Données projet'!$B$12,Paramètres!$A$1:$I$89,3,0)*VLOOKUP('Données projet'!$B$12,Paramètres!$A$1:$I$89,5,0)</f>
        <v>2.4829205358400945E-14</v>
      </c>
      <c r="CA108" s="13">
        <f t="shared" si="93"/>
        <v>4.3867331143352915E-13</v>
      </c>
      <c r="CB108" s="20">
        <f t="shared" si="64"/>
        <v>8.0726688341261168E-13</v>
      </c>
      <c r="CC108" s="59">
        <f t="shared" si="65"/>
        <v>293.33333333333411</v>
      </c>
      <c r="CD108" s="59">
        <f ca="1">AVERAGE(OFFSET($CC$3,0,0,'Données projet'!$E$12+1,1))-AVERAGE(OFFSET($H$3,0,0,'Données projet'!$E$12+1,1))</f>
        <v>211.91720528436969</v>
      </c>
      <c r="CE108" s="59">
        <f t="shared" si="94"/>
        <v>218.88548486038957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47.229081291910077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47.229081291910077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7.9349999999999969</v>
      </c>
      <c r="CT108" s="12">
        <f>IF('Données projet'!$A$140&gt;35,CT107+CS108-DB107,IF(A108&lt;'Données projet'!$A$140,$CQ$205^A108,IF(A108='Données projet'!$A$140,'Données projet'!$B$140,CT107+CS108-DB107)))</f>
        <v>313.15500000000048</v>
      </c>
      <c r="CU108" s="17">
        <f>CT108*VLOOKUP('Données projet'!$B$13,Paramètres!$A$1:$I$89,3,0)*VLOOKUP('Données projet'!$B$13,Paramètres!$A$1:$I$89,5,0)</f>
        <v>283.34264400000046</v>
      </c>
      <c r="CV108" s="13">
        <f t="shared" si="95"/>
        <v>67.672917015543916</v>
      </c>
      <c r="CW108" s="20">
        <f t="shared" si="67"/>
        <v>611.3521021020731</v>
      </c>
      <c r="CX108" s="59">
        <f t="shared" si="68"/>
        <v>904.68543543540636</v>
      </c>
      <c r="CY108" s="59">
        <f ca="1">AVERAGE(OFFSET($CX$3,0,0,'Données projet'!$E$13+1,1))-AVERAGE(OFFSET($H$3,0,0,'Données projet'!$E$13+1,1))</f>
        <v>469.97161976912071</v>
      </c>
      <c r="CZ108" s="59">
        <f t="shared" si="96"/>
        <v>231.65013084759306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56.531151397462956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56.531151397462956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7.9349999999999969</v>
      </c>
      <c r="DO108" s="12">
        <f>IF('Données projet'!$A$166&gt;35,DO107+DN108-DW107,IF(A108&lt;'Données projet'!$A$166,$DL$205^A108,IF(A108='Données projet'!$A$166,'Données projet'!$B$166,DO107+DN108-DW107)))</f>
        <v>313.15500000000048</v>
      </c>
      <c r="DP108" s="17">
        <f>DO108*VLOOKUP('Données projet'!$B$14,Paramètres!$A$1:$I$89,3,0)*VLOOKUP('Données projet'!$B$14,Paramètres!$A$1:$I$89,5,0)</f>
        <v>302.88351600000044</v>
      </c>
      <c r="DQ108" s="13">
        <f t="shared" si="97"/>
        <v>71.780622233603793</v>
      </c>
      <c r="DR108" s="20">
        <f t="shared" si="70"/>
        <v>652.54004075686078</v>
      </c>
      <c r="DS108" s="59">
        <f t="shared" si="71"/>
        <v>945.87337409019415</v>
      </c>
      <c r="DT108" s="59">
        <f ca="1">AVERAGE(OFFSET($DS$3,0,0,'Données projet'!$E$14+1,1))-AVERAGE(OFFSET($H$3,0,0,'Données projet'!$E$14+1,1))</f>
        <v>506.9153247310901</v>
      </c>
      <c r="DU108" s="59">
        <f t="shared" si="98"/>
        <v>247.31254626788319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60.429851493839706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60.429851493839706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5.1069999999999967</v>
      </c>
      <c r="N109" s="13">
        <f>IF('Données projet'!$A$36&gt;35,N108+M109-V108,IF(A109&lt;'Données projet'!$A$36,$K$205^A109,IF(A109='Données projet'!$A$36,'Données projet'!$B$36,N108+M109-V108)))</f>
        <v>223.66200000000012</v>
      </c>
      <c r="O109" s="13">
        <f>N109*VLOOKUP('Données projet'!$B$9,Paramètres!$A$1:$I$89,3,0)*VLOOKUP('Données projet'!$B$9,Paramètres!$A$1:$I$89,5,0)</f>
        <v>133.74987600000009</v>
      </c>
      <c r="P109" s="13">
        <f t="shared" si="87"/>
        <v>34.861406308356763</v>
      </c>
      <c r="Q109" s="20">
        <f t="shared" si="107"/>
        <v>293.66465002038825</v>
      </c>
      <c r="R109" s="59">
        <f t="shared" si="55"/>
        <v>586.99798335372157</v>
      </c>
      <c r="S109" s="59">
        <f ca="1">AVERAGE(OFFSET($R$3,0,0,'Données projet'!$E$9+1,1))-AVERAGE(OFFSET($H$3,0,0,'Données projet'!$E$9+1,1))</f>
        <v>193.8828274189392</v>
      </c>
      <c r="T109" s="59">
        <f t="shared" si="88"/>
        <v>179.13381331066427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53.745125325130068</v>
      </c>
      <c r="AA109" s="21">
        <f>EXP(-LN(2)/25)*AA108+(1-EXP(-LN(2)/25))/(LN(2)/25)*Calculateur!V109*Calculateur!X109*VLOOKUP('Données projet'!$B$9,Paramètres!$A$1:$I$89,3,0)*0.475*44/12</f>
        <v>20.785523480703993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74.530648805834062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-6.8212102632969618E-13</v>
      </c>
      <c r="AJ109" s="13">
        <f>AI109*VLOOKUP('Données projet'!$B$10,Paramètres!$A$1:$I$89,3,0)*VLOOKUP('Données projet'!$B$10,Paramètres!$A$1:$I$89,5,0)</f>
        <v>-4.0790837374515837E-13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228.36873053496748</v>
      </c>
      <c r="AO109" s="59">
        <f t="shared" si="90"/>
        <v>177.73676400313303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80.291217413408006</v>
      </c>
      <c r="AV109" s="21">
        <f>EXP(-LN(2)/25)*AV108+(1-EXP(-LN(2)/25))/(LN(2)/25)*Calculateur!AQ109*Calculateur!AS109*VLOOKUP('Données projet'!$B$10,Paramètres!$A$1:$I$89,3,0)*0.475*44/12</f>
        <v>32.186673899689524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112.47789131309753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325.58526000000052</v>
      </c>
      <c r="BF109" s="13">
        <f t="shared" si="91"/>
        <v>76.514302718659977</v>
      </c>
      <c r="BG109" s="20">
        <f t="shared" si="61"/>
        <v>700.32340506833361</v>
      </c>
      <c r="BH109" s="59">
        <f t="shared" si="62"/>
        <v>993.65673840166687</v>
      </c>
      <c r="BI109" s="59">
        <f ca="1">AVERAGE(OFFSET($BH$3,0,0,'Données projet'!$E$11+1,1))-AVERAGE(OFFSET($H$3,0,0,'Données projet'!$E$11+1,1))</f>
        <v>534.59150243554586</v>
      </c>
      <c r="BJ109" s="59">
        <f t="shared" si="92"/>
        <v>259.04458689606491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62.111545688709754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62.111545688709754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2.8421709430404007E-14</v>
      </c>
      <c r="BZ109" s="13">
        <f>BY109*VLOOKUP('Données projet'!$B$12,Paramètres!$A$1:$I$89,3,0)*VLOOKUP('Données projet'!$B$12,Paramètres!$A$1:$I$89,5,0)</f>
        <v>2.4829205358400945E-14</v>
      </c>
      <c r="CA109" s="13">
        <f t="shared" si="93"/>
        <v>4.3867331143352915E-13</v>
      </c>
      <c r="CB109" s="20">
        <f t="shared" si="64"/>
        <v>8.0726688341261168E-13</v>
      </c>
      <c r="CC109" s="59">
        <f t="shared" si="65"/>
        <v>293.33333333333411</v>
      </c>
      <c r="CD109" s="59">
        <f ca="1">AVERAGE(OFFSET($CC$3,0,0,'Données projet'!$E$12+1,1))-AVERAGE(OFFSET($H$3,0,0,'Données projet'!$E$12+1,1))</f>
        <v>211.91720528436969</v>
      </c>
      <c r="CE109" s="59">
        <f t="shared" si="94"/>
        <v>218.88548486038957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46.302947814670866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46.302947814670866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7.9349999999999969</v>
      </c>
      <c r="CT109" s="12">
        <f>IF('Données projet'!$A$140&gt;35,CT108+CS109-DB108,IF(A109&lt;'Données projet'!$A$140,$CQ$205^A109,IF(A109='Données projet'!$A$140,'Données projet'!$B$140,CT108+CS109-DB108)))</f>
        <v>321.09000000000049</v>
      </c>
      <c r="CU109" s="17">
        <f>CT109*VLOOKUP('Données projet'!$B$13,Paramètres!$A$1:$I$89,3,0)*VLOOKUP('Données projet'!$B$13,Paramètres!$A$1:$I$89,5,0)</f>
        <v>290.52223200000043</v>
      </c>
      <c r="CV109" s="13">
        <f t="shared" si="95"/>
        <v>69.185862279978352</v>
      </c>
      <c r="CW109" s="20">
        <f t="shared" si="67"/>
        <v>626.49159753762979</v>
      </c>
      <c r="CX109" s="59">
        <f t="shared" si="68"/>
        <v>919.82493087096304</v>
      </c>
      <c r="CY109" s="59">
        <f ca="1">AVERAGE(OFFSET($CX$3,0,0,'Données projet'!$E$13+1,1))-AVERAGE(OFFSET($H$3,0,0,'Données projet'!$E$13+1,1))</f>
        <v>469.97161976912071</v>
      </c>
      <c r="CZ109" s="59">
        <f t="shared" si="96"/>
        <v>231.65013084759306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55.422609999156386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55.422609999156386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7.9349999999999969</v>
      </c>
      <c r="DO109" s="12">
        <f>IF('Données projet'!$A$166&gt;35,DO108+DN109-DW108,IF(A109&lt;'Données projet'!$A$166,$DL$205^A109,IF(A109='Données projet'!$A$166,'Données projet'!$B$166,DO108+DN109-DW108)))</f>
        <v>321.09000000000049</v>
      </c>
      <c r="DP109" s="17">
        <f>DO109*VLOOKUP('Données projet'!$B$14,Paramètres!$A$1:$I$89,3,0)*VLOOKUP('Données projet'!$B$14,Paramètres!$A$1:$I$89,5,0)</f>
        <v>310.5582480000005</v>
      </c>
      <c r="DQ109" s="13">
        <f t="shared" si="97"/>
        <v>73.385402362433595</v>
      </c>
      <c r="DR109" s="20">
        <f t="shared" si="70"/>
        <v>668.70185771457261</v>
      </c>
      <c r="DS109" s="59">
        <f t="shared" si="71"/>
        <v>962.03519104790598</v>
      </c>
      <c r="DT109" s="59">
        <f ca="1">AVERAGE(OFFSET($DS$3,0,0,'Données projet'!$E$14+1,1))-AVERAGE(OFFSET($H$3,0,0,'Données projet'!$E$14+1,1))</f>
        <v>506.9153247310901</v>
      </c>
      <c r="DU109" s="59">
        <f t="shared" si="98"/>
        <v>247.31254626788319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59.244858964615439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59.244858964615439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5.1069999999999967</v>
      </c>
      <c r="N110" s="13">
        <f>IF('Données projet'!$A$36&gt;35,N109+M110-V109,IF(A110&lt;'Données projet'!$A$36,$K$205^A110,IF(A110='Données projet'!$A$36,'Données projet'!$B$36,N109+M110-V109)))</f>
        <v>228.76900000000012</v>
      </c>
      <c r="O110" s="13">
        <f>N110*VLOOKUP('Données projet'!$B$9,Paramètres!$A$1:$I$89,3,0)*VLOOKUP('Données projet'!$B$9,Paramètres!$A$1:$I$89,5,0)</f>
        <v>136.80386200000007</v>
      </c>
      <c r="P110" s="13">
        <f t="shared" si="87"/>
        <v>35.563833947802273</v>
      </c>
      <c r="Q110" s="20">
        <f t="shared" si="107"/>
        <v>300.20707044242238</v>
      </c>
      <c r="R110" s="59">
        <f t="shared" si="55"/>
        <v>593.54040377575575</v>
      </c>
      <c r="S110" s="59">
        <f ca="1">AVERAGE(OFFSET($R$3,0,0,'Données projet'!$E$9+1,1))-AVERAGE(OFFSET($H$3,0,0,'Données projet'!$E$9+1,1))</f>
        <v>193.8828274189392</v>
      </c>
      <c r="T110" s="59">
        <f t="shared" si="88"/>
        <v>179.13381331066427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52.691216198793832</v>
      </c>
      <c r="AA110" s="21">
        <f>EXP(-LN(2)/25)*AA109+(1-EXP(-LN(2)/25))/(LN(2)/25)*Calculateur!V110*Calculateur!X110*VLOOKUP('Données projet'!$B$9,Paramètres!$A$1:$I$89,3,0)*0.475*44/12</f>
        <v>20.21714224806097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72.908358446854805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-6.8212102632969618E-13</v>
      </c>
      <c r="AJ110" s="13">
        <f>AI110*VLOOKUP('Données projet'!$B$10,Paramètres!$A$1:$I$89,3,0)*VLOOKUP('Données projet'!$B$10,Paramètres!$A$1:$I$89,5,0)</f>
        <v>-4.0790837374515837E-13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228.36873053496748</v>
      </c>
      <c r="AO110" s="59">
        <f t="shared" si="90"/>
        <v>177.73676400313303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78.716755612738041</v>
      </c>
      <c r="AV110" s="21">
        <f>EXP(-LN(2)/25)*AV109+(1-EXP(-LN(2)/25))/(LN(2)/25)*Calculateur!AQ110*Calculateur!AS110*VLOOKUP('Données projet'!$B$10,Paramètres!$A$1:$I$89,3,0)*0.475*44/12</f>
        <v>31.306527609278898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110.02328322201694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333.63135000000051</v>
      </c>
      <c r="BF110" s="13">
        <f t="shared" si="91"/>
        <v>78.182698470317533</v>
      </c>
      <c r="BG110" s="20">
        <f t="shared" si="61"/>
        <v>717.24280108580388</v>
      </c>
      <c r="BH110" s="59">
        <f t="shared" si="62"/>
        <v>1010.5761344191371</v>
      </c>
      <c r="BI110" s="59">
        <f ca="1">AVERAGE(OFFSET($BH$3,0,0,'Données projet'!$E$11+1,1))-AVERAGE(OFFSET($H$3,0,0,'Données projet'!$E$11+1,1))</f>
        <v>534.59150243554586</v>
      </c>
      <c r="BJ110" s="59">
        <f t="shared" si="92"/>
        <v>259.04458689606491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60.893576162056263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60.893576162056263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2.8421709430404007E-14</v>
      </c>
      <c r="BZ110" s="13">
        <f>BY110*VLOOKUP('Données projet'!$B$12,Paramètres!$A$1:$I$89,3,0)*VLOOKUP('Données projet'!$B$12,Paramètres!$A$1:$I$89,5,0)</f>
        <v>2.4829205358400945E-14</v>
      </c>
      <c r="CA110" s="13">
        <f t="shared" si="93"/>
        <v>4.3867331143352915E-13</v>
      </c>
      <c r="CB110" s="20">
        <f t="shared" si="64"/>
        <v>8.0726688341261168E-13</v>
      </c>
      <c r="CC110" s="59">
        <f t="shared" si="65"/>
        <v>293.33333333333411</v>
      </c>
      <c r="CD110" s="59">
        <f ca="1">AVERAGE(OFFSET($CC$3,0,0,'Données projet'!$E$12+1,1))-AVERAGE(OFFSET($H$3,0,0,'Données projet'!$E$12+1,1))</f>
        <v>211.91720528436969</v>
      </c>
      <c r="CE110" s="59">
        <f t="shared" si="94"/>
        <v>218.88548486038957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45.394975250034669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45.394975250034669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7.9349999999999969</v>
      </c>
      <c r="CT110" s="12">
        <f>IF('Données projet'!$A$140&gt;35,CT109+CS110-DB109,IF(A110&lt;'Données projet'!$A$140,$CQ$205^A110,IF(A110='Données projet'!$A$140,'Données projet'!$B$140,CT109+CS110-DB109)))</f>
        <v>329.02500000000049</v>
      </c>
      <c r="CU110" s="17">
        <f>CT110*VLOOKUP('Données projet'!$B$13,Paramètres!$A$1:$I$89,3,0)*VLOOKUP('Données projet'!$B$13,Paramètres!$A$1:$I$89,5,0)</f>
        <v>297.70182000000045</v>
      </c>
      <c r="CV110" s="13">
        <f t="shared" si="95"/>
        <v>70.69446125561177</v>
      </c>
      <c r="CW110" s="20">
        <f t="shared" si="67"/>
        <v>641.62352318685794</v>
      </c>
      <c r="CX110" s="59">
        <f t="shared" si="68"/>
        <v>934.9568565201912</v>
      </c>
      <c r="CY110" s="59">
        <f ca="1">AVERAGE(OFFSET($CX$3,0,0,'Données projet'!$E$13+1,1))-AVERAGE(OFFSET($H$3,0,0,'Données projet'!$E$13+1,1))</f>
        <v>469.97161976912071</v>
      </c>
      <c r="CZ110" s="59">
        <f t="shared" si="96"/>
        <v>231.65013084759306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54.335806421527117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54.335806421527117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7.9349999999999969</v>
      </c>
      <c r="DO110" s="12">
        <f>IF('Données projet'!$A$166&gt;35,DO109+DN110-DW109,IF(A110&lt;'Données projet'!$A$166,$DL$205^A110,IF(A110='Données projet'!$A$166,'Données projet'!$B$166,DO109+DN110-DW109)))</f>
        <v>329.02500000000049</v>
      </c>
      <c r="DP110" s="17">
        <f>DO110*VLOOKUP('Données projet'!$B$14,Paramètres!$A$1:$I$89,3,0)*VLOOKUP('Données projet'!$B$14,Paramètres!$A$1:$I$89,5,0)</f>
        <v>318.23298000000051</v>
      </c>
      <c r="DQ110" s="13">
        <f t="shared" si="97"/>
        <v>74.985572385355411</v>
      </c>
      <c r="DR110" s="20">
        <f t="shared" si="70"/>
        <v>684.85564540449479</v>
      </c>
      <c r="DS110" s="59">
        <f t="shared" si="71"/>
        <v>978.18897873782817</v>
      </c>
      <c r="DT110" s="59">
        <f ca="1">AVERAGE(OFFSET($DS$3,0,0,'Données projet'!$E$14+1,1))-AVERAGE(OFFSET($H$3,0,0,'Données projet'!$E$14+1,1))</f>
        <v>506.9153247310901</v>
      </c>
      <c r="DU110" s="59">
        <f t="shared" si="98"/>
        <v>247.31254626788319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58.083103416115186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58.083103416115186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5.1069999999999967</v>
      </c>
      <c r="N111" s="13">
        <f>IF('Données projet'!$A$36&gt;35,N110+M111-V110,IF(A111&lt;'Données projet'!$A$36,$K$205^A111,IF(A111='Données projet'!$A$36,'Données projet'!$B$36,N110+M111-V110)))</f>
        <v>233.87600000000012</v>
      </c>
      <c r="O111" s="13">
        <f>N111*VLOOKUP('Données projet'!$B$9,Paramètres!$A$1:$I$89,3,0)*VLOOKUP('Données projet'!$B$9,Paramètres!$A$1:$I$89,5,0)</f>
        <v>139.85784800000008</v>
      </c>
      <c r="P111" s="13">
        <f t="shared" si="87"/>
        <v>36.26443854282666</v>
      </c>
      <c r="Q111" s="20">
        <f t="shared" si="107"/>
        <v>306.74631572875654</v>
      </c>
      <c r="R111" s="59">
        <f t="shared" si="55"/>
        <v>600.07964906208986</v>
      </c>
      <c r="S111" s="59">
        <f ca="1">AVERAGE(OFFSET($R$3,0,0,'Données projet'!$E$9+1,1))-AVERAGE(OFFSET($H$3,0,0,'Données projet'!$E$9+1,1))</f>
        <v>193.8828274189392</v>
      </c>
      <c r="T111" s="59">
        <f t="shared" si="88"/>
        <v>179.13381331066427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51.657973587603955</v>
      </c>
      <c r="AA111" s="21">
        <f>EXP(-LN(2)/25)*AA110+(1-EXP(-LN(2)/25))/(LN(2)/25)*Calculateur!V111*Calculateur!X111*VLOOKUP('Données projet'!$B$9,Paramètres!$A$1:$I$89,3,0)*0.475*44/12</f>
        <v>19.66430343011444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71.322277017718392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-6.8212102632969618E-13</v>
      </c>
      <c r="AJ111" s="13">
        <f>AI111*VLOOKUP('Données projet'!$B$10,Paramètres!$A$1:$I$89,3,0)*VLOOKUP('Données projet'!$B$10,Paramètres!$A$1:$I$89,5,0)</f>
        <v>-4.0790837374515837E-13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228.36873053496748</v>
      </c>
      <c r="AO111" s="59">
        <f t="shared" si="90"/>
        <v>177.73676400313303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77.173168047652339</v>
      </c>
      <c r="AV111" s="21">
        <f>EXP(-LN(2)/25)*AV110+(1-EXP(-LN(2)/25))/(LN(2)/25)*Calculateur!AQ111*Calculateur!AS111*VLOOKUP('Données projet'!$B$10,Paramètres!$A$1:$I$89,3,0)*0.475*44/12</f>
        <v>30.450448965464432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107.62361701311677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341.6774400000005</v>
      </c>
      <c r="BF111" s="13">
        <f t="shared" si="91"/>
        <v>79.846416815053246</v>
      </c>
      <c r="BG111" s="20">
        <f t="shared" si="61"/>
        <v>734.15405061955198</v>
      </c>
      <c r="BH111" s="59">
        <f t="shared" si="62"/>
        <v>1027.4873839528852</v>
      </c>
      <c r="BI111" s="59">
        <f ca="1">AVERAGE(OFFSET($BH$3,0,0,'Données projet'!$E$11+1,1))-AVERAGE(OFFSET($H$3,0,0,'Données projet'!$E$11+1,1))</f>
        <v>534.59150243554586</v>
      </c>
      <c r="BJ111" s="59">
        <f t="shared" si="92"/>
        <v>259.04458689606491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59.699490274932387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59.699490274932387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2.8421709430404007E-14</v>
      </c>
      <c r="BZ111" s="13">
        <f>BY111*VLOOKUP('Données projet'!$B$12,Paramètres!$A$1:$I$89,3,0)*VLOOKUP('Données projet'!$B$12,Paramètres!$A$1:$I$89,5,0)</f>
        <v>2.4829205358400945E-14</v>
      </c>
      <c r="CA111" s="13">
        <f t="shared" si="93"/>
        <v>4.3867331143352915E-13</v>
      </c>
      <c r="CB111" s="20">
        <f t="shared" si="64"/>
        <v>8.0726688341261168E-13</v>
      </c>
      <c r="CC111" s="59">
        <f t="shared" si="65"/>
        <v>293.33333333333411</v>
      </c>
      <c r="CD111" s="59">
        <f ca="1">AVERAGE(OFFSET($CC$3,0,0,'Données projet'!$E$12+1,1))-AVERAGE(OFFSET($H$3,0,0,'Données projet'!$E$12+1,1))</f>
        <v>211.91720528436969</v>
      </c>
      <c r="CE111" s="59">
        <f t="shared" si="94"/>
        <v>218.88548486038957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44.50480747358241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44.50480747358241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7.9349999999999969</v>
      </c>
      <c r="CT111" s="12">
        <f>IF('Données projet'!$A$140&gt;35,CT110+CS111-DB110,IF(A111&lt;'Données projet'!$A$140,$CQ$205^A111,IF(A111='Données projet'!$A$140,'Données projet'!$B$140,CT110+CS111-DB110)))</f>
        <v>336.96000000000049</v>
      </c>
      <c r="CU111" s="17">
        <f>CT111*VLOOKUP('Données projet'!$B$13,Paramètres!$A$1:$I$89,3,0)*VLOOKUP('Données projet'!$B$13,Paramètres!$A$1:$I$89,5,0)</f>
        <v>304.88140800000042</v>
      </c>
      <c r="CV111" s="13">
        <f t="shared" si="95"/>
        <v>72.198830820277394</v>
      </c>
      <c r="CW111" s="20">
        <f t="shared" si="67"/>
        <v>656.74808261198393</v>
      </c>
      <c r="CX111" s="59">
        <f t="shared" si="68"/>
        <v>950.0814159453173</v>
      </c>
      <c r="CY111" s="59">
        <f ca="1">AVERAGE(OFFSET($CX$3,0,0,'Données projet'!$E$13+1,1))-AVERAGE(OFFSET($H$3,0,0,'Données projet'!$E$13+1,1))</f>
        <v>469.97161976912071</v>
      </c>
      <c r="CZ111" s="59">
        <f t="shared" si="96"/>
        <v>231.65013084759306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53.270314399170431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53.270314399170431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7.9349999999999969</v>
      </c>
      <c r="DO111" s="12">
        <f>IF('Données projet'!$A$166&gt;35,DO110+DN111-DW110,IF(A111&lt;'Données projet'!$A$166,$DL$205^A111,IF(A111='Données projet'!$A$166,'Données projet'!$B$166,DO110+DN111-DW110)))</f>
        <v>336.96000000000049</v>
      </c>
      <c r="DP111" s="17">
        <f>DO111*VLOOKUP('Données projet'!$B$14,Paramètres!$A$1:$I$89,3,0)*VLOOKUP('Données projet'!$B$14,Paramètres!$A$1:$I$89,5,0)</f>
        <v>325.90771200000052</v>
      </c>
      <c r="DQ111" s="13">
        <f t="shared" si="97"/>
        <v>76.581256274616251</v>
      </c>
      <c r="DR111" s="20">
        <f t="shared" si="70"/>
        <v>701.00161974495734</v>
      </c>
      <c r="DS111" s="59">
        <f t="shared" si="71"/>
        <v>994.33495307829071</v>
      </c>
      <c r="DT111" s="59">
        <f ca="1">AVERAGE(OFFSET($DS$3,0,0,'Données projet'!$E$14+1,1))-AVERAGE(OFFSET($H$3,0,0,'Données projet'!$E$14+1,1))</f>
        <v>506.9153247310901</v>
      </c>
      <c r="DU111" s="59">
        <f t="shared" si="98"/>
        <v>247.31254626788319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56.944129185320108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56.944129185320108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5.1069999999999967</v>
      </c>
      <c r="N112" s="13">
        <f>IF('Données projet'!$A$36&gt;35,N111+M112-V111,IF(A112&lt;'Données projet'!$A$36,$K$205^A112,IF(A112='Données projet'!$A$36,'Données projet'!$B$36,N111+M112-V111)))</f>
        <v>238.98300000000012</v>
      </c>
      <c r="O112" s="13">
        <f>N112*VLOOKUP('Données projet'!$B$9,Paramètres!$A$1:$I$89,3,0)*VLOOKUP('Données projet'!$B$9,Paramètres!$A$1:$I$89,5,0)</f>
        <v>142.91183400000008</v>
      </c>
      <c r="P112" s="13">
        <f t="shared" si="87"/>
        <v>36.963264486500442</v>
      </c>
      <c r="Q112" s="20">
        <f t="shared" si="107"/>
        <v>313.28246319732176</v>
      </c>
      <c r="R112" s="59">
        <f t="shared" si="55"/>
        <v>606.61579653065508</v>
      </c>
      <c r="S112" s="59">
        <f ca="1">AVERAGE(OFFSET($R$3,0,0,'Données projet'!$E$9+1,1))-AVERAGE(OFFSET($H$3,0,0,'Données projet'!$E$9+1,1))</f>
        <v>193.8828274189392</v>
      </c>
      <c r="T112" s="59">
        <f t="shared" si="88"/>
        <v>179.13381331066427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50.644992233803748</v>
      </c>
      <c r="AA112" s="21">
        <f>EXP(-LN(2)/25)*AA111+(1-EXP(-LN(2)/25))/(LN(2)/25)*Calculateur!V112*Calculateur!X112*VLOOKUP('Données projet'!$B$9,Paramètres!$A$1:$I$89,3,0)*0.475*44/12</f>
        <v>19.126582018717187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69.771574252520935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-6.8212102632969618E-13</v>
      </c>
      <c r="AJ112" s="13">
        <f>AI112*VLOOKUP('Données projet'!$B$10,Paramètres!$A$1:$I$89,3,0)*VLOOKUP('Données projet'!$B$10,Paramètres!$A$1:$I$89,5,0)</f>
        <v>-4.0790837374515837E-13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228.36873053496748</v>
      </c>
      <c r="AO112" s="59">
        <f t="shared" si="90"/>
        <v>177.73676400313303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75.659849293222507</v>
      </c>
      <c r="AV112" s="21">
        <f>EXP(-LN(2)/25)*AV111+(1-EXP(-LN(2)/25))/(LN(2)/25)*Calculateur!AQ112*Calculateur!AS112*VLOOKUP('Données projet'!$B$10,Paramètres!$A$1:$I$89,3,0)*0.475*44/12</f>
        <v>29.61777983718429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105.27762913040679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349.72353000000055</v>
      </c>
      <c r="BF112" s="13">
        <f t="shared" si="91"/>
        <v>81.505580575848711</v>
      </c>
      <c r="BG112" s="20">
        <f t="shared" si="61"/>
        <v>751.05736758627074</v>
      </c>
      <c r="BH112" s="59">
        <f t="shared" si="62"/>
        <v>1044.3907009196041</v>
      </c>
      <c r="BI112" s="59">
        <f ca="1">AVERAGE(OFFSET($BH$3,0,0,'Données projet'!$E$11+1,1))-AVERAGE(OFFSET($H$3,0,0,'Données projet'!$E$11+1,1))</f>
        <v>534.59150243554586</v>
      </c>
      <c r="BJ112" s="59">
        <f t="shared" si="92"/>
        <v>259.04458689606491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58.52881968373454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58.52881968373454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2.8421709430404007E-14</v>
      </c>
      <c r="BZ112" s="13">
        <f>BY112*VLOOKUP('Données projet'!$B$12,Paramètres!$A$1:$I$89,3,0)*VLOOKUP('Données projet'!$B$12,Paramètres!$A$1:$I$89,5,0)</f>
        <v>2.4829205358400945E-14</v>
      </c>
      <c r="CA112" s="13">
        <f t="shared" si="93"/>
        <v>4.3867331143352915E-13</v>
      </c>
      <c r="CB112" s="20">
        <f t="shared" si="64"/>
        <v>8.0726688341261168E-13</v>
      </c>
      <c r="CC112" s="59">
        <f t="shared" si="65"/>
        <v>293.33333333333411</v>
      </c>
      <c r="CD112" s="59">
        <f ca="1">AVERAGE(OFFSET($CC$3,0,0,'Données projet'!$E$12+1,1))-AVERAGE(OFFSET($H$3,0,0,'Données projet'!$E$12+1,1))</f>
        <v>211.91720528436969</v>
      </c>
      <c r="CE112" s="59">
        <f t="shared" si="94"/>
        <v>218.88548486038957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43.632095344277644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43.632095344277644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7.9349999999999969</v>
      </c>
      <c r="CT112" s="12">
        <f>IF('Données projet'!$A$140&gt;35,CT111+CS112-DB111,IF(A112&lt;'Données projet'!$A$140,$CQ$205^A112,IF(A112='Données projet'!$A$140,'Données projet'!$B$140,CT111+CS112-DB111)))</f>
        <v>344.89500000000049</v>
      </c>
      <c r="CU112" s="17">
        <f>CT112*VLOOKUP('Données projet'!$B$13,Paramètres!$A$1:$I$89,3,0)*VLOOKUP('Données projet'!$B$13,Paramètres!$A$1:$I$89,5,0)</f>
        <v>312.06099600000044</v>
      </c>
      <c r="CV112" s="13">
        <f t="shared" si="95"/>
        <v>73.699082033131035</v>
      </c>
      <c r="CW112" s="20">
        <f t="shared" si="67"/>
        <v>671.86546924103743</v>
      </c>
      <c r="CX112" s="59">
        <f t="shared" si="68"/>
        <v>965.1988025743708</v>
      </c>
      <c r="CY112" s="59">
        <f ca="1">AVERAGE(OFFSET($CX$3,0,0,'Données projet'!$E$13+1,1))-AVERAGE(OFFSET($H$3,0,0,'Données projet'!$E$13+1,1))</f>
        <v>469.97161976912071</v>
      </c>
      <c r="CZ112" s="59">
        <f t="shared" si="96"/>
        <v>231.65013084759306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52.225716025486193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52.225716025486193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7.9349999999999969</v>
      </c>
      <c r="DO112" s="12">
        <f>IF('Données projet'!$A$166&gt;35,DO111+DN112-DW111,IF(A112&lt;'Données projet'!$A$166,$DL$205^A112,IF(A112='Données projet'!$A$166,'Données projet'!$B$166,DO111+DN112-DW111)))</f>
        <v>344.89500000000049</v>
      </c>
      <c r="DP112" s="17">
        <f>DO112*VLOOKUP('Données projet'!$B$14,Paramètres!$A$1:$I$89,3,0)*VLOOKUP('Données projet'!$B$14,Paramètres!$A$1:$I$89,5,0)</f>
        <v>333.58244400000052</v>
      </c>
      <c r="DQ112" s="13">
        <f t="shared" si="97"/>
        <v>78.172571830595942</v>
      </c>
      <c r="DR112" s="20">
        <f t="shared" si="70"/>
        <v>717.13998590495532</v>
      </c>
      <c r="DS112" s="59">
        <f t="shared" si="71"/>
        <v>1010.4733192382887</v>
      </c>
      <c r="DT112" s="59">
        <f ca="1">AVERAGE(OFFSET($DS$3,0,0,'Données projet'!$E$14+1,1))-AVERAGE(OFFSET($H$3,0,0,'Données projet'!$E$14+1,1))</f>
        <v>506.9153247310901</v>
      </c>
      <c r="DU112" s="59">
        <f t="shared" si="98"/>
        <v>247.31254626788319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55.827489544485232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55.827489544485232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244.09</v>
      </c>
      <c r="L113" s="12">
        <f>VLOOKUP(A113,'Données projet'!$A$35:$I$55,9,0)</f>
        <v>5.1069999999999967</v>
      </c>
      <c r="M113" s="12">
        <f t="array" ref="M113">INDEX(L:L,MIN(IF(ISNUMBER(L113:L309),ROW(L113:L309),"")))</f>
        <v>5.1069999999999967</v>
      </c>
      <c r="N113" s="13">
        <f>IF('Données projet'!$A$36&gt;35,N112+M113-V112,IF(A113&lt;'Données projet'!$A$36,$K$205^A113,IF(A113='Données projet'!$A$36,'Données projet'!$B$36,N112+M113-V112)))</f>
        <v>244.09000000000012</v>
      </c>
      <c r="O113" s="13">
        <f>N113*VLOOKUP('Données projet'!$B$9,Paramètres!$A$1:$I$89,3,0)*VLOOKUP('Données projet'!$B$9,Paramètres!$A$1:$I$89,5,0)</f>
        <v>145.96582000000009</v>
      </c>
      <c r="P113" s="13">
        <f t="shared" si="87"/>
        <v>37.660354166170684</v>
      </c>
      <c r="Q113" s="20">
        <f t="shared" si="107"/>
        <v>319.81558667274743</v>
      </c>
      <c r="R113" s="59">
        <f t="shared" si="55"/>
        <v>613.14892000608074</v>
      </c>
      <c r="S113" s="59">
        <f ca="1">AVERAGE(OFFSET($R$3,0,0,'Données projet'!$E$9+1,1))-AVERAGE(OFFSET($H$3,0,0,'Données projet'!$E$9+1,1))</f>
        <v>193.8828274189392</v>
      </c>
      <c r="T113" s="59">
        <f t="shared" si="88"/>
        <v>179.13381331066427</v>
      </c>
      <c r="U113" s="15">
        <f>IF(ISNA(VLOOKUP(A113,'Données projet'!$A$35:$I$55,3,0)),0,VLOOKUP(A113,'Données projet'!$A$35:$I$55,3,0))</f>
        <v>6</v>
      </c>
      <c r="V113" s="15">
        <f>IF(ISNA(VLOOKUP(A113,'Données projet'!$A$35:$I$55,4,0)),0,VLOOKUP(A113,'Données projet'!$A$35:$I$55,4,0))</f>
        <v>244.09</v>
      </c>
      <c r="W113" s="16">
        <f>IF(ISNA(VLOOKUP(A113,'Données projet'!$A$35:$I$55,5,0)),0%,VLOOKUP(A113,'Données projet'!$A$35:$I$55,5,0)*VLOOKUP('Données projet'!$B$9,Paramètres!$A$1:$I$89,7,0))</f>
        <v>0.315</v>
      </c>
      <c r="X113" s="16">
        <f>IF(ISNA(VLOOKUP(A113,'Données projet'!$A$35:$I$55,6,0)),0%,VLOOKUP(A113,'Données projet'!$A$35:$I$55,6,0)*VLOOKUP('Données projet'!$B$9,Paramètres!$A$1:$I$89,7,0))</f>
        <v>0.13500000000000001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110.64629141063602</v>
      </c>
      <c r="AA113" s="21">
        <f>EXP(-LN(2)/25)*AA112+(1-EXP(-LN(2)/25))/(LN(2)/25)*Calculateur!V113*Calculateur!X113*VLOOKUP('Données projet'!$B$9,Paramètres!$A$1:$I$89,3,0)*0.475*44/12</f>
        <v>44.641103909887363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155.28739532052339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-6.8212102632969618E-13</v>
      </c>
      <c r="AJ113" s="13">
        <f>AI113*VLOOKUP('Données projet'!$B$10,Paramètres!$A$1:$I$89,3,0)*VLOOKUP('Données projet'!$B$10,Paramètres!$A$1:$I$89,5,0)</f>
        <v>-4.0790837374515837E-13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228.36873053496748</v>
      </c>
      <c r="AO113" s="59">
        <f t="shared" si="90"/>
        <v>177.73676400313303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74.17620579653375</v>
      </c>
      <c r="AV113" s="21">
        <f>EXP(-LN(2)/25)*AV112+(1-EXP(-LN(2)/25))/(LN(2)/25)*Calculateur!AQ113*Calculateur!AS113*VLOOKUP('Données projet'!$B$10,Paramètres!$A$1:$I$89,3,0)*0.475*44/12</f>
        <v>28.807880090005138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102.98408588653889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357.76962000000054</v>
      </c>
      <c r="BF113" s="13">
        <f t="shared" si="91"/>
        <v>83.160306601601619</v>
      </c>
      <c r="BG113" s="20">
        <f t="shared" si="61"/>
        <v>767.95295549779041</v>
      </c>
      <c r="BH113" s="59">
        <f t="shared" si="62"/>
        <v>1061.2862888311238</v>
      </c>
      <c r="BI113" s="59">
        <f ca="1">AVERAGE(OFFSET($BH$3,0,0,'Données projet'!$E$11+1,1))-AVERAGE(OFFSET($H$3,0,0,'Données projet'!$E$11+1,1))</f>
        <v>534.59150243554586</v>
      </c>
      <c r="BJ113" s="59">
        <f t="shared" si="92"/>
        <v>259.04458689606491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57.381105228791526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57.381105228791526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2.8421709430404007E-14</v>
      </c>
      <c r="BZ113" s="13">
        <f>BY113*VLOOKUP('Données projet'!$B$12,Paramètres!$A$1:$I$89,3,0)*VLOOKUP('Données projet'!$B$12,Paramètres!$A$1:$I$89,5,0)</f>
        <v>2.4829205358400945E-14</v>
      </c>
      <c r="CA113" s="13">
        <f t="shared" si="93"/>
        <v>4.3867331143352915E-13</v>
      </c>
      <c r="CB113" s="20">
        <f t="shared" si="64"/>
        <v>8.0726688341261168E-13</v>
      </c>
      <c r="CC113" s="59">
        <f t="shared" si="65"/>
        <v>293.33333333333411</v>
      </c>
      <c r="CD113" s="59">
        <f ca="1">AVERAGE(OFFSET($CC$3,0,0,'Données projet'!$E$12+1,1))-AVERAGE(OFFSET($H$3,0,0,'Données projet'!$E$12+1,1))</f>
        <v>211.91720528436969</v>
      </c>
      <c r="CE113" s="59">
        <f t="shared" si="94"/>
        <v>218.88548486038957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42.776496567526706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42.776496567526706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7.9349999999999969</v>
      </c>
      <c r="CT113" s="12">
        <f>IF('Données projet'!$A$140&gt;35,CT112+CS113-DB112,IF(A113&lt;'Données projet'!$A$140,$CQ$205^A113,IF(A113='Données projet'!$A$140,'Données projet'!$B$140,CT112+CS113-DB112)))</f>
        <v>352.8300000000005</v>
      </c>
      <c r="CU113" s="17">
        <f>CT113*VLOOKUP('Données projet'!$B$13,Paramètres!$A$1:$I$89,3,0)*VLOOKUP('Données projet'!$B$13,Paramètres!$A$1:$I$89,5,0)</f>
        <v>319.24058400000041</v>
      </c>
      <c r="CV113" s="13">
        <f t="shared" si="95"/>
        <v>75.195320551435159</v>
      </c>
      <c r="CW113" s="20">
        <f t="shared" si="67"/>
        <v>686.97586709375025</v>
      </c>
      <c r="CX113" s="59">
        <f t="shared" si="68"/>
        <v>980.30920042708362</v>
      </c>
      <c r="CY113" s="59">
        <f ca="1">AVERAGE(OFFSET($CX$3,0,0,'Données projet'!$E$13+1,1))-AVERAGE(OFFSET($H$3,0,0,'Données projet'!$E$13+1,1))</f>
        <v>469.97161976912071</v>
      </c>
      <c r="CZ113" s="59">
        <f t="shared" si="96"/>
        <v>231.65013084759306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51.201601588767808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51.201601588767808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7.9349999999999969</v>
      </c>
      <c r="DO113" s="12">
        <f>IF('Données projet'!$A$166&gt;35,DO112+DN113-DW112,IF(A113&lt;'Données projet'!$A$166,$DL$205^A113,IF(A113='Données projet'!$A$166,'Données projet'!$B$166,DO112+DN113-DW112)))</f>
        <v>352.8300000000005</v>
      </c>
      <c r="DP113" s="17">
        <f>DO113*VLOOKUP('Données projet'!$B$14,Paramètres!$A$1:$I$89,3,0)*VLOOKUP('Données projet'!$B$14,Paramètres!$A$1:$I$89,5,0)</f>
        <v>341.25717600000047</v>
      </c>
      <c r="DQ113" s="13">
        <f t="shared" si="97"/>
        <v>79.759631123888809</v>
      </c>
      <c r="DR113" s="20">
        <f t="shared" si="70"/>
        <v>733.2709390741071</v>
      </c>
      <c r="DS113" s="59">
        <f t="shared" si="71"/>
        <v>1026.6042724074405</v>
      </c>
      <c r="DT113" s="59">
        <f ca="1">AVERAGE(OFFSET($DS$3,0,0,'Données projet'!$E$14+1,1))-AVERAGE(OFFSET($H$3,0,0,'Données projet'!$E$14+1,1))</f>
        <v>506.9153247310901</v>
      </c>
      <c r="DU113" s="59">
        <f t="shared" si="98"/>
        <v>247.31254626788319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54.732746525924199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54.732746525924199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193.8828274189392</v>
      </c>
      <c r="T114" s="59">
        <f t="shared" si="88"/>
        <v>179.13381331066427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108.47658512364737</v>
      </c>
      <c r="AA114" s="21">
        <f>EXP(-LN(2)/25)*AA113+(1-EXP(-LN(2)/25))/(LN(2)/25)*Calculateur!V114*Calculateur!X114*VLOOKUP('Données projet'!$B$9,Paramètres!$A$1:$I$89,3,0)*0.475*44/12</f>
        <v>43.420390575897869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151.89697569954524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-6.8212102632969618E-13</v>
      </c>
      <c r="AJ114" s="13">
        <f>AI114*VLOOKUP('Données projet'!$B$10,Paramètres!$A$1:$I$89,3,0)*VLOOKUP('Données projet'!$B$10,Paramètres!$A$1:$I$89,5,0)</f>
        <v>-4.0790837374515837E-13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228.36873053496748</v>
      </c>
      <c r="AO114" s="59">
        <f t="shared" si="90"/>
        <v>177.73676400313303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72.721655643881888</v>
      </c>
      <c r="AV114" s="21">
        <f>EXP(-LN(2)/25)*AV113+(1-EXP(-LN(2)/25))/(LN(2)/25)*Calculateur!AQ114*Calculateur!AS114*VLOOKUP('Données projet'!$B$10,Paramètres!$A$1:$I$89,3,0)*0.475*44/12</f>
        <v>28.020127094003374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100.74178273788526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365.81571000000054</v>
      </c>
      <c r="BF114" s="13">
        <f t="shared" si="91"/>
        <v>84.810706185422944</v>
      </c>
      <c r="BG114" s="20">
        <f t="shared" si="61"/>
        <v>784.84100818961235</v>
      </c>
      <c r="BH114" s="59">
        <f t="shared" si="62"/>
        <v>1078.1743415229457</v>
      </c>
      <c r="BI114" s="59">
        <f ca="1">AVERAGE(OFFSET($BH$3,0,0,'Données projet'!$E$11+1,1))-AVERAGE(OFFSET($H$3,0,0,'Données projet'!$E$11+1,1))</f>
        <v>534.59150243554586</v>
      </c>
      <c r="BJ114" s="59">
        <f t="shared" si="92"/>
        <v>259.04458689606491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56.255896754273245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56.255896754273245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2.8421709430404007E-14</v>
      </c>
      <c r="BZ114" s="13">
        <f>BY114*VLOOKUP('Données projet'!$B$12,Paramètres!$A$1:$I$89,3,0)*VLOOKUP('Données projet'!$B$12,Paramètres!$A$1:$I$89,5,0)</f>
        <v>2.4829205358400945E-14</v>
      </c>
      <c r="CA114" s="13">
        <f t="shared" si="93"/>
        <v>4.3867331143352915E-13</v>
      </c>
      <c r="CB114" s="20">
        <f t="shared" si="64"/>
        <v>8.0726688341261168E-13</v>
      </c>
      <c r="CC114" s="59">
        <f t="shared" si="65"/>
        <v>293.33333333333411</v>
      </c>
      <c r="CD114" s="59">
        <f ca="1">AVERAGE(OFFSET($CC$3,0,0,'Données projet'!$E$12+1,1))-AVERAGE(OFFSET($H$3,0,0,'Données projet'!$E$12+1,1))</f>
        <v>211.91720528436969</v>
      </c>
      <c r="CE114" s="59">
        <f t="shared" si="94"/>
        <v>218.88548486038957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41.937675560924134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41.937675560924134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7.9349999999999969</v>
      </c>
      <c r="CT114" s="12">
        <f>IF('Données projet'!$A$140&gt;35,CT113+CS114-DB113,IF(A114&lt;'Données projet'!$A$140,$CQ$205^A114,IF(A114='Données projet'!$A$140,'Données projet'!$B$140,CT113+CS114-DB113)))</f>
        <v>360.7650000000005</v>
      </c>
      <c r="CU114" s="17">
        <f>CT114*VLOOKUP('Données projet'!$B$13,Paramètres!$A$1:$I$89,3,0)*VLOOKUP('Données projet'!$B$13,Paramètres!$A$1:$I$89,5,0)</f>
        <v>326.42017200000043</v>
      </c>
      <c r="CV114" s="13">
        <f t="shared" si="95"/>
        <v>76.687647008791089</v>
      </c>
      <c r="CW114" s="20">
        <f t="shared" si="67"/>
        <v>702.07945144031191</v>
      </c>
      <c r="CX114" s="59">
        <f t="shared" si="68"/>
        <v>995.41278477364517</v>
      </c>
      <c r="CY114" s="59">
        <f ca="1">AVERAGE(OFFSET($CX$3,0,0,'Données projet'!$E$13+1,1))-AVERAGE(OFFSET($H$3,0,0,'Données projet'!$E$13+1,1))</f>
        <v>469.97161976912071</v>
      </c>
      <c r="CZ114" s="59">
        <f t="shared" si="96"/>
        <v>231.65013084759306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50.197569411505341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50.197569411505341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7.9349999999999969</v>
      </c>
      <c r="DO114" s="12">
        <f>IF('Données projet'!$A$166&gt;35,DO113+DN114-DW113,IF(A114&lt;'Données projet'!$A$166,$DL$205^A114,IF(A114='Données projet'!$A$166,'Données projet'!$B$166,DO113+DN114-DW113)))</f>
        <v>360.7650000000005</v>
      </c>
      <c r="DP114" s="17">
        <f>DO114*VLOOKUP('Données projet'!$B$14,Paramètres!$A$1:$I$89,3,0)*VLOOKUP('Données projet'!$B$14,Paramètres!$A$1:$I$89,5,0)</f>
        <v>348.93190800000048</v>
      </c>
      <c r="DQ114" s="13">
        <f t="shared" si="97"/>
        <v>81.342540896495009</v>
      </c>
      <c r="DR114" s="20">
        <f t="shared" si="70"/>
        <v>749.39466516139635</v>
      </c>
      <c r="DS114" s="59">
        <f t="shared" si="71"/>
        <v>1042.7279984947297</v>
      </c>
      <c r="DT114" s="59">
        <f ca="1">AVERAGE(OFFSET($DS$3,0,0,'Données projet'!$E$14+1,1))-AVERAGE(OFFSET($H$3,0,0,'Données projet'!$E$14+1,1))</f>
        <v>506.9153247310901</v>
      </c>
      <c r="DU114" s="59">
        <f t="shared" si="98"/>
        <v>247.31254626788319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53.659470750229843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53.659470750229843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193.8828274189392</v>
      </c>
      <c r="T115" s="59">
        <f t="shared" si="88"/>
        <v>179.13381331066427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106.34942545355639</v>
      </c>
      <c r="AA115" s="21">
        <f>EXP(-LN(2)/25)*AA114+(1-EXP(-LN(2)/25))/(LN(2)/25)*Calculateur!V115*Calculateur!X115*VLOOKUP('Données projet'!$B$9,Paramètres!$A$1:$I$89,3,0)*0.475*44/12</f>
        <v>42.233057712220841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148.58248316577723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-6.8212102632969618E-13</v>
      </c>
      <c r="AJ115" s="13">
        <f>AI115*VLOOKUP('Données projet'!$B$10,Paramètres!$A$1:$I$89,3,0)*VLOOKUP('Données projet'!$B$10,Paramètres!$A$1:$I$89,5,0)</f>
        <v>-4.0790837374515837E-13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228.36873053496748</v>
      </c>
      <c r="AO115" s="59">
        <f t="shared" si="90"/>
        <v>177.73676400313303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71.295628332535529</v>
      </c>
      <c r="AV115" s="21">
        <f>EXP(-LN(2)/25)*AV114+(1-EXP(-LN(2)/25))/(LN(2)/25)*Calculateur!AQ115*Calculateur!AS115*VLOOKUP('Données projet'!$B$10,Paramètres!$A$1:$I$89,3,0)*0.475*44/12</f>
        <v>27.253915245103411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98.549543577638943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373.86180000000053</v>
      </c>
      <c r="BF115" s="13">
        <f t="shared" si="91"/>
        <v>86.456885445094045</v>
      </c>
      <c r="BG115" s="20">
        <f t="shared" si="61"/>
        <v>801.7217104835396</v>
      </c>
      <c r="BH115" s="59">
        <f t="shared" si="62"/>
        <v>1095.055043816873</v>
      </c>
      <c r="BI115" s="59">
        <f ca="1">AVERAGE(OFFSET($BH$3,0,0,'Données projet'!$E$11+1,1))-AVERAGE(OFFSET($H$3,0,0,'Données projet'!$E$11+1,1))</f>
        <v>534.59150243554586</v>
      </c>
      <c r="BJ115" s="59">
        <f t="shared" si="92"/>
        <v>259.04458689606491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55.152752931630864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55.152752931630864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2.8421709430404007E-14</v>
      </c>
      <c r="BZ115" s="13">
        <f>BY115*VLOOKUP('Données projet'!$B$12,Paramètres!$A$1:$I$89,3,0)*VLOOKUP('Données projet'!$B$12,Paramètres!$A$1:$I$89,5,0)</f>
        <v>2.4829205358400945E-14</v>
      </c>
      <c r="CA115" s="13">
        <f t="shared" si="93"/>
        <v>4.3867331143352915E-13</v>
      </c>
      <c r="CB115" s="20">
        <f t="shared" si="64"/>
        <v>8.0726688341261168E-13</v>
      </c>
      <c r="CC115" s="59">
        <f t="shared" si="65"/>
        <v>293.33333333333411</v>
      </c>
      <c r="CD115" s="59">
        <f ca="1">AVERAGE(OFFSET($CC$3,0,0,'Données projet'!$E$12+1,1))-AVERAGE(OFFSET($H$3,0,0,'Données projet'!$E$12+1,1))</f>
        <v>211.91720528436969</v>
      </c>
      <c r="CE115" s="59">
        <f t="shared" si="94"/>
        <v>218.88548486038957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41.115303322630744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41.115303322630744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7.9349999999999969</v>
      </c>
      <c r="CT115" s="12">
        <f>IF('Données projet'!$A$140&gt;35,CT114+CS115-DB114,IF(A115&lt;'Données projet'!$A$140,$CQ$205^A115,IF(A115='Données projet'!$A$140,'Données projet'!$B$140,CT114+CS115-DB114)))</f>
        <v>368.7000000000005</v>
      </c>
      <c r="CU115" s="17">
        <f>CT115*VLOOKUP('Données projet'!$B$13,Paramètres!$A$1:$I$89,3,0)*VLOOKUP('Données projet'!$B$13,Paramètres!$A$1:$I$89,5,0)</f>
        <v>333.59976000000046</v>
      </c>
      <c r="CV115" s="13">
        <f t="shared" si="95"/>
        <v>78.17615735915706</v>
      </c>
      <c r="CW115" s="20">
        <f t="shared" si="67"/>
        <v>717.17638940053257</v>
      </c>
      <c r="CX115" s="59">
        <f t="shared" si="68"/>
        <v>1010.5097227338658</v>
      </c>
      <c r="CY115" s="59">
        <f ca="1">AVERAGE(OFFSET($CX$3,0,0,'Données projet'!$E$13+1,1))-AVERAGE(OFFSET($H$3,0,0,'Données projet'!$E$13+1,1))</f>
        <v>469.97161976912071</v>
      </c>
      <c r="CZ115" s="59">
        <f t="shared" si="96"/>
        <v>231.65013084759306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49.213225692839835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49.213225692839835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7.9349999999999969</v>
      </c>
      <c r="DO115" s="12">
        <f>IF('Données projet'!$A$166&gt;35,DO114+DN115-DW114,IF(A115&lt;'Données projet'!$A$166,$DL$205^A115,IF(A115='Données projet'!$A$166,'Données projet'!$B$166,DO114+DN115-DW114)))</f>
        <v>368.7000000000005</v>
      </c>
      <c r="DP115" s="17">
        <f>DO115*VLOOKUP('Données projet'!$B$14,Paramètres!$A$1:$I$89,3,0)*VLOOKUP('Données projet'!$B$14,Paramètres!$A$1:$I$89,5,0)</f>
        <v>356.60664000000048</v>
      </c>
      <c r="DQ115" s="13">
        <f t="shared" si="97"/>
        <v>82.921402926720376</v>
      </c>
      <c r="DR115" s="20">
        <f t="shared" si="70"/>
        <v>765.51134143070556</v>
      </c>
      <c r="DS115" s="59">
        <f t="shared" si="71"/>
        <v>1058.8446747640389</v>
      </c>
      <c r="DT115" s="59">
        <f ca="1">AVERAGE(OFFSET($DS$3,0,0,'Données projet'!$E$14+1,1))-AVERAGE(OFFSET($H$3,0,0,'Données projet'!$E$14+1,1))</f>
        <v>506.9153247310901</v>
      </c>
      <c r="DU115" s="59">
        <f t="shared" si="98"/>
        <v>247.31254626788319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52.607241257863272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52.607241257863272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193.8828274189392</v>
      </c>
      <c r="T116" s="59">
        <f t="shared" si="88"/>
        <v>179.13381331066427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104.26397808715662</v>
      </c>
      <c r="AA116" s="21">
        <f>EXP(-LN(2)/25)*AA115+(1-EXP(-LN(2)/25))/(LN(2)/25)*Calculateur!V116*Calculateur!X116*VLOOKUP('Données projet'!$B$9,Paramètres!$A$1:$I$89,3,0)*0.475*44/12</f>
        <v>41.078192528140185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145.34217061529679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-6.8212102632969618E-13</v>
      </c>
      <c r="AJ116" s="13">
        <f>AI116*VLOOKUP('Données projet'!$B$10,Paramètres!$A$1:$I$89,3,0)*VLOOKUP('Données projet'!$B$10,Paramètres!$A$1:$I$89,5,0)</f>
        <v>-4.0790837374515837E-13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228.36873053496748</v>
      </c>
      <c r="AO116" s="59">
        <f t="shared" si="90"/>
        <v>177.73676400313303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69.897564546973896</v>
      </c>
      <c r="AV116" s="21">
        <f>EXP(-LN(2)/25)*AV115+(1-EXP(-LN(2)/25))/(LN(2)/25)*Calculateur!AQ116*Calculateur!AS116*VLOOKUP('Données projet'!$B$10,Paramètres!$A$1:$I$89,3,0)*0.475*44/12</f>
        <v>26.508655499504943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96.406220046478836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381.90789000000052</v>
      </c>
      <c r="BF116" s="13">
        <f t="shared" si="91"/>
        <v>88.098945669848248</v>
      </c>
      <c r="BG116" s="20">
        <f t="shared" si="61"/>
        <v>818.59523879165329</v>
      </c>
      <c r="BH116" s="59">
        <f t="shared" si="62"/>
        <v>1111.9285721249867</v>
      </c>
      <c r="BI116" s="59">
        <f ca="1">AVERAGE(OFFSET($BH$3,0,0,'Données projet'!$E$11+1,1))-AVERAGE(OFFSET($H$3,0,0,'Données projet'!$E$11+1,1))</f>
        <v>534.59150243554586</v>
      </c>
      <c r="BJ116" s="59">
        <f t="shared" si="92"/>
        <v>259.04458689606491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54.071241086499214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54.071241086499214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2.8421709430404007E-14</v>
      </c>
      <c r="BZ116" s="13">
        <f>BY116*VLOOKUP('Données projet'!$B$12,Paramètres!$A$1:$I$89,3,0)*VLOOKUP('Données projet'!$B$12,Paramètres!$A$1:$I$89,5,0)</f>
        <v>2.4829205358400945E-14</v>
      </c>
      <c r="CA116" s="13">
        <f t="shared" si="93"/>
        <v>4.3867331143352915E-13</v>
      </c>
      <c r="CB116" s="20">
        <f t="shared" si="64"/>
        <v>8.0726688341261168E-13</v>
      </c>
      <c r="CC116" s="59">
        <f t="shared" si="65"/>
        <v>293.33333333333411</v>
      </c>
      <c r="CD116" s="59">
        <f ca="1">AVERAGE(OFFSET($CC$3,0,0,'Données projet'!$E$12+1,1))-AVERAGE(OFFSET($H$3,0,0,'Données projet'!$E$12+1,1))</f>
        <v>211.91720528436969</v>
      </c>
      <c r="CE116" s="59">
        <f t="shared" si="94"/>
        <v>218.88548486038957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40.309057302332747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40.309057302332747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7.9349999999999969</v>
      </c>
      <c r="CT116" s="12">
        <f>IF('Données projet'!$A$140&gt;35,CT115+CS116-DB115,IF(A116&lt;'Données projet'!$A$140,$CQ$205^A116,IF(A116='Données projet'!$A$140,'Données projet'!$B$140,CT115+CS116-DB115)))</f>
        <v>376.6350000000005</v>
      </c>
      <c r="CU116" s="17">
        <f>CT116*VLOOKUP('Données projet'!$B$13,Paramètres!$A$1:$I$89,3,0)*VLOOKUP('Données projet'!$B$13,Paramètres!$A$1:$I$89,5,0)</f>
        <v>340.77934800000043</v>
      </c>
      <c r="CV116" s="13">
        <f t="shared" si="95"/>
        <v>79.660943190415296</v>
      </c>
      <c r="CW116" s="20">
        <f t="shared" si="67"/>
        <v>732.26684048997402</v>
      </c>
      <c r="CX116" s="59">
        <f t="shared" si="68"/>
        <v>1025.6001738233074</v>
      </c>
      <c r="CY116" s="59">
        <f ca="1">AVERAGE(OFFSET($CX$3,0,0,'Données projet'!$E$13+1,1))-AVERAGE(OFFSET($H$3,0,0,'Données projet'!$E$13+1,1))</f>
        <v>469.97161976912071</v>
      </c>
      <c r="CZ116" s="59">
        <f t="shared" si="96"/>
        <v>231.65013084759306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48.248184354106975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48.248184354106975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7.9349999999999969</v>
      </c>
      <c r="DO116" s="12">
        <f>IF('Données projet'!$A$166&gt;35,DO115+DN116-DW115,IF(A116&lt;'Données projet'!$A$166,$DL$205^A116,IF(A116='Données projet'!$A$166,'Données projet'!$B$166,DO115+DN116-DW115)))</f>
        <v>376.6350000000005</v>
      </c>
      <c r="DP116" s="17">
        <f>DO116*VLOOKUP('Données projet'!$B$14,Paramètres!$A$1:$I$89,3,0)*VLOOKUP('Données projet'!$B$14,Paramètres!$A$1:$I$89,5,0)</f>
        <v>364.28137200000049</v>
      </c>
      <c r="DQ116" s="13">
        <f t="shared" si="97"/>
        <v>84.496314361776058</v>
      </c>
      <c r="DR116" s="20">
        <f t="shared" si="70"/>
        <v>781.62113708009417</v>
      </c>
      <c r="DS116" s="59">
        <f t="shared" si="71"/>
        <v>1074.9544704134275</v>
      </c>
      <c r="DT116" s="59">
        <f ca="1">AVERAGE(OFFSET($DS$3,0,0,'Données projet'!$E$14+1,1))-AVERAGE(OFFSET($H$3,0,0,'Données projet'!$E$14+1,1))</f>
        <v>506.9153247310901</v>
      </c>
      <c r="DU116" s="59">
        <f t="shared" si="98"/>
        <v>247.31254626788319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51.575645344045391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51.575645344045391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193.8828274189392</v>
      </c>
      <c r="T117" s="59">
        <f t="shared" si="88"/>
        <v>179.13381331066427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102.21942507161465</v>
      </c>
      <c r="AA117" s="21">
        <f>EXP(-LN(2)/25)*AA116+(1-EXP(-LN(2)/25))/(LN(2)/25)*Calculateur!V117*Calculateur!X117*VLOOKUP('Données projet'!$B$9,Paramètres!$A$1:$I$89,3,0)*0.475*44/12</f>
        <v>39.95490719324993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142.17433226486457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-6.8212102632969618E-13</v>
      </c>
      <c r="AJ117" s="13">
        <f>AI117*VLOOKUP('Données projet'!$B$10,Paramètres!$A$1:$I$89,3,0)*VLOOKUP('Données projet'!$B$10,Paramètres!$A$1:$I$89,5,0)</f>
        <v>-4.0790837374515837E-13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228.36873053496748</v>
      </c>
      <c r="AO117" s="59">
        <f t="shared" si="90"/>
        <v>177.73676400313303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68.526915939512421</v>
      </c>
      <c r="AV117" s="21">
        <f>EXP(-LN(2)/25)*AV116+(1-EXP(-LN(2)/25))/(LN(2)/25)*Calculateur!AQ117*Calculateur!AS117*VLOOKUP('Données projet'!$B$10,Paramètres!$A$1:$I$89,3,0)*0.475*44/12</f>
        <v>25.783774920841374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94.310690860353787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389.95398000000051</v>
      </c>
      <c r="BF117" s="13">
        <f t="shared" si="91"/>
        <v>89.736983637102725</v>
      </c>
      <c r="BG117" s="20">
        <f t="shared" si="61"/>
        <v>835.46176166795476</v>
      </c>
      <c r="BH117" s="59">
        <f t="shared" si="62"/>
        <v>1128.795095001288</v>
      </c>
      <c r="BI117" s="59">
        <f ca="1">AVERAGE(OFFSET($BH$3,0,0,'Données projet'!$E$11+1,1))-AVERAGE(OFFSET($H$3,0,0,'Données projet'!$E$11+1,1))</f>
        <v>534.59150243554586</v>
      </c>
      <c r="BJ117" s="59">
        <f t="shared" si="92"/>
        <v>259.04458689606491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69.226623079279591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69.226623079279591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2.8421709430404007E-14</v>
      </c>
      <c r="BZ117" s="13">
        <f>BY117*VLOOKUP('Données projet'!$B$12,Paramètres!$A$1:$I$89,3,0)*VLOOKUP('Données projet'!$B$12,Paramètres!$A$1:$I$89,5,0)</f>
        <v>2.4829205358400945E-14</v>
      </c>
      <c r="CA117" s="13">
        <f t="shared" si="93"/>
        <v>4.3867331143352915E-13</v>
      </c>
      <c r="CB117" s="20">
        <f t="shared" si="64"/>
        <v>8.0726688341261168E-13</v>
      </c>
      <c r="CC117" s="59">
        <f t="shared" si="65"/>
        <v>293.33333333333411</v>
      </c>
      <c r="CD117" s="59">
        <f ca="1">AVERAGE(OFFSET($CC$3,0,0,'Données projet'!$E$12+1,1))-AVERAGE(OFFSET($H$3,0,0,'Données projet'!$E$12+1,1))</f>
        <v>211.91720528436969</v>
      </c>
      <c r="CE117" s="59">
        <f t="shared" si="94"/>
        <v>218.88548486038957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39.518621274731281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39.518621274731281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384.57</v>
      </c>
      <c r="CR117" s="12">
        <f>VLOOKUP(A117,'Données projet'!$A$139:$I$159,9,0)</f>
        <v>7.9349999999999969</v>
      </c>
      <c r="CS117" s="12">
        <f t="array" ref="CS117">INDEX(CR:CR,MIN(IF(ISNUMBER(CR117:CR313),ROW(CR117:CR313),"")))</f>
        <v>7.9349999999999969</v>
      </c>
      <c r="CT117" s="12">
        <f>IF('Données projet'!$A$140&gt;35,CT116+CS117-DB116,IF(A117&lt;'Données projet'!$A$140,$CQ$205^A117,IF(A117='Données projet'!$A$140,'Données projet'!$B$140,CT116+CS117-DB116)))</f>
        <v>384.5700000000005</v>
      </c>
      <c r="CU117" s="17">
        <f>CT117*VLOOKUP('Données projet'!$B$13,Paramètres!$A$1:$I$89,3,0)*VLOOKUP('Données projet'!$B$13,Paramètres!$A$1:$I$89,5,0)</f>
        <v>347.95893600000045</v>
      </c>
      <c r="CV117" s="13">
        <f t="shared" si="95"/>
        <v>81.142092010767954</v>
      </c>
      <c r="CW117" s="20">
        <f t="shared" si="67"/>
        <v>747.35095711875499</v>
      </c>
      <c r="CX117" s="59">
        <f t="shared" si="68"/>
        <v>1040.6842904520884</v>
      </c>
      <c r="CY117" s="59">
        <f ca="1">AVERAGE(OFFSET($CX$3,0,0,'Données projet'!$E$13+1,1))-AVERAGE(OFFSET($H$3,0,0,'Données projet'!$E$13+1,1))</f>
        <v>469.97161976912071</v>
      </c>
      <c r="CZ117" s="59">
        <f t="shared" si="96"/>
        <v>231.65013084759306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0.25800000000000001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61.771448286126386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61.771448286126386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384.57</v>
      </c>
      <c r="DM117" s="12">
        <f>VLOOKUP(A117,'Données projet'!$A$165:$I$185,9,0)</f>
        <v>7.9349999999999969</v>
      </c>
      <c r="DN117" s="12">
        <f t="array" ref="DN117">INDEX(DM:DM,MIN(IF(ISNUMBER(DM117:DM313),ROW(DM117:DM313),"")))</f>
        <v>7.9349999999999969</v>
      </c>
      <c r="DO117" s="12">
        <f>IF('Données projet'!$A$166&gt;35,DO116+DN117-DW116,IF(A117&lt;'Données projet'!$A$166,$DL$205^A117,IF(A117='Données projet'!$A$166,'Données projet'!$B$166,DO116+DN117-DW116)))</f>
        <v>384.5700000000005</v>
      </c>
      <c r="DP117" s="17">
        <f>DO117*VLOOKUP('Données projet'!$B$14,Paramètres!$A$1:$I$89,3,0)*VLOOKUP('Données projet'!$B$14,Paramètres!$A$1:$I$89,5,0)</f>
        <v>371.95610400000049</v>
      </c>
      <c r="DQ117" s="13">
        <f t="shared" si="97"/>
        <v>86.067368021559375</v>
      </c>
      <c r="DR117" s="20">
        <f t="shared" si="70"/>
        <v>797.72421377088347</v>
      </c>
      <c r="DS117" s="59">
        <f t="shared" si="71"/>
        <v>1091.0575471042168</v>
      </c>
      <c r="DT117" s="59">
        <f ca="1">AVERAGE(OFFSET($DS$3,0,0,'Données projet'!$E$14+1,1))-AVERAGE(OFFSET($H$3,0,0,'Données projet'!$E$14+1,1))</f>
        <v>506.9153247310901</v>
      </c>
      <c r="DU117" s="59">
        <f t="shared" si="98"/>
        <v>247.31254626788319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56.07</v>
      </c>
      <c r="DX117" s="16">
        <f>IF(ISNA(VLOOKUP(A117,'Données projet'!$A$165:$I$185,5,0)),0%,VLOOKUP(A117,'Données projet'!$A$165:$I$185,5,0)*VLOOKUP('Données projet'!$B$14,Paramètres!$A$1:$I$89,7,0))</f>
        <v>0.25800000000000001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66.031548167928207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66.031548167928207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193.8828274189392</v>
      </c>
      <c r="T118" s="59">
        <f t="shared" si="88"/>
        <v>179.13381331066427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100.21496449365326</v>
      </c>
      <c r="AA118" s="21">
        <f>EXP(-LN(2)/25)*AA117+(1-EXP(-LN(2)/25))/(LN(2)/25)*Calculateur!V118*Calculateur!X118*VLOOKUP('Données projet'!$B$9,Paramètres!$A$1:$I$89,3,0)*0.475*44/12</f>
        <v>38.86233815491326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139.0773026485665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-6.8212102632969618E-13</v>
      </c>
      <c r="AJ118" s="13">
        <f>AI118*VLOOKUP('Données projet'!$B$10,Paramètres!$A$1:$I$89,3,0)*VLOOKUP('Données projet'!$B$10,Paramètres!$A$1:$I$89,5,0)</f>
        <v>-4.0790837374515837E-13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228.36873053496748</v>
      </c>
      <c r="AO118" s="59">
        <f t="shared" si="90"/>
        <v>177.73676400313303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67.183144915230159</v>
      </c>
      <c r="AV118" s="21">
        <f>EXP(-LN(2)/25)*AV117+(1-EXP(-LN(2)/25))/(LN(2)/25)*Calculateur!AQ118*Calculateur!AS118*VLOOKUP('Données projet'!$B$10,Paramètres!$A$1:$I$89,3,0)*0.475*44/12</f>
        <v>25.078716239721174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92.261861154951333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341.2028880000006</v>
      </c>
      <c r="BF118" s="13">
        <f t="shared" si="91"/>
        <v>79.748419593074587</v>
      </c>
      <c r="BG118" s="20">
        <f t="shared" si="61"/>
        <v>733.15686072460585</v>
      </c>
      <c r="BH118" s="59">
        <f t="shared" si="62"/>
        <v>1026.4901940579391</v>
      </c>
      <c r="BI118" s="59">
        <f ca="1">AVERAGE(OFFSET($BH$3,0,0,'Données projet'!$E$11+1,1))-AVERAGE(OFFSET($H$3,0,0,'Données projet'!$E$11+1,1))</f>
        <v>534.59150243554586</v>
      </c>
      <c r="BJ118" s="59">
        <f t="shared" si="92"/>
        <v>259.04458689606491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67.869131224765709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67.869131224765709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2.8421709430404007E-14</v>
      </c>
      <c r="BZ118" s="13">
        <f>BY118*VLOOKUP('Données projet'!$B$12,Paramètres!$A$1:$I$89,3,0)*VLOOKUP('Données projet'!$B$12,Paramètres!$A$1:$I$89,5,0)</f>
        <v>2.4829205358400945E-14</v>
      </c>
      <c r="CA118" s="13">
        <f t="shared" si="93"/>
        <v>4.3867331143352915E-13</v>
      </c>
      <c r="CB118" s="20">
        <f t="shared" si="64"/>
        <v>8.0726688341261168E-13</v>
      </c>
      <c r="CC118" s="59">
        <f t="shared" si="65"/>
        <v>293.33333333333411</v>
      </c>
      <c r="CD118" s="59">
        <f ca="1">AVERAGE(OFFSET($CC$3,0,0,'Données projet'!$E$12+1,1))-AVERAGE(OFFSET($H$3,0,0,'Données projet'!$E$12+1,1))</f>
        <v>211.91720528436969</v>
      </c>
      <c r="CE118" s="59">
        <f t="shared" si="94"/>
        <v>218.88548486038957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38.743685215512706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38.743685215512706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7.9920000000000018</v>
      </c>
      <c r="CT118" s="12">
        <f>IF('Données projet'!$A$140&gt;35,CT117+CS118-DB117,IF(A118&lt;'Données projet'!$A$140,$CQ$205^A118,IF(A118='Données projet'!$A$140,'Données projet'!$B$140,CT117+CS118-DB117)))</f>
        <v>336.49200000000053</v>
      </c>
      <c r="CU118" s="17">
        <f>CT118*VLOOKUP('Données projet'!$B$13,Paramètres!$A$1:$I$89,3,0)*VLOOKUP('Données projet'!$B$13,Paramètres!$A$1:$I$89,5,0)</f>
        <v>304.45796160000049</v>
      </c>
      <c r="CV118" s="13">
        <f t="shared" si="95"/>
        <v>72.11021964481435</v>
      </c>
      <c r="CW118" s="20">
        <f t="shared" si="67"/>
        <v>655.85624900138566</v>
      </c>
      <c r="CX118" s="59">
        <f t="shared" si="68"/>
        <v>949.18958233471903</v>
      </c>
      <c r="CY118" s="59">
        <f ca="1">AVERAGE(OFFSET($CX$3,0,0,'Données projet'!$E$13+1,1))-AVERAGE(OFFSET($H$3,0,0,'Données projet'!$E$13+1,1))</f>
        <v>469.97161976912071</v>
      </c>
      <c r="CZ118" s="59">
        <f t="shared" si="96"/>
        <v>231.65013084759306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60.560147862098624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60.560147862098624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7.9920000000000018</v>
      </c>
      <c r="DO118" s="12">
        <f>IF('Données projet'!$A$166&gt;35,DO117+DN118-DW117,IF(A118&lt;'Données projet'!$A$166,$DL$205^A118,IF(A118='Données projet'!$A$166,'Données projet'!$B$166,DO117+DN118-DW117)))</f>
        <v>336.49200000000053</v>
      </c>
      <c r="DP118" s="17">
        <f>DO118*VLOOKUP('Données projet'!$B$14,Paramètres!$A$1:$I$89,3,0)*VLOOKUP('Données projet'!$B$14,Paramètres!$A$1:$I$89,5,0)</f>
        <v>325.45506240000054</v>
      </c>
      <c r="DQ118" s="13">
        <f t="shared" si="97"/>
        <v>76.487266454284907</v>
      </c>
      <c r="DR118" s="20">
        <f t="shared" si="70"/>
        <v>700.04955608788043</v>
      </c>
      <c r="DS118" s="59">
        <f t="shared" si="71"/>
        <v>993.3828894212138</v>
      </c>
      <c r="DT118" s="59">
        <f ca="1">AVERAGE(OFFSET($DS$3,0,0,'Données projet'!$E$14+1,1))-AVERAGE(OFFSET($H$3,0,0,'Données projet'!$E$14+1,1))</f>
        <v>506.9153247310901</v>
      </c>
      <c r="DU118" s="59">
        <f t="shared" si="98"/>
        <v>247.31254626788319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64.736709783622672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64.736709783622672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193.8828274189392</v>
      </c>
      <c r="T119" s="59">
        <f t="shared" si="88"/>
        <v>179.13381331066427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98.249810165025451</v>
      </c>
      <c r="AA119" s="21">
        <f>EXP(-LN(2)/25)*AA118+(1-EXP(-LN(2)/25))/(LN(2)/25)*Calculateur!V119*Calculateur!X119*VLOOKUP('Données projet'!$B$9,Paramètres!$A$1:$I$89,3,0)*0.475*44/12</f>
        <v>37.799645474385613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136.04945563941106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-6.8212102632969618E-13</v>
      </c>
      <c r="AJ119" s="13">
        <f>AI119*VLOOKUP('Données projet'!$B$10,Paramètres!$A$1:$I$89,3,0)*VLOOKUP('Données projet'!$B$10,Paramètres!$A$1:$I$89,5,0)</f>
        <v>-4.0790837374515837E-13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228.36873053496748</v>
      </c>
      <c r="AO119" s="59">
        <f t="shared" si="90"/>
        <v>177.73676400313303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65.865724421114678</v>
      </c>
      <c r="AV119" s="21">
        <f>EXP(-LN(2)/25)*AV118+(1-EXP(-LN(2)/25))/(LN(2)/25)*Calculateur!AQ119*Calculateur!AS119*VLOOKUP('Données projet'!$B$10,Paramètres!$A$1:$I$89,3,0)*0.475*44/12</f>
        <v>24.39293742531363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90.258661846428311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349.30677600000058</v>
      </c>
      <c r="BF119" s="13">
        <f t="shared" si="91"/>
        <v>81.419752750490431</v>
      </c>
      <c r="BG119" s="20">
        <f t="shared" si="61"/>
        <v>750.18203757377194</v>
      </c>
      <c r="BH119" s="59">
        <f t="shared" si="62"/>
        <v>1043.5153709071053</v>
      </c>
      <c r="BI119" s="59">
        <f ca="1">AVERAGE(OFFSET($BH$3,0,0,'Données projet'!$E$11+1,1))-AVERAGE(OFFSET($H$3,0,0,'Données projet'!$E$11+1,1))</f>
        <v>534.59150243554586</v>
      </c>
      <c r="BJ119" s="59">
        <f t="shared" si="92"/>
        <v>259.04458689606491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66.538258957530573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66.538258957530573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2.8421709430404007E-14</v>
      </c>
      <c r="BZ119" s="13">
        <f>BY119*VLOOKUP('Données projet'!$B$12,Paramètres!$A$1:$I$89,3,0)*VLOOKUP('Données projet'!$B$12,Paramètres!$A$1:$I$89,5,0)</f>
        <v>2.4829205358400945E-14</v>
      </c>
      <c r="CA119" s="13">
        <f t="shared" si="93"/>
        <v>4.3867331143352915E-13</v>
      </c>
      <c r="CB119" s="20">
        <f t="shared" si="64"/>
        <v>8.0726688341261168E-13</v>
      </c>
      <c r="CC119" s="59">
        <f t="shared" si="65"/>
        <v>293.33333333333411</v>
      </c>
      <c r="CD119" s="59">
        <f ca="1">AVERAGE(OFFSET($CC$3,0,0,'Données projet'!$E$12+1,1))-AVERAGE(OFFSET($H$3,0,0,'Données projet'!$E$12+1,1))</f>
        <v>211.91720528436969</v>
      </c>
      <c r="CE119" s="59">
        <f t="shared" si="94"/>
        <v>218.88548486038957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37.983945179751082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37.983945179751082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7.9920000000000018</v>
      </c>
      <c r="CT119" s="12">
        <f>IF('Données projet'!$A$140&gt;35,CT118+CS119-DB118,IF(A119&lt;'Données projet'!$A$140,$CQ$205^A119,IF(A119='Données projet'!$A$140,'Données projet'!$B$140,CT118+CS119-DB118)))</f>
        <v>344.48400000000055</v>
      </c>
      <c r="CU119" s="17">
        <f>CT119*VLOOKUP('Données projet'!$B$13,Paramètres!$A$1:$I$89,3,0)*VLOOKUP('Données projet'!$B$13,Paramètres!$A$1:$I$89,5,0)</f>
        <v>311.68912320000049</v>
      </c>
      <c r="CV119" s="13">
        <f t="shared" si="95"/>
        <v>73.621474685301479</v>
      </c>
      <c r="CW119" s="20">
        <f t="shared" si="67"/>
        <v>671.08262465023415</v>
      </c>
      <c r="CX119" s="59">
        <f t="shared" si="68"/>
        <v>964.41595798356752</v>
      </c>
      <c r="CY119" s="59">
        <f ca="1">AVERAGE(OFFSET($CX$3,0,0,'Données projet'!$E$13+1,1))-AVERAGE(OFFSET($H$3,0,0,'Données projet'!$E$13+1,1))</f>
        <v>469.97161976912071</v>
      </c>
      <c r="CZ119" s="59">
        <f t="shared" si="96"/>
        <v>231.65013084759306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59.372600300565736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59.372600300565736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7.9920000000000018</v>
      </c>
      <c r="DO119" s="12">
        <f>IF('Données projet'!$A$166&gt;35,DO118+DN119-DW118,IF(A119&lt;'Données projet'!$A$166,$DL$205^A119,IF(A119='Données projet'!$A$166,'Données projet'!$B$166,DO118+DN119-DW118)))</f>
        <v>344.48400000000055</v>
      </c>
      <c r="DP119" s="17">
        <f>DO119*VLOOKUP('Données projet'!$B$14,Paramètres!$A$1:$I$89,3,0)*VLOOKUP('Données projet'!$B$14,Paramètres!$A$1:$I$89,5,0)</f>
        <v>333.18492480000054</v>
      </c>
      <c r="DQ119" s="13">
        <f t="shared" si="97"/>
        <v>78.090253763593893</v>
      </c>
      <c r="DR119" s="20">
        <f t="shared" si="70"/>
        <v>716.30426933159345</v>
      </c>
      <c r="DS119" s="59">
        <f t="shared" si="71"/>
        <v>1009.6376026649268</v>
      </c>
      <c r="DT119" s="59">
        <f ca="1">AVERAGE(OFFSET($DS$3,0,0,'Données projet'!$E$14+1,1))-AVERAGE(OFFSET($H$3,0,0,'Données projet'!$E$14+1,1))</f>
        <v>506.9153247310901</v>
      </c>
      <c r="DU119" s="59">
        <f t="shared" si="98"/>
        <v>247.31254626788319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63.467262390259933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63.467262390259933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193.8828274189392</v>
      </c>
      <c r="T120" s="59">
        <f t="shared" si="88"/>
        <v>179.13381331066427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96.323191314156261</v>
      </c>
      <c r="AA120" s="21">
        <f>EXP(-LN(2)/25)*AA119+(1-EXP(-LN(2)/25))/(LN(2)/25)*Calculateur!V120*Calculateur!X120*VLOOKUP('Données projet'!$B$9,Paramètres!$A$1:$I$89,3,0)*0.475*44/12</f>
        <v>36.766012181091575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133.08920349524783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-6.8212102632969618E-13</v>
      </c>
      <c r="AJ120" s="13">
        <f>AI120*VLOOKUP('Données projet'!$B$10,Paramètres!$A$1:$I$89,3,0)*VLOOKUP('Données projet'!$B$10,Paramètres!$A$1:$I$89,5,0)</f>
        <v>-4.0790837374515837E-13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228.36873053496748</v>
      </c>
      <c r="AO120" s="59">
        <f t="shared" si="90"/>
        <v>177.73676400313303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64.574137739341651</v>
      </c>
      <c r="AV120" s="21">
        <f>EXP(-LN(2)/25)*AV119+(1-EXP(-LN(2)/25))/(LN(2)/25)*Calculateur!AQ120*Calculateur!AS120*VLOOKUP('Données projet'!$B$10,Paramètres!$A$1:$I$89,3,0)*0.475*44/12</f>
        <v>23.7259112686496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88.300049007991248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357.41066400000057</v>
      </c>
      <c r="BF120" s="13">
        <f t="shared" si="91"/>
        <v>83.086578183672941</v>
      </c>
      <c r="BG120" s="20">
        <f t="shared" si="61"/>
        <v>767.199363469898</v>
      </c>
      <c r="BH120" s="59">
        <f t="shared" si="62"/>
        <v>1060.5326968032314</v>
      </c>
      <c r="BI120" s="59">
        <f ca="1">AVERAGE(OFFSET($BH$3,0,0,'Données projet'!$E$11+1,1))-AVERAGE(OFFSET($H$3,0,0,'Données projet'!$E$11+1,1))</f>
        <v>534.59150243554586</v>
      </c>
      <c r="BJ120" s="59">
        <f t="shared" si="92"/>
        <v>259.04458689606491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65.233484283703987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65.233484283703987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2.8421709430404007E-14</v>
      </c>
      <c r="BZ120" s="13">
        <f>BY120*VLOOKUP('Données projet'!$B$12,Paramètres!$A$1:$I$89,3,0)*VLOOKUP('Données projet'!$B$12,Paramètres!$A$1:$I$89,5,0)</f>
        <v>2.4829205358400945E-14</v>
      </c>
      <c r="CA120" s="13">
        <f t="shared" si="93"/>
        <v>4.3867331143352915E-13</v>
      </c>
      <c r="CB120" s="20">
        <f t="shared" si="64"/>
        <v>8.0726688341261168E-13</v>
      </c>
      <c r="CC120" s="59">
        <f t="shared" si="65"/>
        <v>293.33333333333411</v>
      </c>
      <c r="CD120" s="59">
        <f ca="1">AVERAGE(OFFSET($CC$3,0,0,'Données projet'!$E$12+1,1))-AVERAGE(OFFSET($H$3,0,0,'Données projet'!$E$12+1,1))</f>
        <v>211.91720528436969</v>
      </c>
      <c r="CE120" s="59">
        <f t="shared" si="94"/>
        <v>218.88548486038957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37.239103182695082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37.239103182695082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7.9920000000000018</v>
      </c>
      <c r="CT120" s="12">
        <f>IF('Données projet'!$A$140&gt;35,CT119+CS120-DB119,IF(A120&lt;'Données projet'!$A$140,$CQ$205^A120,IF(A120='Données projet'!$A$140,'Données projet'!$B$140,CT119+CS120-DB119)))</f>
        <v>352.47600000000057</v>
      </c>
      <c r="CU120" s="17">
        <f>CT120*VLOOKUP('Données projet'!$B$13,Paramètres!$A$1:$I$89,3,0)*VLOOKUP('Données projet'!$B$13,Paramètres!$A$1:$I$89,5,0)</f>
        <v>318.9202848000005</v>
      </c>
      <c r="CV120" s="13">
        <f t="shared" si="95"/>
        <v>75.128653745521831</v>
      </c>
      <c r="CW120" s="20">
        <f t="shared" si="67"/>
        <v>686.30190130011806</v>
      </c>
      <c r="CX120" s="59">
        <f t="shared" si="68"/>
        <v>979.63523463345132</v>
      </c>
      <c r="CY120" s="59">
        <f ca="1">AVERAGE(OFFSET($CX$3,0,0,'Données projet'!$E$13+1,1))-AVERAGE(OFFSET($H$3,0,0,'Données projet'!$E$13+1,1))</f>
        <v>469.97161976912071</v>
      </c>
      <c r="CZ120" s="59">
        <f t="shared" si="96"/>
        <v>231.65013084759306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58.208339822382015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58.208339822382015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7.9920000000000018</v>
      </c>
      <c r="DO120" s="12">
        <f>IF('Données projet'!$A$166&gt;35,DO119+DN120-DW119,IF(A120&lt;'Données projet'!$A$166,$DL$205^A120,IF(A120='Données projet'!$A$166,'Données projet'!$B$166,DO119+DN120-DW119)))</f>
        <v>352.47600000000057</v>
      </c>
      <c r="DP120" s="17">
        <f>DO120*VLOOKUP('Données projet'!$B$14,Paramètres!$A$1:$I$89,3,0)*VLOOKUP('Données projet'!$B$14,Paramètres!$A$1:$I$89,5,0)</f>
        <v>340.91478720000055</v>
      </c>
      <c r="DQ120" s="13">
        <f t="shared" si="97"/>
        <v>79.68891768309399</v>
      </c>
      <c r="DR120" s="20">
        <f t="shared" si="70"/>
        <v>732.55145267138971</v>
      </c>
      <c r="DS120" s="59">
        <f t="shared" si="71"/>
        <v>1025.8847860047231</v>
      </c>
      <c r="DT120" s="59">
        <f ca="1">AVERAGE(OFFSET($DS$3,0,0,'Données projet'!$E$14+1,1))-AVERAGE(OFFSET($H$3,0,0,'Données projet'!$E$14+1,1))</f>
        <v>506.9153247310901</v>
      </c>
      <c r="DU120" s="59">
        <f t="shared" si="98"/>
        <v>247.31254626788319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62.222708085994576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62.222708085994576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193.8828274189392</v>
      </c>
      <c r="T121" s="59">
        <f t="shared" si="88"/>
        <v>179.13381331066427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94.434352283831146</v>
      </c>
      <c r="AA121" s="21">
        <f>EXP(-LN(2)/25)*AA120+(1-EXP(-LN(2)/25))/(LN(2)/25)*Calculateur!V121*Calculateur!X121*VLOOKUP('Données projet'!$B$9,Paramètres!$A$1:$I$89,3,0)*0.475*44/12</f>
        <v>35.760643644559075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130.19499592839023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-6.8212102632969618E-13</v>
      </c>
      <c r="AJ121" s="13">
        <f>AI121*VLOOKUP('Données projet'!$B$10,Paramètres!$A$1:$I$89,3,0)*VLOOKUP('Données projet'!$B$10,Paramètres!$A$1:$I$89,5,0)</f>
        <v>-4.0790837374515837E-13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228.36873053496748</v>
      </c>
      <c r="AO121" s="59">
        <f t="shared" si="90"/>
        <v>177.73676400313303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63.307878284608108</v>
      </c>
      <c r="AV121" s="21">
        <f>EXP(-LN(2)/25)*AV120+(1-EXP(-LN(2)/25))/(LN(2)/25)*Calculateur!AQ121*Calculateur!AS121*VLOOKUP('Données projet'!$B$10,Paramètres!$A$1:$I$89,3,0)*0.475*44/12</f>
        <v>23.077124977316931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86.385003261925036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365.51455200000061</v>
      </c>
      <c r="BF121" s="13">
        <f t="shared" si="91"/>
        <v>84.749009866498071</v>
      </c>
      <c r="BG121" s="20">
        <f t="shared" si="61"/>
        <v>784.20903691748515</v>
      </c>
      <c r="BH121" s="59">
        <f t="shared" si="62"/>
        <v>1077.5423702508185</v>
      </c>
      <c r="BI121" s="59">
        <f ca="1">AVERAGE(OFFSET($BH$3,0,0,'Données projet'!$E$11+1,1))-AVERAGE(OFFSET($H$3,0,0,'Données projet'!$E$11+1,1))</f>
        <v>534.59150243554586</v>
      </c>
      <c r="BJ121" s="59">
        <f t="shared" si="92"/>
        <v>259.04458689606491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63.954295445397179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63.954295445397179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2.8421709430404007E-14</v>
      </c>
      <c r="BZ121" s="13">
        <f>BY121*VLOOKUP('Données projet'!$B$12,Paramètres!$A$1:$I$89,3,0)*VLOOKUP('Données projet'!$B$12,Paramètres!$A$1:$I$89,5,0)</f>
        <v>2.4829205358400945E-14</v>
      </c>
      <c r="CA121" s="13">
        <f t="shared" si="93"/>
        <v>4.3867331143352915E-13</v>
      </c>
      <c r="CB121" s="20">
        <f t="shared" si="64"/>
        <v>8.0726688341261168E-13</v>
      </c>
      <c r="CC121" s="59">
        <f t="shared" si="65"/>
        <v>293.33333333333411</v>
      </c>
      <c r="CD121" s="59">
        <f ca="1">AVERAGE(OFFSET($CC$3,0,0,'Données projet'!$E$12+1,1))-AVERAGE(OFFSET($H$3,0,0,'Données projet'!$E$12+1,1))</f>
        <v>211.91720528436969</v>
      </c>
      <c r="CE121" s="59">
        <f t="shared" si="94"/>
        <v>218.88548486038957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36.508867082892593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36.508867082892593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7.9920000000000018</v>
      </c>
      <c r="CT121" s="12">
        <f>IF('Données projet'!$A$140&gt;35,CT120+CS121-DB120,IF(A121&lt;'Données projet'!$A$140,$CQ$205^A121,IF(A121='Données projet'!$A$140,'Données projet'!$B$140,CT120+CS121-DB120)))</f>
        <v>360.46800000000059</v>
      </c>
      <c r="CU121" s="17">
        <f>CT121*VLOOKUP('Données projet'!$B$13,Paramètres!$A$1:$I$89,3,0)*VLOOKUP('Données projet'!$B$13,Paramètres!$A$1:$I$89,5,0)</f>
        <v>326.15144640000051</v>
      </c>
      <c r="CV121" s="13">
        <f t="shared" si="95"/>
        <v>76.631859883081802</v>
      </c>
      <c r="CW121" s="20">
        <f t="shared" si="67"/>
        <v>701.51425844303503</v>
      </c>
      <c r="CX121" s="59">
        <f t="shared" si="68"/>
        <v>994.84759177636829</v>
      </c>
      <c r="CY121" s="59">
        <f ca="1">AVERAGE(OFFSET($CX$3,0,0,'Données projet'!$E$13+1,1))-AVERAGE(OFFSET($H$3,0,0,'Données projet'!$E$13+1,1))</f>
        <v>469.97161976912071</v>
      </c>
      <c r="CZ121" s="59">
        <f t="shared" si="96"/>
        <v>231.65013084759306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57.066909782046707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57.066909782046707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7.9920000000000018</v>
      </c>
      <c r="DO121" s="12">
        <f>IF('Données projet'!$A$166&gt;35,DO120+DN121-DW120,IF(A121&lt;'Données projet'!$A$166,$DL$205^A121,IF(A121='Données projet'!$A$166,'Données projet'!$B$166,DO120+DN121-DW120)))</f>
        <v>360.46800000000059</v>
      </c>
      <c r="DP121" s="17">
        <f>DO121*VLOOKUP('Données projet'!$B$14,Paramètres!$A$1:$I$89,3,0)*VLOOKUP('Données projet'!$B$14,Paramètres!$A$1:$I$89,5,0)</f>
        <v>348.64464960000061</v>
      </c>
      <c r="DQ121" s="13">
        <f t="shared" si="97"/>
        <v>81.283367525926224</v>
      </c>
      <c r="DR121" s="20">
        <f t="shared" si="70"/>
        <v>748.79129649432252</v>
      </c>
      <c r="DS121" s="59">
        <f t="shared" si="71"/>
        <v>1042.1246298276558</v>
      </c>
      <c r="DT121" s="59">
        <f ca="1">AVERAGE(OFFSET($DS$3,0,0,'Données projet'!$E$14+1,1))-AVERAGE(OFFSET($H$3,0,0,'Données projet'!$E$14+1,1))</f>
        <v>506.9153247310901</v>
      </c>
      <c r="DU121" s="59">
        <f t="shared" si="98"/>
        <v>247.31254626788319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61.002558732532698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61.002558732532698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193.8828274189392</v>
      </c>
      <c r="T122" s="59">
        <f t="shared" si="88"/>
        <v>179.13381331066427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92.582552234812653</v>
      </c>
      <c r="AA122" s="21">
        <f>EXP(-LN(2)/25)*AA121+(1-EXP(-LN(2)/25))/(LN(2)/25)*Calculateur!V122*Calculateur!X122*VLOOKUP('Données projet'!$B$9,Paramètres!$A$1:$I$89,3,0)*0.475*44/12</f>
        <v>34.78276696352809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127.36531919834074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-6.8212102632969618E-13</v>
      </c>
      <c r="AJ122" s="13">
        <f>AI122*VLOOKUP('Données projet'!$B$10,Paramètres!$A$1:$I$89,3,0)*VLOOKUP('Données projet'!$B$10,Paramètres!$A$1:$I$89,5,0)</f>
        <v>-4.0790837374515837E-13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228.36873053496748</v>
      </c>
      <c r="AO122" s="59">
        <f t="shared" si="90"/>
        <v>177.73676400313303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62.066449405439883</v>
      </c>
      <c r="AV122" s="21">
        <f>EXP(-LN(2)/25)*AV121+(1-EXP(-LN(2)/25))/(LN(2)/25)*Calculateur!AQ122*Calculateur!AS122*VLOOKUP('Données projet'!$B$10,Paramètres!$A$1:$I$89,3,0)*0.475*44/12</f>
        <v>22.446079781238939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84.512529186678819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373.61844000000065</v>
      </c>
      <c r="BF122" s="13">
        <f t="shared" si="91"/>
        <v>86.407156430415824</v>
      </c>
      <c r="BG122" s="20">
        <f t="shared" si="61"/>
        <v>801.21124711630875</v>
      </c>
      <c r="BH122" s="59">
        <f t="shared" si="62"/>
        <v>1094.5445804496421</v>
      </c>
      <c r="BI122" s="59">
        <f ca="1">AVERAGE(OFFSET($BH$3,0,0,'Données projet'!$E$11+1,1))-AVERAGE(OFFSET($H$3,0,0,'Données projet'!$E$11+1,1))</f>
        <v>534.59150243554586</v>
      </c>
      <c r="BJ122" s="59">
        <f t="shared" si="92"/>
        <v>259.04458689606491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62.700190719981414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62.700190719981414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2.8421709430404007E-14</v>
      </c>
      <c r="BZ122" s="13">
        <f>BY122*VLOOKUP('Données projet'!$B$12,Paramètres!$A$1:$I$89,3,0)*VLOOKUP('Données projet'!$B$12,Paramètres!$A$1:$I$89,5,0)</f>
        <v>2.4829205358400945E-14</v>
      </c>
      <c r="CA122" s="13">
        <f t="shared" si="93"/>
        <v>4.3867331143352915E-13</v>
      </c>
      <c r="CB122" s="20">
        <f t="shared" si="64"/>
        <v>8.0726688341261168E-13</v>
      </c>
      <c r="CC122" s="59">
        <f t="shared" si="65"/>
        <v>293.33333333333411</v>
      </c>
      <c r="CD122" s="59">
        <f ca="1">AVERAGE(OFFSET($CC$3,0,0,'Données projet'!$E$12+1,1))-AVERAGE(OFFSET($H$3,0,0,'Données projet'!$E$12+1,1))</f>
        <v>211.91720528436969</v>
      </c>
      <c r="CE122" s="59">
        <f t="shared" si="94"/>
        <v>218.88548486038957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35.792950467607184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35.792950467607184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7.9920000000000018</v>
      </c>
      <c r="CT122" s="12">
        <f>IF('Données projet'!$A$140&gt;35,CT121+CS122-DB121,IF(A122&lt;'Données projet'!$A$140,$CQ$205^A122,IF(A122='Données projet'!$A$140,'Données projet'!$B$140,CT121+CS122-DB121)))</f>
        <v>368.4600000000006</v>
      </c>
      <c r="CU122" s="17">
        <f>CT122*VLOOKUP('Données projet'!$B$13,Paramètres!$A$1:$I$89,3,0)*VLOOKUP('Données projet'!$B$13,Paramètres!$A$1:$I$89,5,0)</f>
        <v>333.38260800000052</v>
      </c>
      <c r="CV122" s="13">
        <f t="shared" si="95"/>
        <v>78.13119132485231</v>
      </c>
      <c r="CW122" s="20">
        <f t="shared" si="67"/>
        <v>716.71986715745197</v>
      </c>
      <c r="CX122" s="59">
        <f t="shared" si="68"/>
        <v>1010.0532004907852</v>
      </c>
      <c r="CY122" s="59">
        <f ca="1">AVERAGE(OFFSET($CX$3,0,0,'Données projet'!$E$13+1,1))-AVERAGE(OFFSET($H$3,0,0,'Données projet'!$E$13+1,1))</f>
        <v>469.97161976912071</v>
      </c>
      <c r="CZ122" s="59">
        <f t="shared" si="96"/>
        <v>231.65013084759306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55.947862488598794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55.947862488598794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7.9920000000000018</v>
      </c>
      <c r="DO122" s="12">
        <f>IF('Données projet'!$A$166&gt;35,DO121+DN122-DW121,IF(A122&lt;'Données projet'!$A$166,$DL$205^A122,IF(A122='Données projet'!$A$166,'Données projet'!$B$166,DO121+DN122-DW121)))</f>
        <v>368.4600000000006</v>
      </c>
      <c r="DP122" s="17">
        <f>DO122*VLOOKUP('Données projet'!$B$14,Paramètres!$A$1:$I$89,3,0)*VLOOKUP('Données projet'!$B$14,Paramètres!$A$1:$I$89,5,0)</f>
        <v>356.37451200000061</v>
      </c>
      <c r="DQ122" s="13">
        <f t="shared" si="97"/>
        <v>82.873707481273101</v>
      </c>
      <c r="DR122" s="20">
        <f t="shared" si="70"/>
        <v>765.02398226321839</v>
      </c>
      <c r="DS122" s="59">
        <f t="shared" si="71"/>
        <v>1058.3573155965516</v>
      </c>
      <c r="DT122" s="59">
        <f ca="1">AVERAGE(OFFSET($DS$3,0,0,'Données projet'!$E$14+1,1))-AVERAGE(OFFSET($H$3,0,0,'Données projet'!$E$14+1,1))</f>
        <v>506.9153247310901</v>
      </c>
      <c r="DU122" s="59">
        <f t="shared" si="98"/>
        <v>247.31254626788319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59.806335763674582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59.806335763674582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193.8828274189392</v>
      </c>
      <c r="T123" s="59">
        <f t="shared" si="88"/>
        <v>179.13381331066427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90.767064855268913</v>
      </c>
      <c r="AA123" s="21">
        <f>EXP(-LN(2)/25)*AA122+(1-EXP(-LN(2)/25))/(LN(2)/25)*Calculateur!V123*Calculateur!X123*VLOOKUP('Données projet'!$B$9,Paramètres!$A$1:$I$89,3,0)*0.475*44/12</f>
        <v>33.831630371764199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124.59869522703312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-6.8212102632969618E-13</v>
      </c>
      <c r="AJ123" s="13">
        <f>AI123*VLOOKUP('Données projet'!$B$10,Paramètres!$A$1:$I$89,3,0)*VLOOKUP('Données projet'!$B$10,Paramètres!$A$1:$I$89,5,0)</f>
        <v>-4.0790837374515837E-13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228.36873053496748</v>
      </c>
      <c r="AO123" s="59">
        <f t="shared" si="90"/>
        <v>177.73676400313303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60.849364189395295</v>
      </c>
      <c r="AV123" s="21">
        <f>EXP(-LN(2)/25)*AV122+(1-EXP(-LN(2)/25))/(LN(2)/25)*Calculateur!AQ123*Calculateur!AS123*VLOOKUP('Données projet'!$B$10,Paramètres!$A$1:$I$89,3,0)*0.475*44/12</f>
        <v>21.832290549232926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82.681654738628225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381.72232800000063</v>
      </c>
      <c r="BF123" s="13">
        <f t="shared" si="91"/>
        <v>88.061121525232409</v>
      </c>
      <c r="BG123" s="20">
        <f t="shared" si="61"/>
        <v>818.20617458978086</v>
      </c>
      <c r="BH123" s="59">
        <f t="shared" si="62"/>
        <v>1111.5395079231141</v>
      </c>
      <c r="BI123" s="59">
        <f ca="1">AVERAGE(OFFSET($BH$3,0,0,'Données projet'!$E$11+1,1))-AVERAGE(OFFSET($H$3,0,0,'Données projet'!$E$11+1,1))</f>
        <v>534.59150243554586</v>
      </c>
      <c r="BJ123" s="59">
        <f t="shared" si="92"/>
        <v>259.04458689606491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61.470678223302698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61.470678223302698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2.8421709430404007E-14</v>
      </c>
      <c r="BZ123" s="13">
        <f>BY123*VLOOKUP('Données projet'!$B$12,Paramètres!$A$1:$I$89,3,0)*VLOOKUP('Données projet'!$B$12,Paramètres!$A$1:$I$89,5,0)</f>
        <v>2.4829205358400945E-14</v>
      </c>
      <c r="CA123" s="13">
        <f t="shared" si="93"/>
        <v>4.3867331143352915E-13</v>
      </c>
      <c r="CB123" s="20">
        <f t="shared" si="64"/>
        <v>8.0726688341261168E-13</v>
      </c>
      <c r="CC123" s="59">
        <f t="shared" si="65"/>
        <v>293.33333333333411</v>
      </c>
      <c r="CD123" s="59">
        <f ca="1">AVERAGE(OFFSET($CC$3,0,0,'Données projet'!$E$12+1,1))-AVERAGE(OFFSET($H$3,0,0,'Données projet'!$E$12+1,1))</f>
        <v>211.91720528436969</v>
      </c>
      <c r="CE123" s="59">
        <f t="shared" si="94"/>
        <v>218.88548486038957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35.091072540481505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35.091072540481505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7.9920000000000018</v>
      </c>
      <c r="CT123" s="12">
        <f>IF('Données projet'!$A$140&gt;35,CT122+CS123-DB122,IF(A123&lt;'Données projet'!$A$140,$CQ$205^A123,IF(A123='Données projet'!$A$140,'Données projet'!$B$140,CT122+CS123-DB122)))</f>
        <v>376.45200000000062</v>
      </c>
      <c r="CU123" s="17">
        <f>CT123*VLOOKUP('Données projet'!$B$13,Paramètres!$A$1:$I$89,3,0)*VLOOKUP('Données projet'!$B$13,Paramètres!$A$1:$I$89,5,0)</f>
        <v>340.61376960000058</v>
      </c>
      <c r="CV123" s="13">
        <f t="shared" si="95"/>
        <v>79.626741793195919</v>
      </c>
      <c r="CW123" s="20">
        <f t="shared" si="67"/>
        <v>731.9188906764839</v>
      </c>
      <c r="CX123" s="59">
        <f t="shared" si="68"/>
        <v>1025.2522240098172</v>
      </c>
      <c r="CY123" s="59">
        <f ca="1">AVERAGE(OFFSET($CX$3,0,0,'Données projet'!$E$13+1,1))-AVERAGE(OFFSET($H$3,0,0,'Données projet'!$E$13+1,1))</f>
        <v>469.97161976912071</v>
      </c>
      <c r="CZ123" s="59">
        <f t="shared" si="96"/>
        <v>231.65013084759306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54.850759030023944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54.850759030023944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7.9920000000000018</v>
      </c>
      <c r="DO123" s="12">
        <f>IF('Données projet'!$A$166&gt;35,DO122+DN123-DW122,IF(A123&lt;'Données projet'!$A$166,$DL$205^A123,IF(A123='Données projet'!$A$166,'Données projet'!$B$166,DO122+DN123-DW122)))</f>
        <v>376.45200000000062</v>
      </c>
      <c r="DP123" s="17">
        <f>DO123*VLOOKUP('Données projet'!$B$14,Paramètres!$A$1:$I$89,3,0)*VLOOKUP('Données projet'!$B$14,Paramètres!$A$1:$I$89,5,0)</f>
        <v>364.10437440000061</v>
      </c>
      <c r="DQ123" s="13">
        <f t="shared" si="97"/>
        <v>84.460036960388123</v>
      </c>
      <c r="DR123" s="20">
        <f t="shared" si="70"/>
        <v>781.24968311934356</v>
      </c>
      <c r="DS123" s="59">
        <f t="shared" si="71"/>
        <v>1074.5830164526769</v>
      </c>
      <c r="DT123" s="59">
        <f ca="1">AVERAGE(OFFSET($DS$3,0,0,'Données projet'!$E$14+1,1))-AVERAGE(OFFSET($H$3,0,0,'Données projet'!$E$14+1,1))</f>
        <v>506.9153247310901</v>
      </c>
      <c r="DU123" s="59">
        <f t="shared" si="98"/>
        <v>247.31254626788319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58.633569997611808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58.633569997611808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193.8828274189392</v>
      </c>
      <c r="T124" s="59">
        <f t="shared" si="88"/>
        <v>179.13381331066427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88.987178075900061</v>
      </c>
      <c r="AA124" s="21">
        <f>EXP(-LN(2)/25)*AA123+(1-EXP(-LN(2)/25))/(LN(2)/25)*Calculateur!V124*Calculateur!X124*VLOOKUP('Données projet'!$B$9,Paramètres!$A$1:$I$89,3,0)*0.475*44/12</f>
        <v>32.906502660120189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121.89368073602026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-6.8212102632969618E-13</v>
      </c>
      <c r="AJ124" s="13">
        <f>AI124*VLOOKUP('Données projet'!$B$10,Paramètres!$A$1:$I$89,3,0)*VLOOKUP('Données projet'!$B$10,Paramètres!$A$1:$I$89,5,0)</f>
        <v>-4.0790837374515837E-13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228.36873053496748</v>
      </c>
      <c r="AO124" s="59">
        <f t="shared" si="90"/>
        <v>177.73676400313303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59.656145272088665</v>
      </c>
      <c r="AV124" s="21">
        <f>EXP(-LN(2)/25)*AV123+(1-EXP(-LN(2)/25))/(LN(2)/25)*Calculateur!AQ124*Calculateur!AS124*VLOOKUP('Données projet'!$B$10,Paramètres!$A$1:$I$89,3,0)*0.475*44/12</f>
        <v>21.235285416053891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80.891430688142549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389.82621600000067</v>
      </c>
      <c r="BF124" s="13">
        <f t="shared" si="91"/>
        <v>89.711004148391098</v>
      </c>
      <c r="BG124" s="20">
        <f t="shared" si="61"/>
        <v>835.19399175844899</v>
      </c>
      <c r="BH124" s="59">
        <f t="shared" si="62"/>
        <v>1128.5273250917824</v>
      </c>
      <c r="BI124" s="59">
        <f ca="1">AVERAGE(OFFSET($BH$3,0,0,'Données projet'!$E$11+1,1))-AVERAGE(OFFSET($H$3,0,0,'Données projet'!$E$11+1,1))</f>
        <v>534.59150243554586</v>
      </c>
      <c r="BJ124" s="59">
        <f t="shared" si="92"/>
        <v>259.04458689606491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60.265275716755283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60.265275716755283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2.8421709430404007E-14</v>
      </c>
      <c r="BZ124" s="13">
        <f>BY124*VLOOKUP('Données projet'!$B$12,Paramètres!$A$1:$I$89,3,0)*VLOOKUP('Données projet'!$B$12,Paramètres!$A$1:$I$89,5,0)</f>
        <v>2.4829205358400945E-14</v>
      </c>
      <c r="CA124" s="13">
        <f t="shared" si="93"/>
        <v>4.3867331143352915E-13</v>
      </c>
      <c r="CB124" s="20">
        <f t="shared" si="64"/>
        <v>8.0726688341261168E-13</v>
      </c>
      <c r="CC124" s="59">
        <f t="shared" si="65"/>
        <v>293.33333333333411</v>
      </c>
      <c r="CD124" s="59">
        <f ca="1">AVERAGE(OFFSET($CC$3,0,0,'Données projet'!$E$12+1,1))-AVERAGE(OFFSET($H$3,0,0,'Données projet'!$E$12+1,1))</f>
        <v>211.91720528436969</v>
      </c>
      <c r="CE124" s="59">
        <f t="shared" si="94"/>
        <v>218.88548486038957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34.402958011403499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34.402958011403499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7.9920000000000018</v>
      </c>
      <c r="CT124" s="12">
        <f>IF('Données projet'!$A$140&gt;35,CT123+CS124-DB123,IF(A124&lt;'Données projet'!$A$140,$CQ$205^A124,IF(A124='Données projet'!$A$140,'Données projet'!$B$140,CT123+CS124-DB123)))</f>
        <v>384.44400000000064</v>
      </c>
      <c r="CU124" s="17">
        <f>CT124*VLOOKUP('Données projet'!$B$13,Paramètres!$A$1:$I$89,3,0)*VLOOKUP('Données projet'!$B$13,Paramètres!$A$1:$I$89,5,0)</f>
        <v>347.84493120000059</v>
      </c>
      <c r="CV124" s="13">
        <f t="shared" si="95"/>
        <v>81.11860080370937</v>
      </c>
      <c r="CW124" s="20">
        <f t="shared" si="67"/>
        <v>747.11148490646144</v>
      </c>
      <c r="CX124" s="59">
        <f t="shared" si="68"/>
        <v>1040.4448182397948</v>
      </c>
      <c r="CY124" s="59">
        <f ca="1">AVERAGE(OFFSET($CX$3,0,0,'Données projet'!$E$13+1,1))-AVERAGE(OFFSET($H$3,0,0,'Données projet'!$E$13+1,1))</f>
        <v>469.97161976912071</v>
      </c>
      <c r="CZ124" s="59">
        <f t="shared" si="96"/>
        <v>231.65013084759306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53.775169101104709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53.775169101104709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7.9920000000000018</v>
      </c>
      <c r="DO124" s="12">
        <f>IF('Données projet'!$A$166&gt;35,DO123+DN124-DW123,IF(A124&lt;'Données projet'!$A$166,$DL$205^A124,IF(A124='Données projet'!$A$166,'Données projet'!$B$166,DO123+DN124-DW123)))</f>
        <v>384.44400000000064</v>
      </c>
      <c r="DP124" s="17">
        <f>DO124*VLOOKUP('Données projet'!$B$14,Paramètres!$A$1:$I$89,3,0)*VLOOKUP('Données projet'!$B$14,Paramètres!$A$1:$I$89,5,0)</f>
        <v>371.83423680000061</v>
      </c>
      <c r="DQ124" s="13">
        <f t="shared" si="97"/>
        <v>86.042450912410658</v>
      </c>
      <c r="DR124" s="20">
        <f t="shared" si="70"/>
        <v>797.46856443244951</v>
      </c>
      <c r="DS124" s="59">
        <f t="shared" si="71"/>
        <v>1090.8018977657828</v>
      </c>
      <c r="DT124" s="59">
        <f ca="1">AVERAGE(OFFSET($DS$3,0,0,'Données projet'!$E$14+1,1))-AVERAGE(OFFSET($H$3,0,0,'Données projet'!$E$14+1,1))</f>
        <v>506.9153247310901</v>
      </c>
      <c r="DU124" s="59">
        <f t="shared" si="98"/>
        <v>247.31254626788319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57.483801452905041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57.483801452905041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193.8828274189392</v>
      </c>
      <c r="T125" s="59">
        <f t="shared" si="88"/>
        <v>179.13381331066427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87.242193790650902</v>
      </c>
      <c r="AA125" s="21">
        <f>EXP(-LN(2)/25)*AA124+(1-EXP(-LN(2)/25))/(LN(2)/25)*Calculateur!V125*Calculateur!X125*VLOOKUP('Données projet'!$B$9,Paramètres!$A$1:$I$89,3,0)*0.475*44/12</f>
        <v>32.006672614401438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119.24886640505234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-6.8212102632969618E-13</v>
      </c>
      <c r="AJ125" s="13">
        <f>AI125*VLOOKUP('Données projet'!$B$10,Paramètres!$A$1:$I$89,3,0)*VLOOKUP('Données projet'!$B$10,Paramètres!$A$1:$I$89,5,0)</f>
        <v>-4.0790837374515837E-13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228.36873053496748</v>
      </c>
      <c r="AO125" s="59">
        <f t="shared" si="90"/>
        <v>177.73676400313303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58.486324649958739</v>
      </c>
      <c r="AV125" s="21">
        <f>EXP(-LN(2)/25)*AV124+(1-EXP(-LN(2)/25))/(LN(2)/25)*Calculateur!AQ125*Calculateur!AS125*VLOOKUP('Données projet'!$B$10,Paramètres!$A$1:$I$89,3,0)*0.475*44/12</f>
        <v>20.65460541963677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79.140930069595512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397.93010400000071</v>
      </c>
      <c r="BF125" s="13">
        <f t="shared" si="91"/>
        <v>91.356898946098624</v>
      </c>
      <c r="BG125" s="20">
        <f t="shared" si="61"/>
        <v>852.17486346445639</v>
      </c>
      <c r="BH125" s="59">
        <f t="shared" si="62"/>
        <v>1145.5081967977897</v>
      </c>
      <c r="BI125" s="59">
        <f ca="1">AVERAGE(OFFSET($BH$3,0,0,'Données projet'!$E$11+1,1))-AVERAGE(OFFSET($H$3,0,0,'Données projet'!$E$11+1,1))</f>
        <v>534.59150243554586</v>
      </c>
      <c r="BJ125" s="59">
        <f t="shared" si="92"/>
        <v>259.04458689606491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59.083510418138331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59.083510418138331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2.8421709430404007E-14</v>
      </c>
      <c r="BZ125" s="13">
        <f>BY125*VLOOKUP('Données projet'!$B$12,Paramètres!$A$1:$I$89,3,0)*VLOOKUP('Données projet'!$B$12,Paramètres!$A$1:$I$89,5,0)</f>
        <v>2.4829205358400945E-14</v>
      </c>
      <c r="CA125" s="13">
        <f t="shared" si="93"/>
        <v>4.3867331143352915E-13</v>
      </c>
      <c r="CB125" s="20">
        <f t="shared" si="64"/>
        <v>8.0726688341261168E-13</v>
      </c>
      <c r="CC125" s="59">
        <f t="shared" si="65"/>
        <v>293.33333333333411</v>
      </c>
      <c r="CD125" s="59">
        <f ca="1">AVERAGE(OFFSET($CC$3,0,0,'Données projet'!$E$12+1,1))-AVERAGE(OFFSET($H$3,0,0,'Données projet'!$E$12+1,1))</f>
        <v>211.91720528436969</v>
      </c>
      <c r="CE125" s="59">
        <f t="shared" si="94"/>
        <v>218.88548486038957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33.728336988532291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33.728336988532291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7.9920000000000018</v>
      </c>
      <c r="CT125" s="12">
        <f>IF('Données projet'!$A$140&gt;35,CT124+CS125-DB124,IF(A125&lt;'Données projet'!$A$140,$CQ$205^A125,IF(A125='Données projet'!$A$140,'Données projet'!$B$140,CT124+CS125-DB124)))</f>
        <v>392.43600000000066</v>
      </c>
      <c r="CU125" s="17">
        <f>CT125*VLOOKUP('Données projet'!$B$13,Paramètres!$A$1:$I$89,3,0)*VLOOKUP('Données projet'!$B$13,Paramètres!$A$1:$I$89,5,0)</f>
        <v>355.07609280000059</v>
      </c>
      <c r="CV125" s="13">
        <f t="shared" si="95"/>
        <v>82.606853937508674</v>
      </c>
      <c r="CW125" s="20">
        <f t="shared" si="67"/>
        <v>762.29779890116197</v>
      </c>
      <c r="CX125" s="59">
        <f t="shared" si="68"/>
        <v>1055.6311322344952</v>
      </c>
      <c r="CY125" s="59">
        <f ca="1">AVERAGE(OFFSET($CX$3,0,0,'Données projet'!$E$13+1,1))-AVERAGE(OFFSET($H$3,0,0,'Données projet'!$E$13+1,1))</f>
        <v>469.97161976912071</v>
      </c>
      <c r="CZ125" s="59">
        <f t="shared" si="96"/>
        <v>231.65013084759306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52.720670834646505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52.720670834646505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7.9920000000000018</v>
      </c>
      <c r="DO125" s="12">
        <f>IF('Données projet'!$A$166&gt;35,DO124+DN125-DW124,IF(A125&lt;'Données projet'!$A$166,$DL$205^A125,IF(A125='Données projet'!$A$166,'Données projet'!$B$166,DO124+DN125-DW124)))</f>
        <v>392.43600000000066</v>
      </c>
      <c r="DP125" s="17">
        <f>DO125*VLOOKUP('Données projet'!$B$14,Paramètres!$A$1:$I$89,3,0)*VLOOKUP('Données projet'!$B$14,Paramètres!$A$1:$I$89,5,0)</f>
        <v>379.56409920000067</v>
      </c>
      <c r="DQ125" s="13">
        <f t="shared" si="97"/>
        <v>87.621040113179006</v>
      </c>
      <c r="DR125" s="20">
        <f t="shared" si="70"/>
        <v>813.68078430378785</v>
      </c>
      <c r="DS125" s="59">
        <f t="shared" si="71"/>
        <v>1107.0141176371212</v>
      </c>
      <c r="DT125" s="59">
        <f ca="1">AVERAGE(OFFSET($DS$3,0,0,'Données projet'!$E$14+1,1))-AVERAGE(OFFSET($H$3,0,0,'Données projet'!$E$14+1,1))</f>
        <v>506.9153247310901</v>
      </c>
      <c r="DU125" s="59">
        <f t="shared" si="98"/>
        <v>247.31254626788319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56.356579168070411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56.356579168070411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193.8828274189392</v>
      </c>
      <c r="T126" s="59">
        <f t="shared" si="88"/>
        <v>179.13381331066427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85.53142758290015</v>
      </c>
      <c r="AA126" s="21">
        <f>EXP(-LN(2)/25)*AA125+(1-EXP(-LN(2)/25))/(LN(2)/25)*Calculateur!V126*Calculateur!X126*VLOOKUP('Données projet'!$B$9,Paramètres!$A$1:$I$89,3,0)*0.475*44/12</f>
        <v>31.131448468602869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116.66287605150302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-6.8212102632969618E-13</v>
      </c>
      <c r="AJ126" s="13">
        <f>AI126*VLOOKUP('Données projet'!$B$10,Paramètres!$A$1:$I$89,3,0)*VLOOKUP('Données projet'!$B$10,Paramètres!$A$1:$I$89,5,0)</f>
        <v>-4.0790837374515837E-13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228.36873053496748</v>
      </c>
      <c r="AO126" s="59">
        <f t="shared" si="90"/>
        <v>177.73676400313303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57.339443496708654</v>
      </c>
      <c r="AV126" s="21">
        <f>EXP(-LN(2)/25)*AV125+(1-EXP(-LN(2)/25))/(LN(2)/25)*Calculateur!AQ126*Calculateur!AS126*VLOOKUP('Données projet'!$B$10,Paramètres!$A$1:$I$89,3,0)*0.475*44/12</f>
        <v>20.08980414825831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77.429247644966964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406.03399200000069</v>
      </c>
      <c r="BF126" s="13">
        <f t="shared" si="91"/>
        <v>92.998896489228883</v>
      </c>
      <c r="BG126" s="20">
        <f t="shared" si="61"/>
        <v>869.14894745207482</v>
      </c>
      <c r="BH126" s="59">
        <f t="shared" si="62"/>
        <v>1162.4822807854082</v>
      </c>
      <c r="BI126" s="59">
        <f ca="1">AVERAGE(OFFSET($BH$3,0,0,'Données projet'!$E$11+1,1))-AVERAGE(OFFSET($H$3,0,0,'Données projet'!$E$11+1,1))</f>
        <v>534.59150243554586</v>
      </c>
      <c r="BJ126" s="59">
        <f t="shared" si="92"/>
        <v>259.04458689606491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57.924918816221599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57.924918816221599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2.8421709430404007E-14</v>
      </c>
      <c r="BZ126" s="13">
        <f>BY126*VLOOKUP('Données projet'!$B$12,Paramètres!$A$1:$I$89,3,0)*VLOOKUP('Données projet'!$B$12,Paramètres!$A$1:$I$89,5,0)</f>
        <v>2.4829205358400945E-14</v>
      </c>
      <c r="CA126" s="13">
        <f t="shared" si="93"/>
        <v>4.3867331143352915E-13</v>
      </c>
      <c r="CB126" s="20">
        <f t="shared" si="64"/>
        <v>8.0726688341261168E-13</v>
      </c>
      <c r="CC126" s="59">
        <f t="shared" si="65"/>
        <v>293.33333333333411</v>
      </c>
      <c r="CD126" s="59">
        <f ca="1">AVERAGE(OFFSET($CC$3,0,0,'Données projet'!$E$12+1,1))-AVERAGE(OFFSET($H$3,0,0,'Données projet'!$E$12+1,1))</f>
        <v>211.91720528436969</v>
      </c>
      <c r="CE126" s="59">
        <f t="shared" si="94"/>
        <v>218.88548486038957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33.066944872441397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33.066944872441397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7.9920000000000018</v>
      </c>
      <c r="CT126" s="12">
        <f>IF('Données projet'!$A$140&gt;35,CT125+CS126-DB125,IF(A126&lt;'Données projet'!$A$140,$CQ$205^A126,IF(A126='Données projet'!$A$140,'Données projet'!$B$140,CT125+CS126-DB125)))</f>
        <v>400.42800000000068</v>
      </c>
      <c r="CU126" s="17">
        <f>CT126*VLOOKUP('Données projet'!$B$13,Paramètres!$A$1:$I$89,3,0)*VLOOKUP('Données projet'!$B$13,Paramètres!$A$1:$I$89,5,0)</f>
        <v>362.3072544000006</v>
      </c>
      <c r="CV126" s="13">
        <f t="shared" si="95"/>
        <v>84.09158309070763</v>
      </c>
      <c r="CW126" s="20">
        <f t="shared" si="67"/>
        <v>777.4779752963168</v>
      </c>
      <c r="CX126" s="59">
        <f t="shared" si="68"/>
        <v>1070.8113086296501</v>
      </c>
      <c r="CY126" s="59">
        <f ca="1">AVERAGE(OFFSET($CX$3,0,0,'Données projet'!$E$13+1,1))-AVERAGE(OFFSET($H$3,0,0,'Données projet'!$E$13+1,1))</f>
        <v>469.97161976912071</v>
      </c>
      <c r="CZ126" s="59">
        <f t="shared" si="96"/>
        <v>231.65013084759306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51.686850636013112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51.686850636013112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7.9920000000000018</v>
      </c>
      <c r="DO126" s="12">
        <f>IF('Données projet'!$A$166&gt;35,DO125+DN126-DW125,IF(A126&lt;'Données projet'!$A$166,$DL$205^A126,IF(A126='Données projet'!$A$166,'Données projet'!$B$166,DO125+DN126-DW125)))</f>
        <v>400.42800000000068</v>
      </c>
      <c r="DP126" s="17">
        <f>DO126*VLOOKUP('Données projet'!$B$14,Paramètres!$A$1:$I$89,3,0)*VLOOKUP('Données projet'!$B$14,Paramètres!$A$1:$I$89,5,0)</f>
        <v>387.29396160000067</v>
      </c>
      <c r="DQ126" s="13">
        <f t="shared" si="97"/>
        <v>89.195891429851343</v>
      </c>
      <c r="DR126" s="20">
        <f t="shared" si="70"/>
        <v>829.8864940269923</v>
      </c>
      <c r="DS126" s="59">
        <f t="shared" si="71"/>
        <v>1123.2198273603256</v>
      </c>
      <c r="DT126" s="59">
        <f ca="1">AVERAGE(OFFSET($DS$3,0,0,'Données projet'!$E$14+1,1))-AVERAGE(OFFSET($H$3,0,0,'Données projet'!$E$14+1,1))</f>
        <v>506.9153247310901</v>
      </c>
      <c r="DU126" s="59">
        <f t="shared" si="98"/>
        <v>247.31254626788319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55.25146102470368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55.25146102470368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193.8828274189392</v>
      </c>
      <c r="T127" s="59">
        <f t="shared" si="88"/>
        <v>179.13381331066427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83.854208457019041</v>
      </c>
      <c r="AA127" s="21">
        <f>EXP(-LN(2)/25)*AA126+(1-EXP(-LN(2)/25))/(LN(2)/25)*Calculateur!V127*Calculateur!X127*VLOOKUP('Données projet'!$B$9,Paramètres!$A$1:$I$89,3,0)*0.475*44/12</f>
        <v>30.2801573730972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114.13436583011624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-6.8212102632969618E-13</v>
      </c>
      <c r="AJ127" s="13">
        <f>AI127*VLOOKUP('Données projet'!$B$10,Paramètres!$A$1:$I$89,3,0)*VLOOKUP('Données projet'!$B$10,Paramètres!$A$1:$I$89,5,0)</f>
        <v>-4.0790837374515837E-13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228.36873053496748</v>
      </c>
      <c r="AO127" s="59">
        <f t="shared" si="90"/>
        <v>177.73676400313303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56.215051983345376</v>
      </c>
      <c r="AV127" s="21">
        <f>EXP(-LN(2)/25)*AV126+(1-EXP(-LN(2)/25))/(LN(2)/25)*Calculateur!AQ127*Calculateur!AS127*VLOOKUP('Données projet'!$B$10,Paramètres!$A$1:$I$89,3,0)*0.475*44/12</f>
        <v>19.5404473973473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75.755499380692669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414.13788000000073</v>
      </c>
      <c r="BF127" s="13">
        <f t="shared" si="91"/>
        <v>94.637083526579147</v>
      </c>
      <c r="BG127" s="20">
        <f t="shared" si="61"/>
        <v>886.1163948087933</v>
      </c>
      <c r="BH127" s="59">
        <f t="shared" si="62"/>
        <v>1179.4497281421266</v>
      </c>
      <c r="BI127" s="59">
        <f ca="1">AVERAGE(OFFSET($BH$3,0,0,'Données projet'!$E$11+1,1))-AVERAGE(OFFSET($H$3,0,0,'Données projet'!$E$11+1,1))</f>
        <v>534.59150243554586</v>
      </c>
      <c r="BJ127" s="59">
        <f t="shared" si="92"/>
        <v>259.04458689606491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71.980949257299912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71.980949257299912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2.8421709430404007E-14</v>
      </c>
      <c r="BZ127" s="13">
        <f>BY127*VLOOKUP('Données projet'!$B$12,Paramètres!$A$1:$I$89,3,0)*VLOOKUP('Données projet'!$B$12,Paramètres!$A$1:$I$89,5,0)</f>
        <v>2.4829205358400945E-14</v>
      </c>
      <c r="CA127" s="13">
        <f t="shared" si="93"/>
        <v>4.3867331143352915E-13</v>
      </c>
      <c r="CB127" s="20">
        <f t="shared" si="64"/>
        <v>8.0726688341261168E-13</v>
      </c>
      <c r="CC127" s="59">
        <f t="shared" si="65"/>
        <v>293.33333333333411</v>
      </c>
      <c r="CD127" s="59">
        <f ca="1">AVERAGE(OFFSET($CC$3,0,0,'Données projet'!$E$12+1,1))-AVERAGE(OFFSET($H$3,0,0,'Données projet'!$E$12+1,1))</f>
        <v>211.91720528436969</v>
      </c>
      <c r="CE127" s="59">
        <f t="shared" si="94"/>
        <v>218.88548486038957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32.418522252337688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32.418522252337688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408.42</v>
      </c>
      <c r="CR127" s="12">
        <f>VLOOKUP(A127,'Données projet'!$A$139:$I$159,9,0)</f>
        <v>7.9920000000000018</v>
      </c>
      <c r="CS127" s="12">
        <f t="array" ref="CS127">INDEX(CR:CR,MIN(IF(ISNUMBER(CR127:CR323),ROW(CR127:CR323),"")))</f>
        <v>7.9920000000000018</v>
      </c>
      <c r="CT127" s="12">
        <f>IF('Données projet'!$A$140&gt;35,CT126+CS127-DB126,IF(A127&lt;'Données projet'!$A$140,$CQ$205^A127,IF(A127='Données projet'!$A$140,'Données projet'!$B$140,CT126+CS127-DB126)))</f>
        <v>408.4200000000007</v>
      </c>
      <c r="CU127" s="17">
        <f>CT127*VLOOKUP('Données projet'!$B$13,Paramètres!$A$1:$I$89,3,0)*VLOOKUP('Données projet'!$B$13,Paramètres!$A$1:$I$89,5,0)</f>
        <v>369.53841600000061</v>
      </c>
      <c r="CV127" s="13">
        <f t="shared" si="95"/>
        <v>85.572866703416025</v>
      </c>
      <c r="CW127" s="20">
        <f t="shared" si="67"/>
        <v>792.65215070845068</v>
      </c>
      <c r="CX127" s="59">
        <f t="shared" si="68"/>
        <v>1085.985484041784</v>
      </c>
      <c r="CY127" s="59">
        <f ca="1">AVERAGE(OFFSET($CX$3,0,0,'Données projet'!$E$13+1,1))-AVERAGE(OFFSET($H$3,0,0,'Données projet'!$E$13+1,1))</f>
        <v>469.97161976912071</v>
      </c>
      <c r="CZ127" s="59">
        <f t="shared" si="96"/>
        <v>231.65013084759306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0.25800000000000001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64.229154721898368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64.229154721898368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>
        <f>VLOOKUP(A127,'Données projet'!$A$165:$I$185,2,0)</f>
        <v>408.42</v>
      </c>
      <c r="DM127" s="12">
        <f>VLOOKUP(A127,'Données projet'!$A$165:$I$185,9,0)</f>
        <v>7.9920000000000018</v>
      </c>
      <c r="DN127" s="12">
        <f t="array" ref="DN127">INDEX(DM:DM,MIN(IF(ISNUMBER(DM127:DM323),ROW(DM127:DM323),"")))</f>
        <v>7.9920000000000018</v>
      </c>
      <c r="DO127" s="12">
        <f>IF('Données projet'!$A$166&gt;35,DO126+DN127-DW126,IF(A127&lt;'Données projet'!$A$166,$DL$205^A127,IF(A127='Données projet'!$A$166,'Données projet'!$B$166,DO126+DN127-DW126)))</f>
        <v>408.4200000000007</v>
      </c>
      <c r="DP127" s="17">
        <f>DO127*VLOOKUP('Données projet'!$B$14,Paramètres!$A$1:$I$89,3,0)*VLOOKUP('Données projet'!$B$14,Paramètres!$A$1:$I$89,5,0)</f>
        <v>395.02382400000067</v>
      </c>
      <c r="DQ127" s="13">
        <f t="shared" si="97"/>
        <v>90.767088063805105</v>
      </c>
      <c r="DR127" s="20">
        <f t="shared" si="70"/>
        <v>846.08583851112826</v>
      </c>
      <c r="DS127" s="59">
        <f t="shared" si="71"/>
        <v>1139.4191718444615</v>
      </c>
      <c r="DT127" s="59">
        <f ca="1">AVERAGE(OFFSET($DS$3,0,0,'Données projet'!$E$14+1,1))-AVERAGE(OFFSET($H$3,0,0,'Données projet'!$E$14+1,1))</f>
        <v>506.9153247310901</v>
      </c>
      <c r="DU127" s="59">
        <f t="shared" si="98"/>
        <v>247.31254626788319</v>
      </c>
      <c r="DV127" s="15">
        <f>IF(ISNA(VLOOKUP(A127,'Données projet'!$A$165:$I$185,3,0)),0,VLOOKUP(A127,'Données projet'!$A$165:$I$185,3,0))</f>
        <v>10</v>
      </c>
      <c r="DW127" s="15">
        <f>IF(ISNA(VLOOKUP(A127,'Données projet'!$A$165:$I$185,4,0)),0,VLOOKUP(A127,'Données projet'!$A$165:$I$185,4,0))</f>
        <v>52.53</v>
      </c>
      <c r="DX127" s="16">
        <f>IF(ISNA(VLOOKUP(A127,'Données projet'!$A$165:$I$185,5,0)),0%,VLOOKUP(A127,'Données projet'!$A$165:$I$185,5,0)*VLOOKUP('Données projet'!$B$14,Paramètres!$A$1:$I$89,7,0))</f>
        <v>0.25800000000000001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68.658751599270687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68.658751599270687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193.8828274189392</v>
      </c>
      <c r="T128" s="59">
        <f t="shared" si="88"/>
        <v>179.13381331066427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82.209878575193812</v>
      </c>
      <c r="AA128" s="21">
        <f>EXP(-LN(2)/25)*AA127+(1-EXP(-LN(2)/25))/(LN(2)/25)*Calculateur!V128*Calculateur!X128*VLOOKUP('Données projet'!$B$9,Paramètres!$A$1:$I$89,3,0)*0.475*44/12</f>
        <v>29.452144877365587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111.6620234525594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-6.8212102632969618E-13</v>
      </c>
      <c r="AJ128" s="13">
        <f>AI128*VLOOKUP('Données projet'!$B$10,Paramètres!$A$1:$I$89,3,0)*VLOOKUP('Données projet'!$B$10,Paramètres!$A$1:$I$89,5,0)</f>
        <v>-4.0790837374515837E-13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228.36873053496748</v>
      </c>
      <c r="AO128" s="59">
        <f t="shared" si="90"/>
        <v>177.73676400313303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55.112709101748045</v>
      </c>
      <c r="AV128" s="21">
        <f>EXP(-LN(2)/25)*AV127+(1-EXP(-LN(2)/25))/(LN(2)/25)*Calculateur!AQ128*Calculateur!AS128*VLOOKUP('Données projet'!$B$10,Paramètres!$A$1:$I$89,3,0)*0.475*44/12</f>
        <v>19.006112835679371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74.118821937427413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369.05544000000071</v>
      </c>
      <c r="BF128" s="13">
        <f t="shared" si="91"/>
        <v>85.474036248241589</v>
      </c>
      <c r="BG128" s="20">
        <f t="shared" si="61"/>
        <v>791.63883779902199</v>
      </c>
      <c r="BH128" s="59">
        <f t="shared" si="62"/>
        <v>1084.9721711323552</v>
      </c>
      <c r="BI128" s="59">
        <f ca="1">AVERAGE(OFFSET($BH$3,0,0,'Données projet'!$E$11+1,1))-AVERAGE(OFFSET($H$3,0,0,'Données projet'!$E$11+1,1))</f>
        <v>534.59150243554586</v>
      </c>
      <c r="BJ128" s="59">
        <f t="shared" si="92"/>
        <v>259.04458689606491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70.569446746408147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70.569446746408147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2.8421709430404007E-14</v>
      </c>
      <c r="BZ128" s="13">
        <f>BY128*VLOOKUP('Données projet'!$B$12,Paramètres!$A$1:$I$89,3,0)*VLOOKUP('Données projet'!$B$12,Paramètres!$A$1:$I$89,5,0)</f>
        <v>2.4829205358400945E-14</v>
      </c>
      <c r="CA128" s="13">
        <f t="shared" si="93"/>
        <v>4.3867331143352915E-13</v>
      </c>
      <c r="CB128" s="20">
        <f t="shared" si="64"/>
        <v>8.0726688341261168E-13</v>
      </c>
      <c r="CC128" s="59">
        <f t="shared" si="65"/>
        <v>293.33333333333411</v>
      </c>
      <c r="CD128" s="59">
        <f ca="1">AVERAGE(OFFSET($CC$3,0,0,'Données projet'!$E$12+1,1))-AVERAGE(OFFSET($H$3,0,0,'Données projet'!$E$12+1,1))</f>
        <v>211.91720528436969</v>
      </c>
      <c r="CE128" s="59">
        <f t="shared" si="94"/>
        <v>218.88548486038957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31.782814804315464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31.782814804315464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8.0699999999999985</v>
      </c>
      <c r="CT128" s="12">
        <f>IF('Données projet'!$A$140&gt;35,CT127+CS128-DB127,IF(A128&lt;'Données projet'!$A$140,$CQ$205^A128,IF(A128='Données projet'!$A$140,'Données projet'!$B$140,CT127+CS128-DB127)))</f>
        <v>363.96000000000072</v>
      </c>
      <c r="CU128" s="17">
        <f>CT128*VLOOKUP('Données projet'!$B$13,Paramètres!$A$1:$I$89,3,0)*VLOOKUP('Données projet'!$B$13,Paramètres!$A$1:$I$89,5,0)</f>
        <v>329.31100800000064</v>
      </c>
      <c r="CV128" s="13">
        <f t="shared" si="95"/>
        <v>77.287444180583748</v>
      </c>
      <c r="CW128" s="20">
        <f t="shared" si="67"/>
        <v>708.15897088118447</v>
      </c>
      <c r="CX128" s="59">
        <f t="shared" si="68"/>
        <v>1001.4923042145178</v>
      </c>
      <c r="CY128" s="59">
        <f ca="1">AVERAGE(OFFSET($CX$3,0,0,'Données projet'!$E$13+1,1))-AVERAGE(OFFSET($H$3,0,0,'Données projet'!$E$13+1,1))</f>
        <v>469.97161976912071</v>
      </c>
      <c r="CZ128" s="59">
        <f t="shared" si="96"/>
        <v>231.65013084759306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62.969660173718019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62.969660173718019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8.0699999999999985</v>
      </c>
      <c r="DO128" s="12">
        <f>IF('Données projet'!$A$166&gt;35,DO127+DN128-DW127,IF(A128&lt;'Données projet'!$A$166,$DL$205^A128,IF(A128='Données projet'!$A$166,'Données projet'!$B$166,DO127+DN128-DW127)))</f>
        <v>363.96000000000072</v>
      </c>
      <c r="DP128" s="17">
        <f>DO128*VLOOKUP('Données projet'!$B$14,Paramètres!$A$1:$I$89,3,0)*VLOOKUP('Données projet'!$B$14,Paramètres!$A$1:$I$89,5,0)</f>
        <v>352.02211200000067</v>
      </c>
      <c r="DQ128" s="13">
        <f t="shared" si="97"/>
        <v>81.978745394600864</v>
      </c>
      <c r="DR128" s="20">
        <f t="shared" si="70"/>
        <v>755.88482662893102</v>
      </c>
      <c r="DS128" s="59">
        <f t="shared" si="71"/>
        <v>1049.2181599622643</v>
      </c>
      <c r="DT128" s="59">
        <f ca="1">AVERAGE(OFFSET($DS$3,0,0,'Données projet'!$E$14+1,1))-AVERAGE(OFFSET($H$3,0,0,'Données projet'!$E$14+1,1))</f>
        <v>506.9153247310901</v>
      </c>
      <c r="DU128" s="59">
        <f t="shared" si="98"/>
        <v>247.31254626788319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67.312395358112383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67.312395358112383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193.8828274189392</v>
      </c>
      <c r="T129" s="59">
        <f t="shared" si="88"/>
        <v>179.13381331066427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80.597792999408981</v>
      </c>
      <c r="AA129" s="21">
        <f>EXP(-LN(2)/25)*AA128+(1-EXP(-LN(2)/25))/(LN(2)/25)*Calculateur!V129*Calculateur!X129*VLOOKUP('Données projet'!$B$9,Paramètres!$A$1:$I$89,3,0)*0.475*44/12</f>
        <v>28.646774426873041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109.24456742628202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-6.8212102632969618E-13</v>
      </c>
      <c r="AJ129" s="13">
        <f>AI129*VLOOKUP('Données projet'!$B$10,Paramètres!$A$1:$I$89,3,0)*VLOOKUP('Données projet'!$B$10,Paramètres!$A$1:$I$89,5,0)</f>
        <v>-4.0790837374515837E-13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228.36873053496748</v>
      </c>
      <c r="AO129" s="59">
        <f t="shared" si="90"/>
        <v>177.73676400313303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54.03198249169607</v>
      </c>
      <c r="AV129" s="21">
        <f>EXP(-LN(2)/25)*AV128+(1-EXP(-LN(2)/25))/(LN(2)/25)*Calculateur!AQ129*Calculateur!AS129*VLOOKUP('Données projet'!$B$10,Paramètres!$A$1:$I$89,3,0)*0.475*44/12</f>
        <v>18.486389680699684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72.518372172395758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377.23842000000076</v>
      </c>
      <c r="BF129" s="13">
        <f t="shared" si="91"/>
        <v>87.146487914300891</v>
      </c>
      <c r="BG129" s="20">
        <f t="shared" si="61"/>
        <v>808.80371461740867</v>
      </c>
      <c r="BH129" s="59">
        <f t="shared" si="62"/>
        <v>1102.137047950742</v>
      </c>
      <c r="BI129" s="59">
        <f ca="1">AVERAGE(OFFSET($BH$3,0,0,'Données projet'!$E$11+1,1))-AVERAGE(OFFSET($H$3,0,0,'Données projet'!$E$11+1,1))</f>
        <v>534.59150243554586</v>
      </c>
      <c r="BJ129" s="59">
        <f t="shared" si="92"/>
        <v>259.04458689606491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69.185622938823442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69.185622938823442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2.8421709430404007E-14</v>
      </c>
      <c r="BZ129" s="13">
        <f>BY129*VLOOKUP('Données projet'!$B$12,Paramètres!$A$1:$I$89,3,0)*VLOOKUP('Données projet'!$B$12,Paramètres!$A$1:$I$89,5,0)</f>
        <v>2.4829205358400945E-14</v>
      </c>
      <c r="CA129" s="13">
        <f t="shared" si="93"/>
        <v>4.3867331143352915E-13</v>
      </c>
      <c r="CB129" s="20">
        <f t="shared" si="64"/>
        <v>8.0726688341261168E-13</v>
      </c>
      <c r="CC129" s="59">
        <f t="shared" si="65"/>
        <v>293.33333333333411</v>
      </c>
      <c r="CD129" s="59">
        <f ca="1">AVERAGE(OFFSET($CC$3,0,0,'Données projet'!$E$12+1,1))-AVERAGE(OFFSET($H$3,0,0,'Données projet'!$E$12+1,1))</f>
        <v>211.91720528436969</v>
      </c>
      <c r="CE129" s="59">
        <f t="shared" si="94"/>
        <v>218.88548486038957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31.159573191605698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31.159573191605698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8.0699999999999985</v>
      </c>
      <c r="CT129" s="12">
        <f>IF('Données projet'!$A$140&gt;35,CT128+CS129-DB128,IF(A129&lt;'Données projet'!$A$140,$CQ$205^A129,IF(A129='Données projet'!$A$140,'Données projet'!$B$140,CT128+CS129-DB128)))</f>
        <v>372.03000000000071</v>
      </c>
      <c r="CU129" s="17">
        <f>CT129*VLOOKUP('Données projet'!$B$13,Paramètres!$A$1:$I$89,3,0)*VLOOKUP('Données projet'!$B$13,Paramètres!$A$1:$I$89,5,0)</f>
        <v>336.61274400000065</v>
      </c>
      <c r="CV129" s="13">
        <f t="shared" si="95"/>
        <v>78.799710600410648</v>
      </c>
      <c r="CW129" s="20">
        <f t="shared" si="67"/>
        <v>723.51002509571629</v>
      </c>
      <c r="CX129" s="59">
        <f t="shared" si="68"/>
        <v>1016.8433584290497</v>
      </c>
      <c r="CY129" s="59">
        <f ca="1">AVERAGE(OFFSET($CX$3,0,0,'Données projet'!$E$13+1,1))-AVERAGE(OFFSET($H$3,0,0,'Données projet'!$E$13+1,1))</f>
        <v>469.97161976912071</v>
      </c>
      <c r="CZ129" s="59">
        <f t="shared" si="96"/>
        <v>231.65013084759306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61.73486354541167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61.73486354541167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8.0699999999999985</v>
      </c>
      <c r="DO129" s="12">
        <f>IF('Données projet'!$A$166&gt;35,DO128+DN129-DW128,IF(A129&lt;'Données projet'!$A$166,$DL$205^A129,IF(A129='Données projet'!$A$166,'Données projet'!$B$166,DO128+DN129-DW128)))</f>
        <v>372.03000000000071</v>
      </c>
      <c r="DP129" s="17">
        <f>DO129*VLOOKUP('Données projet'!$B$14,Paramètres!$A$1:$I$89,3,0)*VLOOKUP('Données projet'!$B$14,Paramètres!$A$1:$I$89,5,0)</f>
        <v>359.82741600000071</v>
      </c>
      <c r="DQ129" s="13">
        <f t="shared" si="97"/>
        <v>83.582805473365028</v>
      </c>
      <c r="DR129" s="20">
        <f t="shared" si="70"/>
        <v>772.27280239944514</v>
      </c>
      <c r="DS129" s="59">
        <f t="shared" si="71"/>
        <v>1065.6061357327785</v>
      </c>
      <c r="DT129" s="59">
        <f ca="1">AVERAGE(OFFSET($DS$3,0,0,'Données projet'!$E$14+1,1))-AVERAGE(OFFSET($H$3,0,0,'Données projet'!$E$14+1,1))</f>
        <v>506.9153247310901</v>
      </c>
      <c r="DU129" s="59">
        <f t="shared" si="98"/>
        <v>247.31254626788319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65.992440341646969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65.992440341646969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193.8828274189392</v>
      </c>
      <c r="T130" s="59">
        <f t="shared" si="88"/>
        <v>179.13381331066427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79.017319438490176</v>
      </c>
      <c r="AA130" s="21">
        <f>EXP(-LN(2)/25)*AA129+(1-EXP(-LN(2)/25))/(LN(2)/25)*Calculateur!V130*Calculateur!X130*VLOOKUP('Données projet'!$B$9,Paramètres!$A$1:$I$89,3,0)*0.475*44/12</f>
        <v>27.863426873701805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106.88074631219197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-6.8212102632969618E-13</v>
      </c>
      <c r="AJ130" s="13">
        <f>AI130*VLOOKUP('Données projet'!$B$10,Paramètres!$A$1:$I$89,3,0)*VLOOKUP('Données projet'!$B$10,Paramètres!$A$1:$I$89,5,0)</f>
        <v>-4.0790837374515837E-13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228.36873053496748</v>
      </c>
      <c r="AO130" s="59">
        <f t="shared" si="90"/>
        <v>177.73676400313303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52.972448271289068</v>
      </c>
      <c r="AV130" s="21">
        <f>EXP(-LN(2)/25)*AV129+(1-EXP(-LN(2)/25))/(LN(2)/25)*Calculateur!AQ130*Calculateur!AS130*VLOOKUP('Données projet'!$B$10,Paramètres!$A$1:$I$89,3,0)*0.475*44/12</f>
        <v>17.980878382723969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70.95332665401304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385.42140000000074</v>
      </c>
      <c r="BF130" s="13">
        <f t="shared" si="91"/>
        <v>88.814721741694029</v>
      </c>
      <c r="BG130" s="20">
        <f t="shared" si="61"/>
        <v>825.96124536678508</v>
      </c>
      <c r="BH130" s="59">
        <f t="shared" si="62"/>
        <v>1119.2945787001183</v>
      </c>
      <c r="BI130" s="59">
        <f ca="1">AVERAGE(OFFSET($BH$3,0,0,'Données projet'!$E$11+1,1))-AVERAGE(OFFSET($H$3,0,0,'Données projet'!$E$11+1,1))</f>
        <v>534.59150243554586</v>
      </c>
      <c r="BJ130" s="59">
        <f t="shared" si="92"/>
        <v>259.04458689606491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67.828935072056296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67.828935072056296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2.8421709430404007E-14</v>
      </c>
      <c r="BZ130" s="13">
        <f>BY130*VLOOKUP('Données projet'!$B$12,Paramètres!$A$1:$I$89,3,0)*VLOOKUP('Données projet'!$B$12,Paramètres!$A$1:$I$89,5,0)</f>
        <v>2.4829205358400945E-14</v>
      </c>
      <c r="CA130" s="13">
        <f t="shared" si="93"/>
        <v>4.3867331143352915E-13</v>
      </c>
      <c r="CB130" s="20">
        <f t="shared" si="64"/>
        <v>8.0726688341261168E-13</v>
      </c>
      <c r="CC130" s="59">
        <f t="shared" si="65"/>
        <v>293.33333333333411</v>
      </c>
      <c r="CD130" s="59">
        <f ca="1">AVERAGE(OFFSET($CC$3,0,0,'Données projet'!$E$12+1,1))-AVERAGE(OFFSET($H$3,0,0,'Données projet'!$E$12+1,1))</f>
        <v>211.91720528436969</v>
      </c>
      <c r="CE130" s="59">
        <f t="shared" si="94"/>
        <v>218.88548486038957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30.548552966781322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30.548552966781322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8.0699999999999985</v>
      </c>
      <c r="CT130" s="12">
        <f>IF('Données projet'!$A$140&gt;35,CT129+CS130-DB129,IF(A130&lt;'Données projet'!$A$140,$CQ$205^A130,IF(A130='Données projet'!$A$140,'Données projet'!$B$140,CT129+CS130-DB129)))</f>
        <v>380.1000000000007</v>
      </c>
      <c r="CU130" s="17">
        <f>CT130*VLOOKUP('Données projet'!$B$13,Paramètres!$A$1:$I$89,3,0)*VLOOKUP('Données projet'!$B$13,Paramètres!$A$1:$I$89,5,0)</f>
        <v>343.91448000000065</v>
      </c>
      <c r="CV130" s="13">
        <f t="shared" si="95"/>
        <v>80.308163160675235</v>
      </c>
      <c r="CW130" s="20">
        <f t="shared" si="67"/>
        <v>738.85443683817709</v>
      </c>
      <c r="CX130" s="59">
        <f t="shared" si="68"/>
        <v>1032.1877701715105</v>
      </c>
      <c r="CY130" s="59">
        <f ca="1">AVERAGE(OFFSET($CX$3,0,0,'Données projet'!$E$13+1,1))-AVERAGE(OFFSET($H$3,0,0,'Données projet'!$E$13+1,1))</f>
        <v>469.97161976912071</v>
      </c>
      <c r="CZ130" s="59">
        <f t="shared" si="96"/>
        <v>231.65013084759306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60.524280525834833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60.524280525834833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8.0699999999999985</v>
      </c>
      <c r="DO130" s="12">
        <f>IF('Données projet'!$A$166&gt;35,DO129+DN130-DW129,IF(A130&lt;'Données projet'!$A$166,$DL$205^A130,IF(A130='Données projet'!$A$166,'Données projet'!$B$166,DO129+DN130-DW129)))</f>
        <v>380.1000000000007</v>
      </c>
      <c r="DP130" s="17">
        <f>DO130*VLOOKUP('Données projet'!$B$14,Paramètres!$A$1:$I$89,3,0)*VLOOKUP('Données projet'!$B$14,Paramètres!$A$1:$I$89,5,0)</f>
        <v>367.63272000000069</v>
      </c>
      <c r="DQ130" s="13">
        <f t="shared" si="97"/>
        <v>85.182820193593429</v>
      </c>
      <c r="DR130" s="20">
        <f t="shared" si="70"/>
        <v>788.65373250384312</v>
      </c>
      <c r="DS130" s="59">
        <f t="shared" si="71"/>
        <v>1081.9870658371765</v>
      </c>
      <c r="DT130" s="59">
        <f ca="1">AVERAGE(OFFSET($DS$3,0,0,'Données projet'!$E$14+1,1))-AVERAGE(OFFSET($H$3,0,0,'Données projet'!$E$14+1,1))</f>
        <v>506.9153247310901</v>
      </c>
      <c r="DU130" s="59">
        <f t="shared" si="98"/>
        <v>247.31254626788319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64.698368837961382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64.698368837961382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193.8828274189392</v>
      </c>
      <c r="T131" s="59">
        <f t="shared" si="88"/>
        <v>179.13381331066427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77.467838000107307</v>
      </c>
      <c r="AA131" s="21">
        <f>EXP(-LN(2)/25)*AA130+(1-EXP(-LN(2)/25))/(LN(2)/25)*Calculateur!V131*Calculateur!X131*VLOOKUP('Données projet'!$B$9,Paramètres!$A$1:$I$89,3,0)*0.475*44/12</f>
        <v>27.101500000566492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104.5693380006738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-6.8212102632969618E-13</v>
      </c>
      <c r="AJ131" s="13">
        <f>AI131*VLOOKUP('Données projet'!$B$10,Paramètres!$A$1:$I$89,3,0)*VLOOKUP('Données projet'!$B$10,Paramètres!$A$1:$I$89,5,0)</f>
        <v>-4.0790837374515837E-13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228.36873053496748</v>
      </c>
      <c r="AO131" s="59">
        <f t="shared" si="90"/>
        <v>177.73676400313303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51.933690870692189</v>
      </c>
      <c r="AV131" s="21">
        <f>EXP(-LN(2)/25)*AV130+(1-EXP(-LN(2)/25))/(LN(2)/25)*Calculateur!AQ131*Calculateur!AS131*VLOOKUP('Données projet'!$B$10,Paramètres!$A$1:$I$89,3,0)*0.475*44/12</f>
        <v>17.489190317775083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69.422881188467272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393.60438000000073</v>
      </c>
      <c r="BF131" s="13">
        <f t="shared" si="91"/>
        <v>90.478837595769321</v>
      </c>
      <c r="BG131" s="20">
        <f t="shared" si="61"/>
        <v>843.1116039792995</v>
      </c>
      <c r="BH131" s="59">
        <f t="shared" si="62"/>
        <v>1136.4449373126329</v>
      </c>
      <c r="BI131" s="59">
        <f ca="1">AVERAGE(OFFSET($BH$3,0,0,'Données projet'!$E$11+1,1))-AVERAGE(OFFSET($H$3,0,0,'Données projet'!$E$11+1,1))</f>
        <v>534.59150243554586</v>
      </c>
      <c r="BJ131" s="59">
        <f t="shared" si="92"/>
        <v>259.04458689606491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66.49885102685856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66.49885102685856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2.8421709430404007E-14</v>
      </c>
      <c r="BZ131" s="13">
        <f>BY131*VLOOKUP('Données projet'!$B$12,Paramètres!$A$1:$I$89,3,0)*VLOOKUP('Données projet'!$B$12,Paramètres!$A$1:$I$89,5,0)</f>
        <v>2.4829205358400945E-14</v>
      </c>
      <c r="CA131" s="13">
        <f t="shared" si="93"/>
        <v>4.3867331143352915E-13</v>
      </c>
      <c r="CB131" s="20">
        <f t="shared" si="64"/>
        <v>8.0726688341261168E-13</v>
      </c>
      <c r="CC131" s="59">
        <f t="shared" si="65"/>
        <v>293.33333333333411</v>
      </c>
      <c r="CD131" s="59">
        <f ca="1">AVERAGE(OFFSET($CC$3,0,0,'Données projet'!$E$12+1,1))-AVERAGE(OFFSET($H$3,0,0,'Données projet'!$E$12+1,1))</f>
        <v>211.91720528436969</v>
      </c>
      <c r="CE131" s="59">
        <f t="shared" si="94"/>
        <v>218.88548486038957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29.949514475880218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29.949514475880218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8.0699999999999985</v>
      </c>
      <c r="CT131" s="12">
        <f>IF('Données projet'!$A$140&gt;35,CT130+CS131-DB130,IF(A131&lt;'Données projet'!$A$140,$CQ$205^A131,IF(A131='Données projet'!$A$140,'Données projet'!$B$140,CT130+CS131-DB130)))</f>
        <v>388.1700000000007</v>
      </c>
      <c r="CU131" s="17">
        <f>CT131*VLOOKUP('Données projet'!$B$13,Paramètres!$A$1:$I$89,3,0)*VLOOKUP('Données projet'!$B$13,Paramètres!$A$1:$I$89,5,0)</f>
        <v>351.2162160000006</v>
      </c>
      <c r="CV131" s="13">
        <f t="shared" si="95"/>
        <v>81.812892161752615</v>
      </c>
      <c r="CW131" s="20">
        <f t="shared" si="67"/>
        <v>754.19236338172016</v>
      </c>
      <c r="CX131" s="59">
        <f t="shared" si="68"/>
        <v>1047.5256967150535</v>
      </c>
      <c r="CY131" s="59">
        <f ca="1">AVERAGE(OFFSET($CX$3,0,0,'Données projet'!$E$13+1,1))-AVERAGE(OFFSET($H$3,0,0,'Données projet'!$E$13+1,1))</f>
        <v>469.97161976912071</v>
      </c>
      <c r="CZ131" s="59">
        <f t="shared" si="96"/>
        <v>231.65013084759306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59.337436300889166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59.337436300889166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8.0699999999999985</v>
      </c>
      <c r="DO131" s="12">
        <f>IF('Données projet'!$A$166&gt;35,DO130+DN131-DW130,IF(A131&lt;'Données projet'!$A$166,$DL$205^A131,IF(A131='Données projet'!$A$166,'Données projet'!$B$166,DO130+DN131-DW130)))</f>
        <v>388.1700000000007</v>
      </c>
      <c r="DP131" s="17">
        <f>DO131*VLOOKUP('Données projet'!$B$14,Paramètres!$A$1:$I$89,3,0)*VLOOKUP('Données projet'!$B$14,Paramètres!$A$1:$I$89,5,0)</f>
        <v>375.43802400000067</v>
      </c>
      <c r="DQ131" s="13">
        <f t="shared" si="97"/>
        <v>86.778885336839423</v>
      </c>
      <c r="DR131" s="20">
        <f t="shared" si="70"/>
        <v>805.02778376166316</v>
      </c>
      <c r="DS131" s="59">
        <f t="shared" si="71"/>
        <v>1098.3611170949964</v>
      </c>
      <c r="DT131" s="59">
        <f ca="1">AVERAGE(OFFSET($DS$3,0,0,'Données projet'!$E$14+1,1))-AVERAGE(OFFSET($H$3,0,0,'Données projet'!$E$14+1,1))</f>
        <v>506.9153247310901</v>
      </c>
      <c r="DU131" s="59">
        <f t="shared" si="98"/>
        <v>247.31254626788319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63.429673287157392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63.429673287157392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193.8828274189392</v>
      </c>
      <c r="T132" s="59">
        <f t="shared" si="88"/>
        <v>179.13381331066427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75.948740947640758</v>
      </c>
      <c r="AA132" s="21">
        <f>EXP(-LN(2)/25)*AA131+(1-EXP(-LN(2)/25))/(LN(2)/25)*Calculateur!V132*Calculateur!X132*VLOOKUP('Données projet'!$B$9,Paramètres!$A$1:$I$89,3,0)*0.475*44/12</f>
        <v>26.360408057845056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102.30914900548581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-6.8212102632969618E-13</v>
      </c>
      <c r="AJ132" s="13">
        <f>AI132*VLOOKUP('Données projet'!$B$10,Paramètres!$A$1:$I$89,3,0)*VLOOKUP('Données projet'!$B$10,Paramètres!$A$1:$I$89,5,0)</f>
        <v>-4.0790837374515837E-13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228.36873053496748</v>
      </c>
      <c r="AO132" s="59">
        <f t="shared" si="90"/>
        <v>177.73676400313303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50.915302869141556</v>
      </c>
      <c r="AV132" s="21">
        <f>EXP(-LN(2)/25)*AV131+(1-EXP(-LN(2)/25))/(LN(2)/25)*Calculateur!AQ132*Calculateur!AS132*VLOOKUP('Données projet'!$B$10,Paramètres!$A$1:$I$89,3,0)*0.475*44/12</f>
        <v>17.010947488818978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67.926250357960527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401.78736000000072</v>
      </c>
      <c r="BF132" s="13">
        <f t="shared" si="91"/>
        <v>92.138930952196844</v>
      </c>
      <c r="BG132" s="20">
        <f t="shared" ref="BG132:BG153" si="115">(BE132+BF132)*0.475*44/12</f>
        <v>860.25495674174408</v>
      </c>
      <c r="BH132" s="59">
        <f t="shared" ref="BH132:BH195" si="116">BG132+(AY132+AZ132)*44/12</f>
        <v>1153.5882900750773</v>
      </c>
      <c r="BI132" s="59">
        <f ca="1">AVERAGE(OFFSET($BH$3,0,0,'Données projet'!$E$11+1,1))-AVERAGE(OFFSET($H$3,0,0,'Données projet'!$E$11+1,1))</f>
        <v>534.59150243554586</v>
      </c>
      <c r="BJ132" s="59">
        <f t="shared" si="92"/>
        <v>259.04458689606491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65.19484911851599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65.19484911851599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2.8421709430404007E-14</v>
      </c>
      <c r="BZ132" s="13">
        <f>BY132*VLOOKUP('Données projet'!$B$12,Paramètres!$A$1:$I$89,3,0)*VLOOKUP('Données projet'!$B$12,Paramètres!$A$1:$I$89,5,0)</f>
        <v>2.4829205358400945E-14</v>
      </c>
      <c r="CA132" s="13">
        <f t="shared" si="93"/>
        <v>4.3867331143352915E-13</v>
      </c>
      <c r="CB132" s="20">
        <f t="shared" ref="CB132:CB153" si="118">(BZ132+CA132)*0.475*44/12</f>
        <v>8.0726688341261168E-13</v>
      </c>
      <c r="CC132" s="59">
        <f t="shared" ref="CC132:CC195" si="119">CB132+(BT132+BU132)*44/12</f>
        <v>293.33333333333411</v>
      </c>
      <c r="CD132" s="59">
        <f ca="1">AVERAGE(OFFSET($CC$3,0,0,'Données projet'!$E$12+1,1))-AVERAGE(OFFSET($H$3,0,0,'Données projet'!$E$12+1,1))</f>
        <v>211.91720528436969</v>
      </c>
      <c r="CE132" s="59">
        <f t="shared" si="94"/>
        <v>218.88548486038957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29.36222276440828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29.36222276440828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8.0699999999999985</v>
      </c>
      <c r="CT132" s="12">
        <f>IF('Données projet'!$A$140&gt;35,CT131+CS132-DB131,IF(A132&lt;'Données projet'!$A$140,$CQ$205^A132,IF(A132='Données projet'!$A$140,'Données projet'!$B$140,CT131+CS132-DB131)))</f>
        <v>396.24000000000069</v>
      </c>
      <c r="CU132" s="17">
        <f>CT132*VLOOKUP('Données projet'!$B$13,Paramètres!$A$1:$I$89,3,0)*VLOOKUP('Données projet'!$B$13,Paramètres!$A$1:$I$89,5,0)</f>
        <v>358.51795200000061</v>
      </c>
      <c r="CV132" s="13">
        <f t="shared" si="95"/>
        <v>83.313983934777241</v>
      </c>
      <c r="CW132" s="20">
        <f t="shared" ref="CW132:CW153" si="121">(CU132+CV132)*0.475*44/12</f>
        <v>769.52395508640473</v>
      </c>
      <c r="CX132" s="59">
        <f t="shared" ref="CX132:CX195" si="122">CW132+(CO132+CP132)*44/12</f>
        <v>1062.8572884197381</v>
      </c>
      <c r="CY132" s="59">
        <f ca="1">AVERAGE(OFFSET($CX$3,0,0,'Données projet'!$E$13+1,1))-AVERAGE(OFFSET($H$3,0,0,'Données projet'!$E$13+1,1))</f>
        <v>469.97161976912071</v>
      </c>
      <c r="CZ132" s="59">
        <f t="shared" si="96"/>
        <v>231.65013084759306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58.173865367291185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58.173865367291185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8.0699999999999985</v>
      </c>
      <c r="DO132" s="12">
        <f>IF('Données projet'!$A$166&gt;35,DO131+DN132-DW131,IF(A132&lt;'Données projet'!$A$166,$DL$205^A132,IF(A132='Données projet'!$A$166,'Données projet'!$B$166,DO131+DN132-DW131)))</f>
        <v>396.24000000000069</v>
      </c>
      <c r="DP132" s="17">
        <f>DO132*VLOOKUP('Données projet'!$B$14,Paramètres!$A$1:$I$89,3,0)*VLOOKUP('Données projet'!$B$14,Paramètres!$A$1:$I$89,5,0)</f>
        <v>383.2433280000007</v>
      </c>
      <c r="DQ132" s="13">
        <f t="shared" si="97"/>
        <v>88.371092474485081</v>
      </c>
      <c r="DR132" s="20">
        <f t="shared" ref="DR132:DR153" si="124">(DP132+DQ132)*0.475*44/12</f>
        <v>821.39511565972941</v>
      </c>
      <c r="DS132" s="59">
        <f t="shared" ref="DS132:DS195" si="125">DR132+(DJ132+DK132)*44/12</f>
        <v>1114.7284489930628</v>
      </c>
      <c r="DT132" s="59">
        <f ca="1">AVERAGE(OFFSET($DS$3,0,0,'Données projet'!$E$14+1,1))-AVERAGE(OFFSET($H$3,0,0,'Données projet'!$E$14+1,1))</f>
        <v>506.9153247310901</v>
      </c>
      <c r="DU132" s="59">
        <f t="shared" si="98"/>
        <v>247.31254626788319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62.185856082276793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62.185856082276793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193.8828274189392</v>
      </c>
      <c r="T133" s="59">
        <f t="shared" ref="T133:T196" si="142">$T$3</f>
        <v>179.13381331066427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74.459432461815368</v>
      </c>
      <c r="AA133" s="21">
        <f>EXP(-LN(2)/25)*AA132+(1-EXP(-LN(2)/25))/(LN(2)/25)*Calculateur!V133*Calculateur!X133*VLOOKUP('Données projet'!$B$9,Paramètres!$A$1:$I$89,3,0)*0.475*44/12</f>
        <v>25.639581313269669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100.09901377508504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-6.8212102632969618E-13</v>
      </c>
      <c r="AJ133" s="13">
        <f>AI133*VLOOKUP('Données projet'!$B$10,Paramètres!$A$1:$I$89,3,0)*VLOOKUP('Données projet'!$B$10,Paramètres!$A$1:$I$89,5,0)</f>
        <v>-4.0790837374515837E-13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228.36873053496748</v>
      </c>
      <c r="AO133" s="59">
        <f t="shared" ref="AO133:AO196" si="144">$AO$3</f>
        <v>177.73676400313303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49.916884835145986</v>
      </c>
      <c r="AV133" s="21">
        <f>EXP(-LN(2)/25)*AV132+(1-EXP(-LN(2)/25))/(LN(2)/25)*Calculateur!AQ133*Calculateur!AS133*VLOOKUP('Données projet'!$B$10,Paramètres!$A$1:$I$89,3,0)*0.475*44/12</f>
        <v>16.545782235170375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66.462667070316357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409.9703400000007</v>
      </c>
      <c r="BF133" s="13">
        <f t="shared" ref="BF133:BF153" si="145">EXP(-1.0587+0.8836*LN(BE133)+0.284)</f>
        <v>93.795093175328134</v>
      </c>
      <c r="BG133" s="20">
        <f t="shared" si="115"/>
        <v>877.39146278036435</v>
      </c>
      <c r="BH133" s="59">
        <f t="shared" si="116"/>
        <v>1170.7247961136977</v>
      </c>
      <c r="BI133" s="59">
        <f ca="1">AVERAGE(OFFSET($BH$3,0,0,'Données projet'!$E$11+1,1))-AVERAGE(OFFSET($H$3,0,0,'Données projet'!$E$11+1,1))</f>
        <v>534.59150243554586</v>
      </c>
      <c r="BJ133" s="59">
        <f t="shared" ref="BJ133:BJ196" si="146">$BJ$3</f>
        <v>259.04458689606491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63.91641789223339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63.91641789223339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2.8421709430404007E-14</v>
      </c>
      <c r="BZ133" s="13">
        <f>BY133*VLOOKUP('Données projet'!$B$12,Paramètres!$A$1:$I$89,3,0)*VLOOKUP('Données projet'!$B$12,Paramètres!$A$1:$I$89,5,0)</f>
        <v>2.4829205358400945E-14</v>
      </c>
      <c r="CA133" s="13">
        <f t="shared" ref="CA133:CA153" si="147">EXP(-1.0587+0.8836*LN(BZ133)+0.284)</f>
        <v>4.3867331143352915E-13</v>
      </c>
      <c r="CB133" s="20">
        <f t="shared" si="118"/>
        <v>8.0726688341261168E-13</v>
      </c>
      <c r="CC133" s="59">
        <f t="shared" si="119"/>
        <v>293.33333333333411</v>
      </c>
      <c r="CD133" s="59">
        <f ca="1">AVERAGE(OFFSET($CC$3,0,0,'Données projet'!$E$12+1,1))-AVERAGE(OFFSET($H$3,0,0,'Données projet'!$E$12+1,1))</f>
        <v>211.91720528436969</v>
      </c>
      <c r="CE133" s="59">
        <f t="shared" ref="CE133:CE196" si="148">$CE$3</f>
        <v>218.88548486038957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28.786447485185736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28.786447485185736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8.0699999999999985</v>
      </c>
      <c r="CT133" s="12">
        <f>IF('Données projet'!$A$140&gt;35,CT132+CS133-DB132,IF(A133&lt;'Données projet'!$A$140,$CQ$205^A133,IF(A133='Données projet'!$A$140,'Données projet'!$B$140,CT132+CS133-DB132)))</f>
        <v>404.31000000000068</v>
      </c>
      <c r="CU133" s="17">
        <f>CT133*VLOOKUP('Données projet'!$B$13,Paramètres!$A$1:$I$89,3,0)*VLOOKUP('Données projet'!$B$13,Paramètres!$A$1:$I$89,5,0)</f>
        <v>365.81968800000061</v>
      </c>
      <c r="CV133" s="13">
        <f t="shared" ref="CV133:CV153" si="149">EXP(-1.0587+0.8836*LN(CU133)+0.284)</f>
        <v>84.811521093342051</v>
      </c>
      <c r="CW133" s="20">
        <f t="shared" si="121"/>
        <v>784.84935583757169</v>
      </c>
      <c r="CX133" s="59">
        <f t="shared" si="122"/>
        <v>1078.182689170905</v>
      </c>
      <c r="CY133" s="59">
        <f ca="1">AVERAGE(OFFSET($CX$3,0,0,'Données projet'!$E$13+1,1))-AVERAGE(OFFSET($H$3,0,0,'Données projet'!$E$13+1,1))</f>
        <v>469.97161976912071</v>
      </c>
      <c r="CZ133" s="59">
        <f t="shared" ref="CZ133:CZ196" si="150">$CZ$3</f>
        <v>231.65013084759306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57.033111349992865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57.033111349992865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8.0699999999999985</v>
      </c>
      <c r="DO133" s="12">
        <f>IF('Données projet'!$A$166&gt;35,DO132+DN133-DW132,IF(A133&lt;'Données projet'!$A$166,$DL$205^A133,IF(A133='Données projet'!$A$166,'Données projet'!$B$166,DO132+DN133-DW132)))</f>
        <v>404.31000000000068</v>
      </c>
      <c r="DP133" s="17">
        <f>DO133*VLOOKUP('Données projet'!$B$14,Paramètres!$A$1:$I$89,3,0)*VLOOKUP('Données projet'!$B$14,Paramètres!$A$1:$I$89,5,0)</f>
        <v>391.04863200000068</v>
      </c>
      <c r="DQ133" s="13">
        <f t="shared" ref="DQ133:DQ153" si="151">EXP(-1.0587+0.8836*LN(DP133)+0.284)</f>
        <v>89.959529234718644</v>
      </c>
      <c r="DR133" s="20">
        <f t="shared" si="124"/>
        <v>837.75588081713613</v>
      </c>
      <c r="DS133" s="59">
        <f t="shared" si="125"/>
        <v>1131.0892141504694</v>
      </c>
      <c r="DT133" s="59">
        <f ca="1">AVERAGE(OFFSET($DS$3,0,0,'Données projet'!$E$14+1,1))-AVERAGE(OFFSET($H$3,0,0,'Données projet'!$E$14+1,1))</f>
        <v>506.9153247310901</v>
      </c>
      <c r="DU133" s="59">
        <f t="shared" ref="DU133:DU196" si="152">$DU$3</f>
        <v>247.31254626788319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60.966429374130314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60.966429374130314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193.8828274189392</v>
      </c>
      <c r="T134" s="59">
        <f t="shared" si="142"/>
        <v>179.13381331066427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72.999328407008534</v>
      </c>
      <c r="AA134" s="21">
        <f>EXP(-LN(2)/25)*AA133+(1-EXP(-LN(2)/25))/(LN(2)/25)*Calculateur!V134*Calculateur!X134*VLOOKUP('Données projet'!$B$9,Paramètres!$A$1:$I$89,3,0)*0.475*44/12</f>
        <v>24.938465613931328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97.937794020939862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-6.8212102632969618E-13</v>
      </c>
      <c r="AJ134" s="13">
        <f>AI134*VLOOKUP('Données projet'!$B$10,Paramètres!$A$1:$I$89,3,0)*VLOOKUP('Données projet'!$B$10,Paramètres!$A$1:$I$89,5,0)</f>
        <v>-4.0790837374515837E-13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228.36873053496748</v>
      </c>
      <c r="AO134" s="59">
        <f t="shared" si="144"/>
        <v>177.73676400313303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48.938045169822203</v>
      </c>
      <c r="AV134" s="21">
        <f>EXP(-LN(2)/25)*AV133+(1-EXP(-LN(2)/25))/(LN(2)/25)*Calculateur!AQ134*Calculateur!AS134*VLOOKUP('Données projet'!$B$10,Paramètres!$A$1:$I$89,3,0)*0.475*44/12</f>
        <v>16.093336949844769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65.031382119666972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418.15332000000069</v>
      </c>
      <c r="BF134" s="13">
        <f t="shared" si="145"/>
        <v>95.44741177370463</v>
      </c>
      <c r="BG134" s="20">
        <f t="shared" si="115"/>
        <v>894.52127450587011</v>
      </c>
      <c r="BH134" s="59">
        <f t="shared" si="116"/>
        <v>1187.8546078392035</v>
      </c>
      <c r="BI134" s="59">
        <f ca="1">AVERAGE(OFFSET($BH$3,0,0,'Données projet'!$E$11+1,1))-AVERAGE(OFFSET($H$3,0,0,'Données projet'!$E$11+1,1))</f>
        <v>534.59150243554586</v>
      </c>
      <c r="BJ134" s="59">
        <f t="shared" si="146"/>
        <v>259.04458689606491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62.663055922532145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62.663055922532145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2.8421709430404007E-14</v>
      </c>
      <c r="BZ134" s="13">
        <f>BY134*VLOOKUP('Données projet'!$B$12,Paramètres!$A$1:$I$89,3,0)*VLOOKUP('Données projet'!$B$12,Paramètres!$A$1:$I$89,5,0)</f>
        <v>2.4829205358400945E-14</v>
      </c>
      <c r="CA134" s="13">
        <f t="shared" si="147"/>
        <v>4.3867331143352915E-13</v>
      </c>
      <c r="CB134" s="20">
        <f t="shared" si="118"/>
        <v>8.0726688341261168E-13</v>
      </c>
      <c r="CC134" s="59">
        <f t="shared" si="119"/>
        <v>293.33333333333411</v>
      </c>
      <c r="CD134" s="59">
        <f ca="1">AVERAGE(OFFSET($CC$3,0,0,'Données projet'!$E$12+1,1))-AVERAGE(OFFSET($H$3,0,0,'Données projet'!$E$12+1,1))</f>
        <v>211.91720528436969</v>
      </c>
      <c r="CE134" s="59">
        <f t="shared" si="148"/>
        <v>218.88548486038957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28.221962808000502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28.221962808000502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8.0699999999999985</v>
      </c>
      <c r="CT134" s="12">
        <f>IF('Données projet'!$A$140&gt;35,CT133+CS134-DB133,IF(A134&lt;'Données projet'!$A$140,$CQ$205^A134,IF(A134='Données projet'!$A$140,'Données projet'!$B$140,CT133+CS134-DB133)))</f>
        <v>412.38000000000068</v>
      </c>
      <c r="CU134" s="17">
        <f>CT134*VLOOKUP('Données projet'!$B$13,Paramètres!$A$1:$I$89,3,0)*VLOOKUP('Données projet'!$B$13,Paramètres!$A$1:$I$89,5,0)</f>
        <v>373.12142400000062</v>
      </c>
      <c r="CV134" s="13">
        <f t="shared" si="149"/>
        <v>86.305582764533938</v>
      </c>
      <c r="CW134" s="20">
        <f t="shared" si="121"/>
        <v>800.16870344823099</v>
      </c>
      <c r="CX134" s="59">
        <f t="shared" si="122"/>
        <v>1093.5020367815644</v>
      </c>
      <c r="CY134" s="59">
        <f ca="1">AVERAGE(OFFSET($CX$3,0,0,'Données projet'!$E$13+1,1))-AVERAGE(OFFSET($H$3,0,0,'Données projet'!$E$13+1,1))</f>
        <v>469.97161976912071</v>
      </c>
      <c r="CZ134" s="59">
        <f t="shared" si="150"/>
        <v>231.65013084759306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55.914726823182519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55.914726823182519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8.0699999999999985</v>
      </c>
      <c r="DO134" s="12">
        <f>IF('Données projet'!$A$166&gt;35,DO133+DN134-DW133,IF(A134&lt;'Données projet'!$A$166,$DL$205^A134,IF(A134='Données projet'!$A$166,'Données projet'!$B$166,DO133+DN134-DW133)))</f>
        <v>412.38000000000068</v>
      </c>
      <c r="DP134" s="17">
        <f>DO134*VLOOKUP('Données projet'!$B$14,Paramètres!$A$1:$I$89,3,0)*VLOOKUP('Données projet'!$B$14,Paramètres!$A$1:$I$89,5,0)</f>
        <v>398.85393600000066</v>
      </c>
      <c r="DQ134" s="13">
        <f t="shared" si="151"/>
        <v>91.54427954759349</v>
      </c>
      <c r="DR134" s="20">
        <f t="shared" si="124"/>
        <v>854.11022541205978</v>
      </c>
      <c r="DS134" s="59">
        <f t="shared" si="125"/>
        <v>1147.4435587453931</v>
      </c>
      <c r="DT134" s="59">
        <f ca="1">AVERAGE(OFFSET($DS$3,0,0,'Données projet'!$E$14+1,1))-AVERAGE(OFFSET($H$3,0,0,'Données projet'!$E$14+1,1))</f>
        <v>506.9153247310901</v>
      </c>
      <c r="DU134" s="59">
        <f t="shared" si="152"/>
        <v>247.31254626788319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59.770914879953736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59.770914879953736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193.8828274189392</v>
      </c>
      <c r="T135" s="59">
        <f t="shared" si="142"/>
        <v>179.13381331066427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71.567856102140922</v>
      </c>
      <c r="AA135" s="21">
        <f>EXP(-LN(2)/25)*AA134+(1-EXP(-LN(2)/25))/(LN(2)/25)*Calculateur!V135*Calculateur!X135*VLOOKUP('Données projet'!$B$9,Paramètres!$A$1:$I$89,3,0)*0.475*44/12</f>
        <v>24.256521960261466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95.824378062402388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-6.8212102632969618E-13</v>
      </c>
      <c r="AJ135" s="13">
        <f>AI135*VLOOKUP('Données projet'!$B$10,Paramètres!$A$1:$I$89,3,0)*VLOOKUP('Données projet'!$B$10,Paramètres!$A$1:$I$89,5,0)</f>
        <v>-4.0790837374515837E-13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228.36873053496748</v>
      </c>
      <c r="AO135" s="59">
        <f t="shared" si="144"/>
        <v>177.73676400313303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47.978399953302173</v>
      </c>
      <c r="AV135" s="21">
        <f>EXP(-LN(2)/25)*AV134+(1-EXP(-LN(2)/25))/(LN(2)/25)*Calculateur!AQ135*Calculateur!AS135*VLOOKUP('Données projet'!$B$10,Paramètres!$A$1:$I$89,3,0)*0.475*44/12</f>
        <v>15.653263804639455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63.631663757941624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426.33630000000073</v>
      </c>
      <c r="BF135" s="13">
        <f t="shared" si="145"/>
        <v>97.095970634999375</v>
      </c>
      <c r="BG135" s="20">
        <f t="shared" si="115"/>
        <v>911.64453802262517</v>
      </c>
      <c r="BH135" s="59">
        <f t="shared" si="116"/>
        <v>1204.9778713559585</v>
      </c>
      <c r="BI135" s="59">
        <f ca="1">AVERAGE(OFFSET($BH$3,0,0,'Données projet'!$E$11+1,1))-AVERAGE(OFFSET($H$3,0,0,'Données projet'!$E$11+1,1))</f>
        <v>534.59150243554586</v>
      </c>
      <c r="BJ135" s="59">
        <f t="shared" si="146"/>
        <v>259.04458689606491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61.43427161658142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61.43427161658142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2.8421709430404007E-14</v>
      </c>
      <c r="BZ135" s="13">
        <f>BY135*VLOOKUP('Données projet'!$B$12,Paramètres!$A$1:$I$89,3,0)*VLOOKUP('Données projet'!$B$12,Paramètres!$A$1:$I$89,5,0)</f>
        <v>2.4829205358400945E-14</v>
      </c>
      <c r="CA135" s="13">
        <f t="shared" si="147"/>
        <v>4.3867331143352915E-13</v>
      </c>
      <c r="CB135" s="20">
        <f t="shared" si="118"/>
        <v>8.0726688341261168E-13</v>
      </c>
      <c r="CC135" s="59">
        <f t="shared" si="119"/>
        <v>293.33333333333411</v>
      </c>
      <c r="CD135" s="59">
        <f ca="1">AVERAGE(OFFSET($CC$3,0,0,'Données projet'!$E$12+1,1))-AVERAGE(OFFSET($H$3,0,0,'Données projet'!$E$12+1,1))</f>
        <v>211.91720528436969</v>
      </c>
      <c r="CE135" s="59">
        <f t="shared" si="148"/>
        <v>218.88548486038957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27.668547331033214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27.668547331033214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8.0699999999999985</v>
      </c>
      <c r="CT135" s="12">
        <f>IF('Données projet'!$A$140&gt;35,CT134+CS135-DB134,IF(A135&lt;'Données projet'!$A$140,$CQ$205^A135,IF(A135='Données projet'!$A$140,'Données projet'!$B$140,CT134+CS135-DB134)))</f>
        <v>420.45000000000067</v>
      </c>
      <c r="CU135" s="17">
        <f>CT135*VLOOKUP('Données projet'!$B$13,Paramètres!$A$1:$I$89,3,0)*VLOOKUP('Données projet'!$B$13,Paramètres!$A$1:$I$89,5,0)</f>
        <v>380.42316000000056</v>
      </c>
      <c r="CV135" s="13">
        <f t="shared" si="149"/>
        <v>87.79624480137376</v>
      </c>
      <c r="CW135" s="20">
        <f t="shared" si="121"/>
        <v>815.48213002906016</v>
      </c>
      <c r="CX135" s="59">
        <f t="shared" si="122"/>
        <v>1108.8154633623935</v>
      </c>
      <c r="CY135" s="59">
        <f ca="1">AVERAGE(OFFSET($CX$3,0,0,'Données projet'!$E$13+1,1))-AVERAGE(OFFSET($H$3,0,0,'Données projet'!$E$13+1,1))</f>
        <v>469.97161976912071</v>
      </c>
      <c r="CZ135" s="59">
        <f t="shared" si="150"/>
        <v>231.65013084759306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54.818273134795724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54.818273134795724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8.0699999999999985</v>
      </c>
      <c r="DO135" s="12">
        <f>IF('Données projet'!$A$166&gt;35,DO134+DN135-DW134,IF(A135&lt;'Données projet'!$A$166,$DL$205^A135,IF(A135='Données projet'!$A$166,'Données projet'!$B$166,DO134+DN135-DW134)))</f>
        <v>420.45000000000067</v>
      </c>
      <c r="DP135" s="17">
        <f>DO135*VLOOKUP('Données projet'!$B$14,Paramètres!$A$1:$I$89,3,0)*VLOOKUP('Données projet'!$B$14,Paramètres!$A$1:$I$89,5,0)</f>
        <v>406.65924000000069</v>
      </c>
      <c r="DQ135" s="13">
        <f t="shared" si="151"/>
        <v>93.125423870362923</v>
      </c>
      <c r="DR135" s="20">
        <f t="shared" si="124"/>
        <v>870.45828957421656</v>
      </c>
      <c r="DS135" s="59">
        <f t="shared" si="125"/>
        <v>1163.7916229075499</v>
      </c>
      <c r="DT135" s="59">
        <f ca="1">AVERAGE(OFFSET($DS$3,0,0,'Données projet'!$E$14+1,1))-AVERAGE(OFFSET($H$3,0,0,'Données projet'!$E$14+1,1))</f>
        <v>506.9153247310901</v>
      </c>
      <c r="DU135" s="59">
        <f t="shared" si="152"/>
        <v>247.31254626788319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58.598843695816122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58.598843695816122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193.8828274189392</v>
      </c>
      <c r="T136" s="59">
        <f t="shared" si="142"/>
        <v>179.13381331066427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70.16445409605987</v>
      </c>
      <c r="AA136" s="21">
        <f>EXP(-LN(2)/25)*AA135+(1-EXP(-LN(2)/25))/(LN(2)/25)*Calculateur!V136*Calculateur!X136*VLOOKUP('Données projet'!$B$9,Paramètres!$A$1:$I$89,3,0)*0.475*44/12</f>
        <v>23.593226091663066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93.75768018772294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-6.8212102632969618E-13</v>
      </c>
      <c r="AJ136" s="13">
        <f>AI136*VLOOKUP('Données projet'!$B$10,Paramètres!$A$1:$I$89,3,0)*VLOOKUP('Données projet'!$B$10,Paramètres!$A$1:$I$89,5,0)</f>
        <v>-4.0790837374515837E-13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228.36873053496748</v>
      </c>
      <c r="AO136" s="59">
        <f t="shared" si="144"/>
        <v>177.73676400313303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47.037572794152318</v>
      </c>
      <c r="AV136" s="21">
        <f>EXP(-LN(2)/25)*AV135+(1-EXP(-LN(2)/25))/(LN(2)/25)*Calculateur!AQ136*Calculateur!AS136*VLOOKUP('Données projet'!$B$10,Paramètres!$A$1:$I$89,3,0)*0.475*44/12</f>
        <v>15.225224482732221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62.262797276884541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434.51928000000072</v>
      </c>
      <c r="BF136" s="13">
        <f t="shared" si="145"/>
        <v>98.740850242411952</v>
      </c>
      <c r="BG136" s="20">
        <f t="shared" si="115"/>
        <v>928.76139350553524</v>
      </c>
      <c r="BH136" s="59">
        <f t="shared" si="116"/>
        <v>1222.0947268388686</v>
      </c>
      <c r="BI136" s="59">
        <f ca="1">AVERAGE(OFFSET($BH$3,0,0,'Données projet'!$E$11+1,1))-AVERAGE(OFFSET($H$3,0,0,'Données projet'!$E$11+1,1))</f>
        <v>534.59150243554586</v>
      </c>
      <c r="BJ136" s="59">
        <f t="shared" si="146"/>
        <v>259.04458689606491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60.22958302138597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60.22958302138597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2.8421709430404007E-14</v>
      </c>
      <c r="BZ136" s="13">
        <f>BY136*VLOOKUP('Données projet'!$B$12,Paramètres!$A$1:$I$89,3,0)*VLOOKUP('Données projet'!$B$12,Paramètres!$A$1:$I$89,5,0)</f>
        <v>2.4829205358400945E-14</v>
      </c>
      <c r="CA136" s="13">
        <f t="shared" si="147"/>
        <v>4.3867331143352915E-13</v>
      </c>
      <c r="CB136" s="20">
        <f t="shared" si="118"/>
        <v>8.0726688341261168E-13</v>
      </c>
      <c r="CC136" s="59">
        <f t="shared" si="119"/>
        <v>293.33333333333411</v>
      </c>
      <c r="CD136" s="59">
        <f ca="1">AVERAGE(OFFSET($CC$3,0,0,'Données projet'!$E$12+1,1))-AVERAGE(OFFSET($H$3,0,0,'Données projet'!$E$12+1,1))</f>
        <v>211.91720528436969</v>
      </c>
      <c r="CE136" s="59">
        <f t="shared" si="148"/>
        <v>218.88548486038957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27.125983994019144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27.125983994019144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8.0699999999999985</v>
      </c>
      <c r="CT136" s="12">
        <f>IF('Données projet'!$A$140&gt;35,CT135+CS136-DB135,IF(A136&lt;'Données projet'!$A$140,$CQ$205^A136,IF(A136='Données projet'!$A$140,'Données projet'!$B$140,CT135+CS136-DB135)))</f>
        <v>428.52000000000066</v>
      </c>
      <c r="CU136" s="17">
        <f>CT136*VLOOKUP('Données projet'!$B$13,Paramètres!$A$1:$I$89,3,0)*VLOOKUP('Données projet'!$B$13,Paramètres!$A$1:$I$89,5,0)</f>
        <v>387.72489600000057</v>
      </c>
      <c r="CV136" s="13">
        <f t="shared" si="149"/>
        <v>89.283579978484866</v>
      </c>
      <c r="CW136" s="20">
        <f t="shared" si="121"/>
        <v>830.78976232919547</v>
      </c>
      <c r="CX136" s="59">
        <f t="shared" si="122"/>
        <v>1124.1230956625288</v>
      </c>
      <c r="CY136" s="59">
        <f ca="1">AVERAGE(OFFSET($CX$3,0,0,'Données projet'!$E$13+1,1))-AVERAGE(OFFSET($H$3,0,0,'Données projet'!$E$13+1,1))</f>
        <v>469.97161976912071</v>
      </c>
      <c r="CZ136" s="59">
        <f t="shared" si="150"/>
        <v>231.65013084759306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53.743320234467475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53.743320234467475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8.0699999999999985</v>
      </c>
      <c r="DO136" s="12">
        <f>IF('Données projet'!$A$166&gt;35,DO135+DN136-DW135,IF(A136&lt;'Données projet'!$A$166,$DL$205^A136,IF(A136='Données projet'!$A$166,'Données projet'!$B$166,DO135+DN136-DW135)))</f>
        <v>428.52000000000066</v>
      </c>
      <c r="DP136" s="17">
        <f>DO136*VLOOKUP('Données projet'!$B$14,Paramètres!$A$1:$I$89,3,0)*VLOOKUP('Données projet'!$B$14,Paramètres!$A$1:$I$89,5,0)</f>
        <v>414.46454400000067</v>
      </c>
      <c r="DQ136" s="13">
        <f t="shared" si="151"/>
        <v>94.703039395025982</v>
      </c>
      <c r="DR136" s="20">
        <f t="shared" si="124"/>
        <v>886.80020774633806</v>
      </c>
      <c r="DS136" s="59">
        <f t="shared" si="125"/>
        <v>1180.1335410796714</v>
      </c>
      <c r="DT136" s="59">
        <f ca="1">AVERAGE(OFFSET($DS$3,0,0,'Données projet'!$E$14+1,1))-AVERAGE(OFFSET($H$3,0,0,'Données projet'!$E$14+1,1))</f>
        <v>506.9153247310901</v>
      </c>
      <c r="DU136" s="59">
        <f t="shared" si="152"/>
        <v>247.31254626788319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57.449756112706616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57.449756112706616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193.8828274189392</v>
      </c>
      <c r="T137" s="59">
        <f t="shared" si="142"/>
        <v>179.13381331066427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68.78857194732737</v>
      </c>
      <c r="AA137" s="21">
        <f>EXP(-LN(2)/25)*AA136+(1-EXP(-LN(2)/25))/(LN(2)/25)*Calculateur!V137*Calculateur!X137*VLOOKUP('Données projet'!$B$9,Paramètres!$A$1:$I$89,3,0)*0.475*44/12</f>
        <v>22.948068083472702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91.736640030800075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-6.8212102632969618E-13</v>
      </c>
      <c r="AJ137" s="13">
        <f>AI137*VLOOKUP('Données projet'!$B$10,Paramètres!$A$1:$I$89,3,0)*VLOOKUP('Données projet'!$B$10,Paramètres!$A$1:$I$89,5,0)</f>
        <v>-4.0790837374515837E-13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228.36873053496748</v>
      </c>
      <c r="AO137" s="59">
        <f t="shared" si="144"/>
        <v>177.73676400313303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46.115194681745486</v>
      </c>
      <c r="AV137" s="21">
        <f>EXP(-LN(2)/25)*AV136+(1-EXP(-LN(2)/25))/(LN(2)/25)*Calculateur!AQ137*Calculateur!AS137*VLOOKUP('Données projet'!$B$10,Paramètres!$A$1:$I$89,3,0)*0.475*44/12</f>
        <v>14.808889918592151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60.924084600337636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442.70226000000071</v>
      </c>
      <c r="BF137" s="13">
        <f t="shared" si="145"/>
        <v>100.38212787430139</v>
      </c>
      <c r="BG137" s="20">
        <f t="shared" si="115"/>
        <v>945.87197554774275</v>
      </c>
      <c r="BH137" s="59">
        <f t="shared" si="116"/>
        <v>1239.205308881076</v>
      </c>
      <c r="BI137" s="59">
        <f ca="1">AVERAGE(OFFSET($BH$3,0,0,'Données projet'!$E$11+1,1))-AVERAGE(OFFSET($H$3,0,0,'Données projet'!$E$11+1,1))</f>
        <v>534.59150243554586</v>
      </c>
      <c r="BJ137" s="59">
        <f t="shared" si="146"/>
        <v>259.04458689606491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74.940294850078871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74.940294850078871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2.8421709430404007E-14</v>
      </c>
      <c r="BZ137" s="13">
        <f>BY137*VLOOKUP('Données projet'!$B$12,Paramètres!$A$1:$I$89,3,0)*VLOOKUP('Données projet'!$B$12,Paramètres!$A$1:$I$89,5,0)</f>
        <v>2.4829205358400945E-14</v>
      </c>
      <c r="CA137" s="13">
        <f t="shared" si="147"/>
        <v>4.3867331143352915E-13</v>
      </c>
      <c r="CB137" s="20">
        <f t="shared" si="118"/>
        <v>8.0726688341261168E-13</v>
      </c>
      <c r="CC137" s="59">
        <f t="shared" si="119"/>
        <v>293.33333333333411</v>
      </c>
      <c r="CD137" s="59">
        <f ca="1">AVERAGE(OFFSET($CC$3,0,0,'Données projet'!$E$12+1,1))-AVERAGE(OFFSET($H$3,0,0,'Données projet'!$E$12+1,1))</f>
        <v>211.91720528436969</v>
      </c>
      <c r="CE137" s="59">
        <f t="shared" si="148"/>
        <v>218.88548486038957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26.59405999311296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26.59405999311296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436.59</v>
      </c>
      <c r="CR137" s="12">
        <f>VLOOKUP(A137,'Données projet'!$A$139:$I$159,9,0)</f>
        <v>8.0699999999999985</v>
      </c>
      <c r="CS137" s="12">
        <f t="array" ref="CS137">INDEX(CR:CR,MIN(IF(ISNUMBER(CR137:CR333),ROW(CR137:CR333),"")))</f>
        <v>8.0699999999999985</v>
      </c>
      <c r="CT137" s="12">
        <f>IF('Données projet'!$A$140&gt;35,CT136+CS137-DB136,IF(A137&lt;'Données projet'!$A$140,$CQ$205^A137,IF(A137='Données projet'!$A$140,'Données projet'!$B$140,CT136+CS137-DB136)))</f>
        <v>436.59000000000066</v>
      </c>
      <c r="CU137" s="17">
        <f>CT137*VLOOKUP('Données projet'!$B$13,Paramètres!$A$1:$I$89,3,0)*VLOOKUP('Données projet'!$B$13,Paramètres!$A$1:$I$89,5,0)</f>
        <v>395.02663200000057</v>
      </c>
      <c r="CV137" s="13">
        <f t="shared" si="149"/>
        <v>90.767658172605465</v>
      </c>
      <c r="CW137" s="20">
        <f t="shared" si="121"/>
        <v>846.09172205062214</v>
      </c>
      <c r="CX137" s="59">
        <f t="shared" si="122"/>
        <v>1139.4250553839554</v>
      </c>
      <c r="CY137" s="59">
        <f ca="1">AVERAGE(OFFSET($CX$3,0,0,'Données projet'!$E$13+1,1))-AVERAGE(OFFSET($H$3,0,0,'Données projet'!$E$13+1,1))</f>
        <v>469.97161976912071</v>
      </c>
      <c r="CZ137" s="59">
        <f t="shared" si="150"/>
        <v>231.65013084759306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0.25800000000000001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66.869801558531918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66.869801558531918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>
        <f>VLOOKUP(A137,'Données projet'!$A$165:$I$185,2,0)</f>
        <v>436.59</v>
      </c>
      <c r="DM137" s="12">
        <f>VLOOKUP(A137,'Données projet'!$A$165:$I$185,9,0)</f>
        <v>8.0699999999999985</v>
      </c>
      <c r="DN137" s="12">
        <f t="array" ref="DN137">INDEX(DM:DM,MIN(IF(ISNUMBER(DM137:DM333),ROW(DM137:DM333),"")))</f>
        <v>8.0699999999999985</v>
      </c>
      <c r="DO137" s="12">
        <f>IF('Données projet'!$A$166&gt;35,DO136+DN137-DW136,IF(A137&lt;'Données projet'!$A$166,$DL$205^A137,IF(A137='Données projet'!$A$166,'Données projet'!$B$166,DO136+DN137-DW136)))</f>
        <v>436.59000000000066</v>
      </c>
      <c r="DP137" s="17">
        <f>DO137*VLOOKUP('Données projet'!$B$14,Paramètres!$A$1:$I$89,3,0)*VLOOKUP('Données projet'!$B$14,Paramètres!$A$1:$I$89,5,0)</f>
        <v>422.26984800000071</v>
      </c>
      <c r="DQ137" s="13">
        <f t="shared" si="151"/>
        <v>96.277200239796969</v>
      </c>
      <c r="DR137" s="20">
        <f t="shared" si="124"/>
        <v>903.13610901764775</v>
      </c>
      <c r="DS137" s="59">
        <f t="shared" si="125"/>
        <v>1196.4694423509811</v>
      </c>
      <c r="DT137" s="59">
        <f ca="1">AVERAGE(OFFSET($DS$3,0,0,'Données projet'!$E$14+1,1))-AVERAGE(OFFSET($H$3,0,0,'Données projet'!$E$14+1,1))</f>
        <v>506.9153247310901</v>
      </c>
      <c r="DU137" s="59">
        <f t="shared" si="152"/>
        <v>247.31254626788319</v>
      </c>
      <c r="DV137" s="15">
        <f>IF(ISNA(VLOOKUP(A137,'Données projet'!$A$165:$I$185,3,0)),0,VLOOKUP(A137,'Données projet'!$A$165:$I$185,3,0))</f>
        <v>11</v>
      </c>
      <c r="DW137" s="15">
        <f>IF(ISNA(VLOOKUP(A137,'Données projet'!$A$165:$I$185,4,0)),0,VLOOKUP(A137,'Données projet'!$A$165:$I$185,4,0))</f>
        <v>54.95</v>
      </c>
      <c r="DX137" s="16">
        <f>IF(ISNA(VLOOKUP(A137,'Données projet'!$A$165:$I$185,5,0)),0%,VLOOKUP(A137,'Données projet'!$A$165:$I$185,5,0)*VLOOKUP('Données projet'!$B$14,Paramètres!$A$1:$I$89,7,0))</f>
        <v>0.25800000000000001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71.481512010844469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71.481512010844469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193.8828274189392</v>
      </c>
      <c r="T138" s="59">
        <f t="shared" si="142"/>
        <v>179.13381331066427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67.439670008326274</v>
      </c>
      <c r="AA138" s="21">
        <f>EXP(-LN(2)/25)*AA137+(1-EXP(-LN(2)/25))/(LN(2)/25)*Calculateur!V138*Calculateur!X138*VLOOKUP('Données projet'!$B$9,Paramètres!$A$1:$I$89,3,0)*0.475*44/12</f>
        <v>22.320551954943689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89.76022196326997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-6.8212102632969618E-13</v>
      </c>
      <c r="AJ138" s="13">
        <f>AI138*VLOOKUP('Données projet'!$B$10,Paramètres!$A$1:$I$89,3,0)*VLOOKUP('Données projet'!$B$10,Paramètres!$A$1:$I$89,5,0)</f>
        <v>-4.0790837374515837E-13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228.36873053496748</v>
      </c>
      <c r="AO138" s="59">
        <f t="shared" si="144"/>
        <v>177.73676400313303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45.210903841527852</v>
      </c>
      <c r="AV138" s="21">
        <f>EXP(-LN(2)/25)*AV137+(1-EXP(-LN(2)/25))/(LN(2)/25)*Calculateur!AQ138*Calculateur!AS138*VLOOKUP('Données projet'!$B$10,Paramètres!$A$1:$I$89,3,0)*0.475*44/12</f>
        <v>14.403940045002573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59.614843886530423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395.2561860000007</v>
      </c>
      <c r="BF138" s="13">
        <f t="shared" si="145"/>
        <v>90.814262971847356</v>
      </c>
      <c r="BG138" s="20">
        <f t="shared" si="115"/>
        <v>846.57269862596866</v>
      </c>
      <c r="BH138" s="59">
        <f t="shared" si="116"/>
        <v>1139.906031959302</v>
      </c>
      <c r="BI138" s="59">
        <f ca="1">AVERAGE(OFFSET($BH$3,0,0,'Données projet'!$E$11+1,1))-AVERAGE(OFFSET($H$3,0,0,'Données projet'!$E$11+1,1))</f>
        <v>534.59150243554586</v>
      </c>
      <c r="BJ138" s="59">
        <f t="shared" si="146"/>
        <v>259.04458689606491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73.47076137713529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73.47076137713529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2.8421709430404007E-14</v>
      </c>
      <c r="BZ138" s="13">
        <f>BY138*VLOOKUP('Données projet'!$B$12,Paramètres!$A$1:$I$89,3,0)*VLOOKUP('Données projet'!$B$12,Paramètres!$A$1:$I$89,5,0)</f>
        <v>2.4829205358400945E-14</v>
      </c>
      <c r="CA138" s="13">
        <f t="shared" si="147"/>
        <v>4.3867331143352915E-13</v>
      </c>
      <c r="CB138" s="20">
        <f t="shared" si="118"/>
        <v>8.0726688341261168E-13</v>
      </c>
      <c r="CC138" s="59">
        <f t="shared" si="119"/>
        <v>293.33333333333411</v>
      </c>
      <c r="CD138" s="59">
        <f ca="1">AVERAGE(OFFSET($CC$3,0,0,'Données projet'!$E$12+1,1))-AVERAGE(OFFSET($H$3,0,0,'Données projet'!$E$12+1,1))</f>
        <v>211.91720528436969</v>
      </c>
      <c r="CE138" s="59">
        <f t="shared" si="148"/>
        <v>218.88548486038957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26.072566697422943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26.072566697422943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8.1590000000000025</v>
      </c>
      <c r="CT138" s="12">
        <f>IF('Données projet'!$A$140&gt;35,CT137+CS138-DB137,IF(A138&lt;'Données projet'!$A$140,$CQ$205^A138,IF(A138='Données projet'!$A$140,'Données projet'!$B$140,CT137+CS138-DB137)))</f>
        <v>389.79900000000066</v>
      </c>
      <c r="CU138" s="17">
        <f>CT138*VLOOKUP('Données projet'!$B$13,Paramètres!$A$1:$I$89,3,0)*VLOOKUP('Données projet'!$B$13,Paramètres!$A$1:$I$89,5,0)</f>
        <v>352.69013520000055</v>
      </c>
      <c r="CV138" s="13">
        <f t="shared" si="149"/>
        <v>82.116190931394016</v>
      </c>
      <c r="CW138" s="20">
        <f t="shared" si="121"/>
        <v>757.28768467884549</v>
      </c>
      <c r="CX138" s="59">
        <f t="shared" si="122"/>
        <v>1050.6210180121789</v>
      </c>
      <c r="CY138" s="59">
        <f ca="1">AVERAGE(OFFSET($CX$3,0,0,'Données projet'!$E$13+1,1))-AVERAGE(OFFSET($H$3,0,0,'Données projet'!$E$13+1,1))</f>
        <v>469.97161976912071</v>
      </c>
      <c r="CZ138" s="59">
        <f t="shared" si="150"/>
        <v>231.65013084759306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65.558525536520719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65.558525536520719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8.1590000000000025</v>
      </c>
      <c r="DO138" s="12">
        <f>IF('Données projet'!$A$166&gt;35,DO137+DN138-DW137,IF(A138&lt;'Données projet'!$A$166,$DL$205^A138,IF(A138='Données projet'!$A$166,'Données projet'!$B$166,DO137+DN138-DW137)))</f>
        <v>389.79900000000066</v>
      </c>
      <c r="DP138" s="17">
        <f>DO138*VLOOKUP('Données projet'!$B$14,Paramètres!$A$1:$I$89,3,0)*VLOOKUP('Données projet'!$B$14,Paramètres!$A$1:$I$89,5,0)</f>
        <v>377.01359280000065</v>
      </c>
      <c r="DQ138" s="13">
        <f t="shared" si="151"/>
        <v>87.100594158738531</v>
      </c>
      <c r="DR138" s="20">
        <f t="shared" si="124"/>
        <v>808.33220895313741</v>
      </c>
      <c r="DS138" s="59">
        <f t="shared" si="125"/>
        <v>1101.6655422864708</v>
      </c>
      <c r="DT138" s="59">
        <f ca="1">AVERAGE(OFFSET($DS$3,0,0,'Données projet'!$E$14+1,1))-AVERAGE(OFFSET($H$3,0,0,'Données projet'!$E$14+1,1))</f>
        <v>506.9153247310901</v>
      </c>
      <c r="DU138" s="59">
        <f t="shared" si="152"/>
        <v>247.31254626788319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70.079803159729053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70.079803159729053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193.8828274189392</v>
      </c>
      <c r="T139" s="59">
        <f t="shared" si="142"/>
        <v>179.13381331066427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66.117219213600038</v>
      </c>
      <c r="AA139" s="21">
        <f>EXP(-LN(2)/25)*AA138+(1-EXP(-LN(2)/25))/(LN(2)/25)*Calculateur!V139*Calculateur!X139*VLOOKUP('Données projet'!$B$9,Paramètres!$A$1:$I$89,3,0)*0.475*44/12</f>
        <v>21.710195287948942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87.827414501548986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-6.8212102632969618E-13</v>
      </c>
      <c r="AJ139" s="13">
        <f>AI139*VLOOKUP('Données projet'!$B$10,Paramètres!$A$1:$I$89,3,0)*VLOOKUP('Données projet'!$B$10,Paramètres!$A$1:$I$89,5,0)</f>
        <v>-4.0790837374515837E-13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228.36873053496748</v>
      </c>
      <c r="AO139" s="59">
        <f t="shared" si="144"/>
        <v>177.73676400313303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44.324345593123937</v>
      </c>
      <c r="AV139" s="21">
        <f>EXP(-LN(2)/25)*AV138+(1-EXP(-LN(2)/25))/(LN(2)/25)*Calculateur!AQ139*Calculateur!AS139*VLOOKUP('Données projet'!$B$10,Paramètres!$A$1:$I$89,3,0)*0.475*44/12</f>
        <v>14.010063547001691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58.334409140125629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403.52941200000066</v>
      </c>
      <c r="BF139" s="13">
        <f t="shared" si="145"/>
        <v>92.491833093116057</v>
      </c>
      <c r="BG139" s="20">
        <f t="shared" si="115"/>
        <v>863.90366853717831</v>
      </c>
      <c r="BH139" s="59">
        <f t="shared" si="116"/>
        <v>1157.2370018705117</v>
      </c>
      <c r="BI139" s="59">
        <f ca="1">AVERAGE(OFFSET($BH$3,0,0,'Données projet'!$E$11+1,1))-AVERAGE(OFFSET($H$3,0,0,'Données projet'!$E$11+1,1))</f>
        <v>534.59150243554586</v>
      </c>
      <c r="BJ139" s="59">
        <f t="shared" si="146"/>
        <v>259.04458689606491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72.030044559269214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72.030044559269214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2.8421709430404007E-14</v>
      </c>
      <c r="BZ139" s="13">
        <f>BY139*VLOOKUP('Données projet'!$B$12,Paramètres!$A$1:$I$89,3,0)*VLOOKUP('Données projet'!$B$12,Paramètres!$A$1:$I$89,5,0)</f>
        <v>2.4829205358400945E-14</v>
      </c>
      <c r="CA139" s="13">
        <f t="shared" si="147"/>
        <v>4.3867331143352915E-13</v>
      </c>
      <c r="CB139" s="20">
        <f t="shared" si="118"/>
        <v>8.0726688341261168E-13</v>
      </c>
      <c r="CC139" s="59">
        <f t="shared" si="119"/>
        <v>293.33333333333411</v>
      </c>
      <c r="CD139" s="59">
        <f ca="1">AVERAGE(OFFSET($CC$3,0,0,'Données projet'!$E$12+1,1))-AVERAGE(OFFSET($H$3,0,0,'Données projet'!$E$12+1,1))</f>
        <v>211.91720528436969</v>
      </c>
      <c r="CE139" s="59">
        <f t="shared" si="148"/>
        <v>218.88548486038957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25.561299567181905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25.561299567181905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8.1590000000000025</v>
      </c>
      <c r="CT139" s="12">
        <f>IF('Données projet'!$A$140&gt;35,CT138+CS139-DB138,IF(A139&lt;'Données projet'!$A$140,$CQ$205^A139,IF(A139='Données projet'!$A$140,'Données projet'!$B$140,CT138+CS139-DB138)))</f>
        <v>397.95800000000065</v>
      </c>
      <c r="CU139" s="17">
        <f>CT139*VLOOKUP('Données projet'!$B$13,Paramètres!$A$1:$I$89,3,0)*VLOOKUP('Données projet'!$B$13,Paramètres!$A$1:$I$89,5,0)</f>
        <v>360.07239840000057</v>
      </c>
      <c r="CV139" s="13">
        <f t="shared" si="149"/>
        <v>83.633085567444908</v>
      </c>
      <c r="CW139" s="20">
        <f t="shared" si="121"/>
        <v>772.78705124330099</v>
      </c>
      <c r="CX139" s="59">
        <f t="shared" si="122"/>
        <v>1066.1203845766343</v>
      </c>
      <c r="CY139" s="59">
        <f ca="1">AVERAGE(OFFSET($CX$3,0,0,'Données projet'!$E$13+1,1))-AVERAGE(OFFSET($H$3,0,0,'Données projet'!$E$13+1,1))</f>
        <v>469.97161976912071</v>
      </c>
      <c r="CZ139" s="59">
        <f t="shared" si="150"/>
        <v>231.65013084759306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64.272962837501765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64.272962837501765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8.1590000000000025</v>
      </c>
      <c r="DO139" s="12">
        <f>IF('Données projet'!$A$166&gt;35,DO138+DN139-DW138,IF(A139&lt;'Données projet'!$A$166,$DL$205^A139,IF(A139='Données projet'!$A$166,'Données projet'!$B$166,DO138+DN139-DW138)))</f>
        <v>397.95800000000065</v>
      </c>
      <c r="DP139" s="17">
        <f>DO139*VLOOKUP('Données projet'!$B$14,Paramètres!$A$1:$I$89,3,0)*VLOOKUP('Données projet'!$B$14,Paramètres!$A$1:$I$89,5,0)</f>
        <v>384.90497760000062</v>
      </c>
      <c r="DQ139" s="13">
        <f t="shared" si="151"/>
        <v>88.709563383658136</v>
      </c>
      <c r="DR139" s="20">
        <f t="shared" si="124"/>
        <v>824.87865887987221</v>
      </c>
      <c r="DS139" s="59">
        <f t="shared" si="125"/>
        <v>1118.2119922132056</v>
      </c>
      <c r="DT139" s="59">
        <f ca="1">AVERAGE(OFFSET($DS$3,0,0,'Données projet'!$E$14+1,1))-AVERAGE(OFFSET($H$3,0,0,'Données projet'!$E$14+1,1))</f>
        <v>506.9153247310901</v>
      </c>
      <c r="DU139" s="59">
        <f t="shared" si="152"/>
        <v>247.31254626788319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68.70558096422603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68.70558096422603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193.8828274189392</v>
      </c>
      <c r="T140" s="59">
        <f t="shared" si="142"/>
        <v>179.13381331066427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64.820700872343053</v>
      </c>
      <c r="AA140" s="21">
        <f>EXP(-LN(2)/25)*AA139+(1-EXP(-LN(2)/25))/(LN(2)/25)*Calculateur!V140*Calculateur!X140*VLOOKUP('Données projet'!$B$9,Paramètres!$A$1:$I$89,3,0)*0.475*44/12</f>
        <v>21.116528856110428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85.937229728453474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-6.8212102632969618E-13</v>
      </c>
      <c r="AJ140" s="13">
        <f>AI140*VLOOKUP('Données projet'!$B$10,Paramètres!$A$1:$I$89,3,0)*VLOOKUP('Données projet'!$B$10,Paramètres!$A$1:$I$89,5,0)</f>
        <v>-4.0790837374515837E-13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228.36873053496748</v>
      </c>
      <c r="AO140" s="59">
        <f t="shared" si="144"/>
        <v>177.73676400313303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43.455172211224088</v>
      </c>
      <c r="AV140" s="21">
        <f>EXP(-LN(2)/25)*AV139+(1-EXP(-LN(2)/25))/(LN(2)/25)*Calculateur!AQ140*Calculateur!AS140*VLOOKUP('Données projet'!$B$10,Paramètres!$A$1:$I$89,3,0)*0.475*44/12</f>
        <v>13.626957622551709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57.082129833775795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411.80263800000068</v>
      </c>
      <c r="BF140" s="13">
        <f t="shared" si="145"/>
        <v>94.165404251164176</v>
      </c>
      <c r="BG140" s="20">
        <f t="shared" si="115"/>
        <v>881.22767358744534</v>
      </c>
      <c r="BH140" s="59">
        <f t="shared" si="116"/>
        <v>1174.5610069207787</v>
      </c>
      <c r="BI140" s="59">
        <f ca="1">AVERAGE(OFFSET($BH$3,0,0,'Données projet'!$E$11+1,1))-AVERAGE(OFFSET($H$3,0,0,'Données projet'!$E$11+1,1))</f>
        <v>534.59150243554586</v>
      </c>
      <c r="BJ140" s="59">
        <f t="shared" si="146"/>
        <v>259.04458689606491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70.617579319451011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70.617579319451011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2.8421709430404007E-14</v>
      </c>
      <c r="BZ140" s="13">
        <f>BY140*VLOOKUP('Données projet'!$B$12,Paramètres!$A$1:$I$89,3,0)*VLOOKUP('Données projet'!$B$12,Paramètres!$A$1:$I$89,5,0)</f>
        <v>2.4829205358400945E-14</v>
      </c>
      <c r="CA140" s="13">
        <f t="shared" si="147"/>
        <v>4.3867331143352915E-13</v>
      </c>
      <c r="CB140" s="20">
        <f t="shared" si="118"/>
        <v>8.0726688341261168E-13</v>
      </c>
      <c r="CC140" s="59">
        <f t="shared" si="119"/>
        <v>293.33333333333411</v>
      </c>
      <c r="CD140" s="59">
        <f ca="1">AVERAGE(OFFSET($CC$3,0,0,'Données projet'!$E$12+1,1))-AVERAGE(OFFSET($H$3,0,0,'Données projet'!$E$12+1,1))</f>
        <v>211.91720528436969</v>
      </c>
      <c r="CE140" s="59">
        <f t="shared" si="148"/>
        <v>218.88548486038957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25.060058073522736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25.060058073522736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8.1590000000000025</v>
      </c>
      <c r="CT140" s="12">
        <f>IF('Données projet'!$A$140&gt;35,CT139+CS140-DB139,IF(A140&lt;'Données projet'!$A$140,$CQ$205^A140,IF(A140='Données projet'!$A$140,'Données projet'!$B$140,CT139+CS140-DB139)))</f>
        <v>406.11700000000064</v>
      </c>
      <c r="CU140" s="17">
        <f>CT140*VLOOKUP('Données projet'!$B$13,Paramètres!$A$1:$I$89,3,0)*VLOOKUP('Données projet'!$B$13,Paramètres!$A$1:$I$89,5,0)</f>
        <v>367.45466160000058</v>
      </c>
      <c r="CV140" s="13">
        <f t="shared" si="149"/>
        <v>85.146364255773364</v>
      </c>
      <c r="CW140" s="20">
        <f t="shared" si="121"/>
        <v>788.28012003213962</v>
      </c>
      <c r="CX140" s="59">
        <f t="shared" si="122"/>
        <v>1081.6134533654729</v>
      </c>
      <c r="CY140" s="59">
        <f ca="1">AVERAGE(OFFSET($CX$3,0,0,'Données projet'!$E$13+1,1))-AVERAGE(OFFSET($H$3,0,0,'Données projet'!$E$13+1,1))</f>
        <v>469.97161976912071</v>
      </c>
      <c r="CZ140" s="59">
        <f t="shared" si="150"/>
        <v>231.65013084759306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63.012609238894747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63.012609238894747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8.1590000000000025</v>
      </c>
      <c r="DO140" s="12">
        <f>IF('Données projet'!$A$166&gt;35,DO139+DN140-DW139,IF(A140&lt;'Données projet'!$A$166,$DL$205^A140,IF(A140='Données projet'!$A$166,'Données projet'!$B$166,DO139+DN140-DW139)))</f>
        <v>406.11700000000064</v>
      </c>
      <c r="DP140" s="17">
        <f>DO140*VLOOKUP('Données projet'!$B$14,Paramètres!$A$1:$I$89,3,0)*VLOOKUP('Données projet'!$B$14,Paramètres!$A$1:$I$89,5,0)</f>
        <v>392.79636240000065</v>
      </c>
      <c r="DQ140" s="13">
        <f t="shared" si="151"/>
        <v>90.314697175011091</v>
      </c>
      <c r="DR140" s="20">
        <f t="shared" si="124"/>
        <v>841.41842875981195</v>
      </c>
      <c r="DS140" s="59">
        <f t="shared" si="125"/>
        <v>1134.7517620931453</v>
      </c>
      <c r="DT140" s="59">
        <f ca="1">AVERAGE(OFFSET($DS$3,0,0,'Données projet'!$E$14+1,1))-AVERAGE(OFFSET($H$3,0,0,'Données projet'!$E$14+1,1))</f>
        <v>506.9153247310901</v>
      </c>
      <c r="DU140" s="59">
        <f t="shared" si="152"/>
        <v>247.31254626788319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67.358306427784044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67.358306427784044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193.8828274189392</v>
      </c>
      <c r="T141" s="59">
        <f t="shared" si="142"/>
        <v>179.13381331066427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63.549606464960014</v>
      </c>
      <c r="AA141" s="21">
        <f>EXP(-LN(2)/25)*AA140+(1-EXP(-LN(2)/25))/(LN(2)/25)*Calculateur!V141*Calculateur!X141*VLOOKUP('Données projet'!$B$9,Paramètres!$A$1:$I$89,3,0)*0.475*44/12</f>
        <v>20.539096264070096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84.088702729030103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-6.8212102632969618E-13</v>
      </c>
      <c r="AJ141" s="13">
        <f>AI141*VLOOKUP('Données projet'!$B$10,Paramètres!$A$1:$I$89,3,0)*VLOOKUP('Données projet'!$B$10,Paramètres!$A$1:$I$89,5,0)</f>
        <v>-4.0790837374515837E-13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228.36873053496748</v>
      </c>
      <c r="AO141" s="59">
        <f t="shared" si="144"/>
        <v>177.73676400313303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42.603042789199876</v>
      </c>
      <c r="AV141" s="21">
        <f>EXP(-LN(2)/25)*AV140+(1-EXP(-LN(2)/25))/(LN(2)/25)*Calculateur!AQ141*Calculateur!AS141*VLOOKUP('Données projet'!$B$10,Paramètres!$A$1:$I$89,3,0)*0.475*44/12</f>
        <v>13.254327749752475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55.857370538952352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420.07586400000065</v>
      </c>
      <c r="BF141" s="13">
        <f t="shared" si="145"/>
        <v>95.835066045220003</v>
      </c>
      <c r="BG141" s="20">
        <f t="shared" si="115"/>
        <v>898.54486982875926</v>
      </c>
      <c r="BH141" s="59">
        <f t="shared" si="116"/>
        <v>1191.8782031620926</v>
      </c>
      <c r="BI141" s="59">
        <f ca="1">AVERAGE(OFFSET($BH$3,0,0,'Données projet'!$E$11+1,1))-AVERAGE(OFFSET($H$3,0,0,'Données projet'!$E$11+1,1))</f>
        <v>534.59150243554586</v>
      </c>
      <c r="BJ141" s="59">
        <f t="shared" si="146"/>
        <v>259.04458689606491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69.232811661466911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69.232811661466911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2.8421709430404007E-14</v>
      </c>
      <c r="BZ141" s="13">
        <f>BY141*VLOOKUP('Données projet'!$B$12,Paramètres!$A$1:$I$89,3,0)*VLOOKUP('Données projet'!$B$12,Paramètres!$A$1:$I$89,5,0)</f>
        <v>2.4829205358400945E-14</v>
      </c>
      <c r="CA141" s="13">
        <f t="shared" si="147"/>
        <v>4.3867331143352915E-13</v>
      </c>
      <c r="CB141" s="20">
        <f t="shared" si="118"/>
        <v>8.0726688341261168E-13</v>
      </c>
      <c r="CC141" s="59">
        <f t="shared" si="119"/>
        <v>293.33333333333411</v>
      </c>
      <c r="CD141" s="59">
        <f ca="1">AVERAGE(OFFSET($CC$3,0,0,'Données projet'!$E$12+1,1))-AVERAGE(OFFSET($H$3,0,0,'Données projet'!$E$12+1,1))</f>
        <v>211.91720528436969</v>
      </c>
      <c r="CE141" s="59">
        <f t="shared" si="148"/>
        <v>218.88548486038957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24.568645619827098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24.568645619827098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8.1590000000000025</v>
      </c>
      <c r="CT141" s="12">
        <f>IF('Données projet'!$A$140&gt;35,CT140+CS141-DB140,IF(A141&lt;'Données projet'!$A$140,$CQ$205^A141,IF(A141='Données projet'!$A$140,'Données projet'!$B$140,CT140+CS141-DB140)))</f>
        <v>414.27600000000064</v>
      </c>
      <c r="CU141" s="17">
        <f>CT141*VLOOKUP('Données projet'!$B$13,Paramètres!$A$1:$I$89,3,0)*VLOOKUP('Données projet'!$B$13,Paramètres!$A$1:$I$89,5,0)</f>
        <v>374.83692480000053</v>
      </c>
      <c r="CV141" s="13">
        <f t="shared" si="149"/>
        <v>86.656108013910185</v>
      </c>
      <c r="CW141" s="20">
        <f t="shared" si="121"/>
        <v>803.76703215089447</v>
      </c>
      <c r="CX141" s="59">
        <f t="shared" si="122"/>
        <v>1097.1003654842277</v>
      </c>
      <c r="CY141" s="59">
        <f ca="1">AVERAGE(OFFSET($CX$3,0,0,'Données projet'!$E$13+1,1))-AVERAGE(OFFSET($H$3,0,0,'Données projet'!$E$13+1,1))</f>
        <v>469.97161976912071</v>
      </c>
      <c r="CZ141" s="59">
        <f t="shared" si="150"/>
        <v>231.65013084759306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61.776970405616623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61.776970405616623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8.1590000000000025</v>
      </c>
      <c r="DO141" s="12">
        <f>IF('Données projet'!$A$166&gt;35,DO140+DN141-DW140,IF(A141&lt;'Données projet'!$A$166,$DL$205^A141,IF(A141='Données projet'!$A$166,'Données projet'!$B$166,DO140+DN141-DW140)))</f>
        <v>414.27600000000064</v>
      </c>
      <c r="DP141" s="17">
        <f>DO141*VLOOKUP('Données projet'!$B$14,Paramètres!$A$1:$I$89,3,0)*VLOOKUP('Données projet'!$B$14,Paramètres!$A$1:$I$89,5,0)</f>
        <v>400.68774720000062</v>
      </c>
      <c r="DQ141" s="13">
        <f t="shared" si="151"/>
        <v>91.916081468043174</v>
      </c>
      <c r="DR141" s="20">
        <f t="shared" si="124"/>
        <v>857.95166826350953</v>
      </c>
      <c r="DS141" s="59">
        <f t="shared" si="125"/>
        <v>1151.2850015968429</v>
      </c>
      <c r="DT141" s="59">
        <f ca="1">AVERAGE(OFFSET($DS$3,0,0,'Données projet'!$E$14+1,1))-AVERAGE(OFFSET($H$3,0,0,'Données projet'!$E$14+1,1))</f>
        <v>506.9153247310901</v>
      </c>
      <c r="DU141" s="59">
        <f t="shared" si="152"/>
        <v>247.31254626788319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66.037451123245361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66.037451123245361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193.8828274189392</v>
      </c>
      <c r="T142" s="59">
        <f t="shared" si="142"/>
        <v>179.13381331066427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62.303437443614719</v>
      </c>
      <c r="AA142" s="21">
        <f>EXP(-LN(2)/25)*AA141+(1-EXP(-LN(2)/25))/(LN(2)/25)*Calculateur!V142*Calculateur!X142*VLOOKUP('Données projet'!$B$9,Paramètres!$A$1:$I$89,3,0)*0.475*44/12</f>
        <v>19.977453596624969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82.28089104023968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-6.8212102632969618E-13</v>
      </c>
      <c r="AJ142" s="13">
        <f>AI142*VLOOKUP('Données projet'!$B$10,Paramètres!$A$1:$I$89,3,0)*VLOOKUP('Données projet'!$B$10,Paramètres!$A$1:$I$89,5,0)</f>
        <v>-4.0790837374515837E-13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228.36873053496748</v>
      </c>
      <c r="AO142" s="59">
        <f t="shared" si="144"/>
        <v>177.73676400313303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41.76762310539393</v>
      </c>
      <c r="AV142" s="21">
        <f>EXP(-LN(2)/25)*AV141+(1-EXP(-LN(2)/25))/(LN(2)/25)*Calculateur!AQ142*Calculateur!AS142*VLOOKUP('Données projet'!$B$10,Paramètres!$A$1:$I$89,3,0)*0.475*44/12</f>
        <v>12.891887460420691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54.659510565814621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428.34909000000067</v>
      </c>
      <c r="BF142" s="13">
        <f t="shared" si="145"/>
        <v>97.500904343422292</v>
      </c>
      <c r="BG142" s="20">
        <f t="shared" si="115"/>
        <v>915.85540681479506</v>
      </c>
      <c r="BH142" s="59">
        <f t="shared" si="116"/>
        <v>1209.1887401481283</v>
      </c>
      <c r="BI142" s="59">
        <f ca="1">AVERAGE(OFFSET($BH$3,0,0,'Données projet'!$E$11+1,1))-AVERAGE(OFFSET($H$3,0,0,'Données projet'!$E$11+1,1))</f>
        <v>534.59150243554586</v>
      </c>
      <c r="BJ142" s="59">
        <f t="shared" si="146"/>
        <v>259.04458689606491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67.875198452631011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67.875198452631011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2.8421709430404007E-14</v>
      </c>
      <c r="BZ142" s="13">
        <f>BY142*VLOOKUP('Données projet'!$B$12,Paramètres!$A$1:$I$89,3,0)*VLOOKUP('Données projet'!$B$12,Paramètres!$A$1:$I$89,5,0)</f>
        <v>2.4829205358400945E-14</v>
      </c>
      <c r="CA142" s="13">
        <f t="shared" si="147"/>
        <v>4.3867331143352915E-13</v>
      </c>
      <c r="CB142" s="20">
        <f t="shared" si="118"/>
        <v>8.0726688341261168E-13</v>
      </c>
      <c r="CC142" s="59">
        <f t="shared" si="119"/>
        <v>293.33333333333411</v>
      </c>
      <c r="CD142" s="59">
        <f ca="1">AVERAGE(OFFSET($CC$3,0,0,'Données projet'!$E$12+1,1))-AVERAGE(OFFSET($H$3,0,0,'Données projet'!$E$12+1,1))</f>
        <v>211.91720528436969</v>
      </c>
      <c r="CE142" s="59">
        <f t="shared" si="148"/>
        <v>218.88548486038957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24.086869464616431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24.086869464616431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8.1590000000000025</v>
      </c>
      <c r="CT142" s="12">
        <f>IF('Données projet'!$A$140&gt;35,CT141+CS142-DB141,IF(A142&lt;'Données projet'!$A$140,$CQ$205^A142,IF(A142='Données projet'!$A$140,'Données projet'!$B$140,CT141+CS142-DB141)))</f>
        <v>422.43500000000063</v>
      </c>
      <c r="CU142" s="17">
        <f>CT142*VLOOKUP('Données projet'!$B$13,Paramètres!$A$1:$I$89,3,0)*VLOOKUP('Données projet'!$B$13,Paramètres!$A$1:$I$89,5,0)</f>
        <v>382.21918800000054</v>
      </c>
      <c r="CV142" s="13">
        <f t="shared" si="149"/>
        <v>88.162394485655341</v>
      </c>
      <c r="CW142" s="20">
        <f t="shared" si="121"/>
        <v>819.24792282918395</v>
      </c>
      <c r="CX142" s="59">
        <f t="shared" si="122"/>
        <v>1112.5812561625173</v>
      </c>
      <c r="CY142" s="59">
        <f ca="1">AVERAGE(OFFSET($CX$3,0,0,'Données projet'!$E$13+1,1))-AVERAGE(OFFSET($H$3,0,0,'Données projet'!$E$13+1,1))</f>
        <v>469.97161976912071</v>
      </c>
      <c r="CZ142" s="59">
        <f t="shared" si="150"/>
        <v>231.65013084759306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60.565561696193818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60.565561696193818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8.1590000000000025</v>
      </c>
      <c r="DO142" s="12">
        <f>IF('Données projet'!$A$166&gt;35,DO141+DN142-DW141,IF(A142&lt;'Données projet'!$A$166,$DL$205^A142,IF(A142='Données projet'!$A$166,'Données projet'!$B$166,DO141+DN142-DW141)))</f>
        <v>422.43500000000063</v>
      </c>
      <c r="DP142" s="17">
        <f>DO142*VLOOKUP('Données projet'!$B$14,Paramètres!$A$1:$I$89,3,0)*VLOOKUP('Données projet'!$B$14,Paramètres!$A$1:$I$89,5,0)</f>
        <v>408.57913200000064</v>
      </c>
      <c r="DQ142" s="13">
        <f t="shared" si="151"/>
        <v>93.513798619486451</v>
      </c>
      <c r="DR142" s="20">
        <f t="shared" si="124"/>
        <v>874.47852082893996</v>
      </c>
      <c r="DS142" s="59">
        <f t="shared" si="125"/>
        <v>1167.8118541622732</v>
      </c>
      <c r="DT142" s="59">
        <f ca="1">AVERAGE(OFFSET($DS$3,0,0,'Données projet'!$E$14+1,1))-AVERAGE(OFFSET($H$3,0,0,'Données projet'!$E$14+1,1))</f>
        <v>506.9153247310901</v>
      </c>
      <c r="DU142" s="59">
        <f t="shared" si="152"/>
        <v>247.31254626788319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64.742496985586499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64.742496985586499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193.8828274189392</v>
      </c>
      <c r="T143" s="59">
        <f t="shared" si="142"/>
        <v>179.13381331066427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61.081705036689954</v>
      </c>
      <c r="AA143" s="21">
        <f>EXP(-LN(2)/25)*AA142+(1-EXP(-LN(2)/25))/(LN(2)/25)*Calculateur!V143*Calculateur!X143*VLOOKUP('Données projet'!$B$9,Paramètres!$A$1:$I$89,3,0)*0.475*44/12</f>
        <v>19.431169077456634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80.512874114146584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-6.8212102632969618E-13</v>
      </c>
      <c r="AJ143" s="13">
        <f>AI143*VLOOKUP('Données projet'!$B$10,Paramètres!$A$1:$I$89,3,0)*VLOOKUP('Données projet'!$B$10,Paramètres!$A$1:$I$89,5,0)</f>
        <v>-4.0790837374515837E-13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228.36873053496748</v>
      </c>
      <c r="AO143" s="59">
        <f t="shared" si="144"/>
        <v>177.73676400313303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40.948585492031732</v>
      </c>
      <c r="AV143" s="21">
        <f>EXP(-LN(2)/25)*AV142+(1-EXP(-LN(2)/25))/(LN(2)/25)*Calculateur!AQ143*Calculateur!AS143*VLOOKUP('Données projet'!$B$10,Paramètres!$A$1:$I$89,3,0)*0.475*44/12</f>
        <v>12.539358119860591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53.487943611892319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436.62231600000064</v>
      </c>
      <c r="BF143" s="13">
        <f t="shared" si="145"/>
        <v>99.163001507201159</v>
      </c>
      <c r="BG143" s="20">
        <f t="shared" si="115"/>
        <v>933.15942799170989</v>
      </c>
      <c r="BH143" s="59">
        <f t="shared" si="116"/>
        <v>1226.4927613250431</v>
      </c>
      <c r="BI143" s="59">
        <f ca="1">AVERAGE(OFFSET($BH$3,0,0,'Données projet'!$E$11+1,1))-AVERAGE(OFFSET($H$3,0,0,'Données projet'!$E$11+1,1))</f>
        <v>534.59150243554586</v>
      </c>
      <c r="BJ143" s="59">
        <f t="shared" si="146"/>
        <v>259.04458689606491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66.544207210758088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66.544207210758088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2.8421709430404007E-14</v>
      </c>
      <c r="BZ143" s="13">
        <f>BY143*VLOOKUP('Données projet'!$B$12,Paramètres!$A$1:$I$89,3,0)*VLOOKUP('Données projet'!$B$12,Paramètres!$A$1:$I$89,5,0)</f>
        <v>2.4829205358400945E-14</v>
      </c>
      <c r="CA143" s="13">
        <f t="shared" si="147"/>
        <v>4.3867331143352915E-13</v>
      </c>
      <c r="CB143" s="20">
        <f t="shared" si="118"/>
        <v>8.0726688341261168E-13</v>
      </c>
      <c r="CC143" s="59">
        <f t="shared" si="119"/>
        <v>293.33333333333411</v>
      </c>
      <c r="CD143" s="59">
        <f ca="1">AVERAGE(OFFSET($CC$3,0,0,'Données projet'!$E$12+1,1))-AVERAGE(OFFSET($H$3,0,0,'Données projet'!$E$12+1,1))</f>
        <v>211.91720528436969</v>
      </c>
      <c r="CE143" s="59">
        <f t="shared" si="148"/>
        <v>218.88548486038957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23.614540645955007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23.614540645955007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8.1590000000000025</v>
      </c>
      <c r="CT143" s="12">
        <f>IF('Données projet'!$A$140&gt;35,CT142+CS143-DB142,IF(A143&lt;'Données projet'!$A$140,$CQ$205^A143,IF(A143='Données projet'!$A$140,'Données projet'!$B$140,CT142+CS143-DB142)))</f>
        <v>430.59400000000062</v>
      </c>
      <c r="CU143" s="17">
        <f>CT143*VLOOKUP('Données projet'!$B$13,Paramètres!$A$1:$I$89,3,0)*VLOOKUP('Données projet'!$B$13,Paramètres!$A$1:$I$89,5,0)</f>
        <v>389.60145120000055</v>
      </c>
      <c r="CV143" s="13">
        <f t="shared" si="149"/>
        <v>89.665298143968485</v>
      </c>
      <c r="CW143" s="20">
        <f t="shared" si="121"/>
        <v>834.72292177407928</v>
      </c>
      <c r="CX143" s="59">
        <f t="shared" si="122"/>
        <v>1128.0562551074127</v>
      </c>
      <c r="CY143" s="59">
        <f ca="1">AVERAGE(OFFSET($CX$3,0,0,'Données projet'!$E$13+1,1))-AVERAGE(OFFSET($H$3,0,0,'Données projet'!$E$13+1,1))</f>
        <v>469.97161976912071</v>
      </c>
      <c r="CZ143" s="59">
        <f t="shared" si="150"/>
        <v>231.65013084759306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59.377907972676439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59.377907972676439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8.1590000000000025</v>
      </c>
      <c r="DO143" s="12">
        <f>IF('Données projet'!$A$166&gt;35,DO142+DN143-DW142,IF(A143&lt;'Données projet'!$A$166,$DL$205^A143,IF(A143='Données projet'!$A$166,'Données projet'!$B$166,DO142+DN143-DW142)))</f>
        <v>430.59400000000062</v>
      </c>
      <c r="DP143" s="17">
        <f>DO143*VLOOKUP('Données projet'!$B$14,Paramètres!$A$1:$I$89,3,0)*VLOOKUP('Données projet'!$B$14,Paramètres!$A$1:$I$89,5,0)</f>
        <v>416.47051680000061</v>
      </c>
      <c r="DQ143" s="13">
        <f t="shared" si="151"/>
        <v>95.107927622763967</v>
      </c>
      <c r="DR143" s="20">
        <f t="shared" si="124"/>
        <v>890.99912403631481</v>
      </c>
      <c r="DS143" s="59">
        <f t="shared" si="125"/>
        <v>1184.3324573696482</v>
      </c>
      <c r="DT143" s="59">
        <f ca="1">AVERAGE(OFFSET($DS$3,0,0,'Données projet'!$E$14+1,1))-AVERAGE(OFFSET($H$3,0,0,'Données projet'!$E$14+1,1))</f>
        <v>506.9153247310901</v>
      </c>
      <c r="DU143" s="59">
        <f t="shared" si="152"/>
        <v>247.31254626788319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63.47293610872309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63.47293610872309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193.8828274189392</v>
      </c>
      <c r="T144" s="59">
        <f t="shared" si="142"/>
        <v>179.13381331066427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59.883930057081798</v>
      </c>
      <c r="AA144" s="21">
        <f>EXP(-LN(2)/25)*AA143+(1-EXP(-LN(2)/25))/(LN(2)/25)*Calculateur!V144*Calculateur!X144*VLOOKUP('Données projet'!$B$9,Paramètres!$A$1:$I$89,3,0)*0.475*44/12</f>
        <v>18.89982273719281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78.783752794274605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-6.8212102632969618E-13</v>
      </c>
      <c r="AJ144" s="13">
        <f>AI144*VLOOKUP('Données projet'!$B$10,Paramètres!$A$1:$I$89,3,0)*VLOOKUP('Données projet'!$B$10,Paramètres!$A$1:$I$89,5,0)</f>
        <v>-4.0790837374515837E-13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228.36873053496748</v>
      </c>
      <c r="AO144" s="59">
        <f t="shared" si="144"/>
        <v>177.73676400313303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40.145608706703946</v>
      </c>
      <c r="AV144" s="21">
        <f>EXP(-LN(2)/25)*AV143+(1-EXP(-LN(2)/25))/(LN(2)/25)*Calculateur!AQ144*Calculateur!AS144*VLOOKUP('Données projet'!$B$10,Paramètres!$A$1:$I$89,3,0)*0.475*44/12</f>
        <v>12.196468712656818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52.342077419360763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444.89554200000066</v>
      </c>
      <c r="BF144" s="13">
        <f t="shared" si="145"/>
        <v>100.82143659817152</v>
      </c>
      <c r="BG144" s="20">
        <f t="shared" si="115"/>
        <v>950.45707105848317</v>
      </c>
      <c r="BH144" s="59">
        <f t="shared" si="116"/>
        <v>1243.7904043918165</v>
      </c>
      <c r="BI144" s="59">
        <f ca="1">AVERAGE(OFFSET($BH$3,0,0,'Données projet'!$E$11+1,1))-AVERAGE(OFFSET($H$3,0,0,'Données projet'!$E$11+1,1))</f>
        <v>534.59150243554586</v>
      </c>
      <c r="BJ144" s="59">
        <f t="shared" si="146"/>
        <v>259.04458689606491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65.239315895313794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65.239315895313794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2.8421709430404007E-14</v>
      </c>
      <c r="BZ144" s="13">
        <f>BY144*VLOOKUP('Données projet'!$B$12,Paramètres!$A$1:$I$89,3,0)*VLOOKUP('Données projet'!$B$12,Paramètres!$A$1:$I$89,5,0)</f>
        <v>2.4829205358400945E-14</v>
      </c>
      <c r="CA144" s="13">
        <f t="shared" si="147"/>
        <v>4.3867331143352915E-13</v>
      </c>
      <c r="CB144" s="20">
        <f t="shared" si="118"/>
        <v>8.0726688341261168E-13</v>
      </c>
      <c r="CC144" s="59">
        <f t="shared" si="119"/>
        <v>293.33333333333411</v>
      </c>
      <c r="CD144" s="59">
        <f ca="1">AVERAGE(OFFSET($CC$3,0,0,'Données projet'!$E$12+1,1))-AVERAGE(OFFSET($H$3,0,0,'Données projet'!$E$12+1,1))</f>
        <v>211.91720528436969</v>
      </c>
      <c r="CE144" s="59">
        <f t="shared" si="148"/>
        <v>218.88548486038957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23.151473907335401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23.151473907335401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8.1590000000000025</v>
      </c>
      <c r="CT144" s="12">
        <f>IF('Données projet'!$A$140&gt;35,CT143+CS144-DB143,IF(A144&lt;'Données projet'!$A$140,$CQ$205^A144,IF(A144='Données projet'!$A$140,'Données projet'!$B$140,CT143+CS144-DB143)))</f>
        <v>438.75300000000061</v>
      </c>
      <c r="CU144" s="17">
        <f>CT144*VLOOKUP('Données projet'!$B$13,Paramètres!$A$1:$I$89,3,0)*VLOOKUP('Données projet'!$B$13,Paramètres!$A$1:$I$89,5,0)</f>
        <v>396.98371440000057</v>
      </c>
      <c r="CV144" s="13">
        <f t="shared" si="149"/>
        <v>91.164890478045521</v>
      </c>
      <c r="CW144" s="20">
        <f t="shared" si="121"/>
        <v>850.19215349593026</v>
      </c>
      <c r="CX144" s="59">
        <f t="shared" si="122"/>
        <v>1143.5254868292636</v>
      </c>
      <c r="CY144" s="59">
        <f ca="1">AVERAGE(OFFSET($CX$3,0,0,'Données projet'!$E$13+1,1))-AVERAGE(OFFSET($H$3,0,0,'Données projet'!$E$13+1,1))</f>
        <v>469.97161976912071</v>
      </c>
      <c r="CZ144" s="59">
        <f t="shared" si="150"/>
        <v>231.65013084759306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58.213543414279989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58.213543414279989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8.1590000000000025</v>
      </c>
      <c r="DO144" s="12">
        <f>IF('Données projet'!$A$166&gt;35,DO143+DN144-DW143,IF(A144&lt;'Données projet'!$A$166,$DL$205^A144,IF(A144='Données projet'!$A$166,'Données projet'!$B$166,DO143+DN144-DW143)))</f>
        <v>438.75300000000061</v>
      </c>
      <c r="DP144" s="17">
        <f>DO144*VLOOKUP('Données projet'!$B$14,Paramètres!$A$1:$I$89,3,0)*VLOOKUP('Données projet'!$B$14,Paramètres!$A$1:$I$89,5,0)</f>
        <v>424.36190160000064</v>
      </c>
      <c r="DQ144" s="13">
        <f t="shared" si="151"/>
        <v>96.698544306422932</v>
      </c>
      <c r="DR144" s="20">
        <f t="shared" si="124"/>
        <v>907.51360995368759</v>
      </c>
      <c r="DS144" s="59">
        <f t="shared" si="125"/>
        <v>1200.8469432870208</v>
      </c>
      <c r="DT144" s="59">
        <f ca="1">AVERAGE(OFFSET($DS$3,0,0,'Données projet'!$E$14+1,1))-AVERAGE(OFFSET($H$3,0,0,'Données projet'!$E$14+1,1))</f>
        <v>506.9153247310901</v>
      </c>
      <c r="DU144" s="59">
        <f t="shared" si="152"/>
        <v>247.31254626788319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62.228270546299299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62.228270546299299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193.8828274189392</v>
      </c>
      <c r="T145" s="59">
        <f t="shared" si="142"/>
        <v>179.13381331066427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58.709642714253157</v>
      </c>
      <c r="AA145" s="21">
        <f>EXP(-LN(2)/25)*AA144+(1-EXP(-LN(2)/25))/(LN(2)/25)*Calculateur!V145*Calculateur!X145*VLOOKUP('Données projet'!$B$9,Paramètres!$A$1:$I$89,3,0)*0.475*44/12</f>
        <v>18.383006090545791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77.092648804798955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-6.8212102632969618E-13</v>
      </c>
      <c r="AJ145" s="13">
        <f>AI145*VLOOKUP('Données projet'!$B$10,Paramètres!$A$1:$I$89,3,0)*VLOOKUP('Données projet'!$B$10,Paramètres!$A$1:$I$89,5,0)</f>
        <v>-4.0790837374515837E-13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228.36873053496748</v>
      </c>
      <c r="AO145" s="59">
        <f t="shared" si="144"/>
        <v>177.73676400313303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39.358377806368964</v>
      </c>
      <c r="AV145" s="21">
        <f>EXP(-LN(2)/25)*AV144+(1-EXP(-LN(2)/25))/(LN(2)/25)*Calculateur!AQ145*Calculateur!AS145*VLOOKUP('Données projet'!$B$10,Paramètres!$A$1:$I$89,3,0)*0.475*44/12</f>
        <v>11.862955634324804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51.221333440693769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453.16876800000063</v>
      </c>
      <c r="BF145" s="13">
        <f t="shared" si="145"/>
        <v>102.47628556920169</v>
      </c>
      <c r="BG145" s="20">
        <f t="shared" si="115"/>
        <v>967.74846829969408</v>
      </c>
      <c r="BH145" s="59">
        <f t="shared" si="116"/>
        <v>1261.0818016330275</v>
      </c>
      <c r="BI145" s="59">
        <f ca="1">AVERAGE(OFFSET($BH$3,0,0,'Données projet'!$E$11+1,1))-AVERAGE(OFFSET($H$3,0,0,'Données projet'!$E$11+1,1))</f>
        <v>534.59150243554586</v>
      </c>
      <c r="BJ145" s="59">
        <f t="shared" si="146"/>
        <v>259.04458689606491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63.960012702660251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63.960012702660251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2.8421709430404007E-14</v>
      </c>
      <c r="BZ145" s="13">
        <f>BY145*VLOOKUP('Données projet'!$B$12,Paramètres!$A$1:$I$89,3,0)*VLOOKUP('Données projet'!$B$12,Paramètres!$A$1:$I$89,5,0)</f>
        <v>2.4829205358400945E-14</v>
      </c>
      <c r="CA145" s="13">
        <f t="shared" si="147"/>
        <v>4.3867331143352915E-13</v>
      </c>
      <c r="CB145" s="20">
        <f t="shared" si="118"/>
        <v>8.0726688341261168E-13</v>
      </c>
      <c r="CC145" s="59">
        <f t="shared" si="119"/>
        <v>293.33333333333411</v>
      </c>
      <c r="CD145" s="59">
        <f ca="1">AVERAGE(OFFSET($CC$3,0,0,'Données projet'!$E$12+1,1))-AVERAGE(OFFSET($H$3,0,0,'Données projet'!$E$12+1,1))</f>
        <v>211.91720528436969</v>
      </c>
      <c r="CE145" s="59">
        <f t="shared" si="148"/>
        <v>218.88548486038957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22.697487625017303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22.697487625017303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8.1590000000000025</v>
      </c>
      <c r="CT145" s="12">
        <f>IF('Données projet'!$A$140&gt;35,CT144+CS145-DB144,IF(A145&lt;'Données projet'!$A$140,$CQ$205^A145,IF(A145='Données projet'!$A$140,'Données projet'!$B$140,CT144+CS145-DB144)))</f>
        <v>446.9120000000006</v>
      </c>
      <c r="CU145" s="17">
        <f>CT145*VLOOKUP('Données projet'!$B$13,Paramètres!$A$1:$I$89,3,0)*VLOOKUP('Données projet'!$B$13,Paramètres!$A$1:$I$89,5,0)</f>
        <v>404.36597760000052</v>
      </c>
      <c r="CV145" s="13">
        <f t="shared" si="149"/>
        <v>92.66124016608812</v>
      </c>
      <c r="CW145" s="20">
        <f t="shared" si="121"/>
        <v>865.655737609271</v>
      </c>
      <c r="CX145" s="59">
        <f t="shared" si="122"/>
        <v>1158.9890709426043</v>
      </c>
      <c r="CY145" s="59">
        <f ca="1">AVERAGE(OFFSET($CX$3,0,0,'Données projet'!$E$13+1,1))-AVERAGE(OFFSET($H$3,0,0,'Données projet'!$E$13+1,1))</f>
        <v>469.97161976912071</v>
      </c>
      <c r="CZ145" s="59">
        <f t="shared" si="150"/>
        <v>231.65013084759306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57.072011334681441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57.072011334681441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8.1590000000000025</v>
      </c>
      <c r="DO145" s="12">
        <f>IF('Données projet'!$A$166&gt;35,DO144+DN145-DW144,IF(A145&lt;'Données projet'!$A$166,$DL$205^A145,IF(A145='Données projet'!$A$166,'Données projet'!$B$166,DO144+DN145-DW144)))</f>
        <v>446.9120000000006</v>
      </c>
      <c r="DP145" s="17">
        <f>DO145*VLOOKUP('Données projet'!$B$14,Paramètres!$A$1:$I$89,3,0)*VLOOKUP('Données projet'!$B$14,Paramètres!$A$1:$I$89,5,0)</f>
        <v>432.25328640000055</v>
      </c>
      <c r="DQ145" s="13">
        <f t="shared" si="151"/>
        <v>98.2857215173903</v>
      </c>
      <c r="DR145" s="20">
        <f t="shared" si="124"/>
        <v>924.02210545612218</v>
      </c>
      <c r="DS145" s="59">
        <f t="shared" si="125"/>
        <v>1217.3554387894555</v>
      </c>
      <c r="DT145" s="59">
        <f ca="1">AVERAGE(OFFSET($DS$3,0,0,'Données projet'!$E$14+1,1))-AVERAGE(OFFSET($H$3,0,0,'Données projet'!$E$14+1,1))</f>
        <v>506.9153247310901</v>
      </c>
      <c r="DU145" s="59">
        <f t="shared" si="152"/>
        <v>247.31254626788319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61.008012116383611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61.008012116383611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193.8828274189392</v>
      </c>
      <c r="T146" s="59">
        <f t="shared" si="142"/>
        <v>179.13381331066427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57.558382429972831</v>
      </c>
      <c r="AA146" s="21">
        <f>EXP(-LN(2)/25)*AA145+(1-EXP(-LN(2)/25))/(LN(2)/25)*Calculateur!V146*Calculateur!X146*VLOOKUP('Données projet'!$B$9,Paramètres!$A$1:$I$89,3,0)*0.475*44/12</f>
        <v>17.880321822279541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75.438704252252364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-6.8212102632969618E-13</v>
      </c>
      <c r="AJ146" s="13">
        <f>AI146*VLOOKUP('Données projet'!$B$10,Paramètres!$A$1:$I$89,3,0)*VLOOKUP('Données projet'!$B$10,Paramètres!$A$1:$I$89,5,0)</f>
        <v>-4.0790837374515837E-13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228.36873053496748</v>
      </c>
      <c r="AO146" s="59">
        <f t="shared" si="144"/>
        <v>177.73676400313303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38.586584023826113</v>
      </c>
      <c r="AV146" s="21">
        <f>EXP(-LN(2)/25)*AV145+(1-EXP(-LN(2)/25))/(LN(2)/25)*Calculateur!AQ146*Calculateur!AS146*VLOOKUP('Données projet'!$B$10,Paramètres!$A$1:$I$89,3,0)*0.475*44/12</f>
        <v>11.538562488658469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50.125146512484584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461.44199400000065</v>
      </c>
      <c r="BF146" s="13">
        <f t="shared" si="145"/>
        <v>104.12762144113498</v>
      </c>
      <c r="BG146" s="20">
        <f t="shared" si="115"/>
        <v>985.03374689331122</v>
      </c>
      <c r="BH146" s="59">
        <f t="shared" si="116"/>
        <v>1278.3670802266445</v>
      </c>
      <c r="BI146" s="59">
        <f ca="1">AVERAGE(OFFSET($BH$3,0,0,'Données projet'!$E$11+1,1))-AVERAGE(OFFSET($H$3,0,0,'Données projet'!$E$11+1,1))</f>
        <v>534.59150243554586</v>
      </c>
      <c r="BJ146" s="59">
        <f t="shared" si="146"/>
        <v>259.04458689606491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62.705795865316738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62.705795865316738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2.8421709430404007E-14</v>
      </c>
      <c r="BZ146" s="13">
        <f>BY146*VLOOKUP('Données projet'!$B$12,Paramètres!$A$1:$I$89,3,0)*VLOOKUP('Données projet'!$B$12,Paramètres!$A$1:$I$89,5,0)</f>
        <v>2.4829205358400945E-14</v>
      </c>
      <c r="CA146" s="13">
        <f t="shared" si="147"/>
        <v>4.3867331143352915E-13</v>
      </c>
      <c r="CB146" s="20">
        <f t="shared" si="118"/>
        <v>8.0726688341261168E-13</v>
      </c>
      <c r="CC146" s="59">
        <f t="shared" si="119"/>
        <v>293.33333333333411</v>
      </c>
      <c r="CD146" s="59">
        <f ca="1">AVERAGE(OFFSET($CC$3,0,0,'Données projet'!$E$12+1,1))-AVERAGE(OFFSET($H$3,0,0,'Données projet'!$E$12+1,1))</f>
        <v>211.91720528436969</v>
      </c>
      <c r="CE146" s="59">
        <f t="shared" si="148"/>
        <v>218.88548486038957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22.252403736791173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22.252403736791173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8.1590000000000025</v>
      </c>
      <c r="CT146" s="12">
        <f>IF('Données projet'!$A$140&gt;35,CT145+CS146-DB145,IF(A146&lt;'Données projet'!$A$140,$CQ$205^A146,IF(A146='Données projet'!$A$140,'Données projet'!$B$140,CT145+CS146-DB145)))</f>
        <v>455.07100000000059</v>
      </c>
      <c r="CU146" s="17">
        <f>CT146*VLOOKUP('Données projet'!$B$13,Paramètres!$A$1:$I$89,3,0)*VLOOKUP('Données projet'!$B$13,Paramètres!$A$1:$I$89,5,0)</f>
        <v>411.74824080000053</v>
      </c>
      <c r="CV146" s="13">
        <f t="shared" si="149"/>
        <v>94.15441323509782</v>
      </c>
      <c r="CW146" s="20">
        <f t="shared" si="121"/>
        <v>881.11378911112968</v>
      </c>
      <c r="CX146" s="59">
        <f t="shared" si="122"/>
        <v>1174.447122444463</v>
      </c>
      <c r="CY146" s="59">
        <f ca="1">AVERAGE(OFFSET($CX$3,0,0,'Données projet'!$E$13+1,1))-AVERAGE(OFFSET($H$3,0,0,'Données projet'!$E$13+1,1))</f>
        <v>469.97161976912071</v>
      </c>
      <c r="CZ146" s="59">
        <f t="shared" si="150"/>
        <v>231.65013084759306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55.952864002898004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55.952864002898004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8.1590000000000025</v>
      </c>
      <c r="DO146" s="12">
        <f>IF('Données projet'!$A$166&gt;35,DO145+DN146-DW145,IF(A146&lt;'Données projet'!$A$166,$DL$205^A146,IF(A146='Données projet'!$A$166,'Données projet'!$B$166,DO145+DN146-DW145)))</f>
        <v>455.07100000000059</v>
      </c>
      <c r="DP146" s="17">
        <f>DO146*VLOOKUP('Données projet'!$B$14,Paramètres!$A$1:$I$89,3,0)*VLOOKUP('Données projet'!$B$14,Paramètres!$A$1:$I$89,5,0)</f>
        <v>440.14467120000057</v>
      </c>
      <c r="DQ146" s="13">
        <f t="shared" si="151"/>
        <v>99.869529290466829</v>
      </c>
      <c r="DR146" s="20">
        <f t="shared" si="124"/>
        <v>940.52473252089715</v>
      </c>
      <c r="DS146" s="59">
        <f t="shared" si="125"/>
        <v>1233.8580658542305</v>
      </c>
      <c r="DT146" s="59">
        <f ca="1">AVERAGE(OFFSET($DS$3,0,0,'Données projet'!$E$14+1,1))-AVERAGE(OFFSET($H$3,0,0,'Données projet'!$E$14+1,1))</f>
        <v>506.9153247310901</v>
      </c>
      <c r="DU146" s="59">
        <f t="shared" si="152"/>
        <v>247.31254626788319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59.811682209994416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59.811682209994416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193.8828274189392</v>
      </c>
      <c r="T147" s="59">
        <f t="shared" si="142"/>
        <v>179.13381331066427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56.429697657667802</v>
      </c>
      <c r="AA147" s="21">
        <f>EXP(-LN(2)/25)*AA146+(1-EXP(-LN(2)/25))/(LN(2)/25)*Calculateur!V147*Calculateur!X147*VLOOKUP('Données projet'!$B$9,Paramètres!$A$1:$I$89,3,0)*0.475*44/12</f>
        <v>17.391383481764048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73.821081139431854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-6.8212102632969618E-13</v>
      </c>
      <c r="AJ147" s="13">
        <f>AI147*VLOOKUP('Données projet'!$B$10,Paramètres!$A$1:$I$89,3,0)*VLOOKUP('Données projet'!$B$10,Paramètres!$A$1:$I$89,5,0)</f>
        <v>-4.0790837374515837E-13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228.36873053496748</v>
      </c>
      <c r="AO147" s="59">
        <f t="shared" si="144"/>
        <v>177.73676400313303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37.829924646611204</v>
      </c>
      <c r="AV147" s="21">
        <f>EXP(-LN(2)/25)*AV146+(1-EXP(-LN(2)/25))/(LN(2)/25)*Calculateur!AQ147*Calculateur!AS147*VLOOKUP('Données projet'!$B$10,Paramètres!$A$1:$I$89,3,0)*0.475*44/12</f>
        <v>11.223039890619473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49.052964537230679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469.71522000000061</v>
      </c>
      <c r="BF147" s="13">
        <f t="shared" si="145"/>
        <v>105.77551446647743</v>
      </c>
      <c r="BG147" s="20">
        <f t="shared" si="115"/>
        <v>1002.3130291957826</v>
      </c>
      <c r="BH147" s="59">
        <f t="shared" si="116"/>
        <v>1295.646362529116</v>
      </c>
      <c r="BI147" s="59">
        <f ca="1">AVERAGE(OFFSET($BH$3,0,0,'Données projet'!$E$11+1,1))-AVERAGE(OFFSET($H$3,0,0,'Données projet'!$E$11+1,1))</f>
        <v>534.59150243554586</v>
      </c>
      <c r="BJ147" s="59">
        <f t="shared" si="146"/>
        <v>259.04458689606491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77.674507246427055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77.674507246427055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2.8421709430404007E-14</v>
      </c>
      <c r="BZ147" s="13">
        <f>BY147*VLOOKUP('Données projet'!$B$12,Paramètres!$A$1:$I$89,3,0)*VLOOKUP('Données projet'!$B$12,Paramètres!$A$1:$I$89,5,0)</f>
        <v>2.4829205358400945E-14</v>
      </c>
      <c r="CA147" s="13">
        <f t="shared" si="147"/>
        <v>4.3867331143352915E-13</v>
      </c>
      <c r="CB147" s="20">
        <f t="shared" si="118"/>
        <v>8.0726688341261168E-13</v>
      </c>
      <c r="CC147" s="59">
        <f t="shared" si="119"/>
        <v>293.33333333333411</v>
      </c>
      <c r="CD147" s="59">
        <f ca="1">AVERAGE(OFFSET($CC$3,0,0,'Données projet'!$E$12+1,1))-AVERAGE(OFFSET($H$3,0,0,'Données projet'!$E$12+1,1))</f>
        <v>211.91720528436969</v>
      </c>
      <c r="CE147" s="59">
        <f t="shared" si="148"/>
        <v>218.88548486038957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21.816047672138794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21.816047672138794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463.23</v>
      </c>
      <c r="CR147" s="12">
        <f>VLOOKUP(A147,'Données projet'!$A$139:$I$159,9,0)</f>
        <v>8.1590000000000025</v>
      </c>
      <c r="CS147" s="12">
        <f t="array" ref="CS147">INDEX(CR:CR,MIN(IF(ISNUMBER(CR147:CR343),ROW(CR147:CR343),"")))</f>
        <v>8.1590000000000025</v>
      </c>
      <c r="CT147" s="12">
        <f>IF('Données projet'!$A$140&gt;35,CT146+CS147-DB146,IF(A147&lt;'Données projet'!$A$140,$CQ$205^A147,IF(A147='Données projet'!$A$140,'Données projet'!$B$140,CT146+CS147-DB146)))</f>
        <v>463.23000000000059</v>
      </c>
      <c r="CU147" s="17">
        <f>CT147*VLOOKUP('Données projet'!$B$13,Paramètres!$A$1:$I$89,3,0)*VLOOKUP('Données projet'!$B$13,Paramètres!$A$1:$I$89,5,0)</f>
        <v>419.13050400000049</v>
      </c>
      <c r="CV147" s="13">
        <f t="shared" si="149"/>
        <v>95.644473208887277</v>
      </c>
      <c r="CW147" s="20">
        <f t="shared" si="121"/>
        <v>896.56641863881293</v>
      </c>
      <c r="CX147" s="59">
        <f t="shared" si="122"/>
        <v>1189.8997519721463</v>
      </c>
      <c r="CY147" s="59">
        <f ca="1">AVERAGE(OFFSET($CX$3,0,0,'Données projet'!$E$13+1,1))-AVERAGE(OFFSET($H$3,0,0,'Données projet'!$E$13+1,1))</f>
        <v>469.97161976912071</v>
      </c>
      <c r="CZ147" s="59">
        <f t="shared" si="150"/>
        <v>231.65013084759306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0.25800000000000001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69.309560312196439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69.309560312196439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463.23</v>
      </c>
      <c r="DM147" s="12">
        <f>VLOOKUP(A147,'Données projet'!$A$165:$I$185,9,0)</f>
        <v>8.1590000000000025</v>
      </c>
      <c r="DN147" s="12">
        <f t="array" ref="DN147">INDEX(DM:DM,MIN(IF(ISNUMBER(DM147:DM343),ROW(DM147:DM343),"")))</f>
        <v>8.1590000000000025</v>
      </c>
      <c r="DO147" s="12">
        <f>IF('Données projet'!$A$166&gt;35,DO146+DN147-DW146,IF(A147&lt;'Données projet'!$A$166,$DL$205^A147,IF(A147='Données projet'!$A$166,'Données projet'!$B$166,DO146+DN147-DW146)))</f>
        <v>463.23000000000059</v>
      </c>
      <c r="DP147" s="17">
        <f>DO147*VLOOKUP('Données projet'!$B$14,Paramètres!$A$1:$I$89,3,0)*VLOOKUP('Données projet'!$B$14,Paramètres!$A$1:$I$89,5,0)</f>
        <v>448.0360560000006</v>
      </c>
      <c r="DQ147" s="13">
        <f t="shared" si="151"/>
        <v>101.45003500532212</v>
      </c>
      <c r="DR147" s="20">
        <f t="shared" si="124"/>
        <v>957.02160850093696</v>
      </c>
      <c r="DS147" s="59">
        <f t="shared" si="125"/>
        <v>1250.3549418342702</v>
      </c>
      <c r="DT147" s="59">
        <f ca="1">AVERAGE(OFFSET($DS$3,0,0,'Données projet'!$E$14+1,1))-AVERAGE(OFFSET($H$3,0,0,'Données projet'!$E$14+1,1))</f>
        <v>506.9153247310901</v>
      </c>
      <c r="DU147" s="59">
        <f t="shared" si="152"/>
        <v>247.31254626788319</v>
      </c>
      <c r="DV147" s="15">
        <f>IF(ISNA(VLOOKUP(A147,'Données projet'!$A$165:$I$185,3,0)),0,VLOOKUP(A147,'Données projet'!$A$165:$I$185,3,0))</f>
        <v>12</v>
      </c>
      <c r="DW147" s="15">
        <f>IF(ISNA(VLOOKUP(A147,'Données projet'!$A$165:$I$185,4,0)),0,VLOOKUP(A147,'Données projet'!$A$165:$I$185,4,0))</f>
        <v>56.01</v>
      </c>
      <c r="DX147" s="16">
        <f>IF(ISNA(VLOOKUP(A147,'Données projet'!$A$165:$I$185,5,0)),0%,VLOOKUP(A147,'Données projet'!$A$165:$I$185,5,0)*VLOOKUP('Données projet'!$B$14,Paramètres!$A$1:$I$89,7,0))</f>
        <v>0.25800000000000001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74.089529988899642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74.089529988899642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193.8828274189392</v>
      </c>
      <c r="T148" s="59">
        <f t="shared" si="142"/>
        <v>179.13381331066427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55.323145705317941</v>
      </c>
      <c r="AA148" s="21">
        <f>EXP(-LN(2)/25)*AA147+(1-EXP(-LN(2)/25))/(LN(2)/25)*Calculateur!V148*Calculateur!X148*VLOOKUP('Données projet'!$B$9,Paramètres!$A$1:$I$89,3,0)*0.475*44/12</f>
        <v>16.915815185882103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72.238960891200037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-6.8212102632969618E-13</v>
      </c>
      <c r="AJ148" s="13">
        <f>AI148*VLOOKUP('Données projet'!$B$10,Paramètres!$A$1:$I$89,3,0)*VLOOKUP('Données projet'!$B$10,Paramètres!$A$1:$I$89,5,0)</f>
        <v>-4.0790837374515837E-13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228.36873053496748</v>
      </c>
      <c r="AO148" s="59">
        <f t="shared" si="144"/>
        <v>177.73676400313303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37.088102898266825</v>
      </c>
      <c r="AV148" s="21">
        <f>EXP(-LN(2)/25)*AV147+(1-EXP(-LN(2)/25))/(LN(2)/25)*Calculateur!AQ148*Calculateur!AS148*VLOOKUP('Données projet'!$B$10,Paramètres!$A$1:$I$89,3,0)*0.475*44/12</f>
        <v>10.916145274616467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48.004248172883294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421.36263000000059</v>
      </c>
      <c r="BF148" s="13">
        <f t="shared" si="145"/>
        <v>96.094409121503247</v>
      </c>
      <c r="BG148" s="20">
        <f t="shared" si="115"/>
        <v>901.23767646995248</v>
      </c>
      <c r="BH148" s="59">
        <f t="shared" si="116"/>
        <v>1194.5710098032857</v>
      </c>
      <c r="BI148" s="59">
        <f ca="1">AVERAGE(OFFSET($BH$3,0,0,'Données projet'!$E$11+1,1))-AVERAGE(OFFSET($H$3,0,0,'Données projet'!$E$11+1,1))</f>
        <v>534.59150243554586</v>
      </c>
      <c r="BJ148" s="59">
        <f t="shared" si="146"/>
        <v>259.04458689606491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76.151357536095972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76.151357536095972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2.8421709430404007E-14</v>
      </c>
      <c r="BZ148" s="13">
        <f>BY148*VLOOKUP('Données projet'!$B$12,Paramètres!$A$1:$I$89,3,0)*VLOOKUP('Données projet'!$B$12,Paramètres!$A$1:$I$89,5,0)</f>
        <v>2.4829205358400945E-14</v>
      </c>
      <c r="CA148" s="13">
        <f t="shared" si="147"/>
        <v>4.3867331143352915E-13</v>
      </c>
      <c r="CB148" s="20">
        <f t="shared" si="118"/>
        <v>8.0726688341261168E-13</v>
      </c>
      <c r="CC148" s="59">
        <f t="shared" si="119"/>
        <v>293.33333333333411</v>
      </c>
      <c r="CD148" s="59">
        <f ca="1">AVERAGE(OFFSET($CC$3,0,0,'Données projet'!$E$12+1,1))-AVERAGE(OFFSET($H$3,0,0,'Données projet'!$E$12+1,1))</f>
        <v>211.91720528436969</v>
      </c>
      <c r="CE148" s="59">
        <f t="shared" si="148"/>
        <v>218.88548486038957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21.388248283763328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21.388248283763328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8.3249999999999993</v>
      </c>
      <c r="CT148" s="12">
        <f>IF('Données projet'!$A$140&gt;35,CT147+CS148-DB147,IF(A148&lt;'Données projet'!$A$140,$CQ$205^A148,IF(A148='Données projet'!$A$140,'Données projet'!$B$140,CT147+CS148-DB147)))</f>
        <v>415.54500000000058</v>
      </c>
      <c r="CU148" s="17">
        <f>CT148*VLOOKUP('Données projet'!$B$13,Paramètres!$A$1:$I$89,3,0)*VLOOKUP('Données projet'!$B$13,Paramètres!$A$1:$I$89,5,0)</f>
        <v>375.98511600000052</v>
      </c>
      <c r="CV148" s="13">
        <f t="shared" si="149"/>
        <v>86.890611547517153</v>
      </c>
      <c r="CW148" s="20">
        <f t="shared" si="121"/>
        <v>806.17522547859323</v>
      </c>
      <c r="CX148" s="59">
        <f t="shared" si="122"/>
        <v>1099.5085588119266</v>
      </c>
      <c r="CY148" s="59">
        <f ca="1">AVERAGE(OFFSET($CX$3,0,0,'Données projet'!$E$13+1,1))-AVERAGE(OFFSET($H$3,0,0,'Données projet'!$E$13+1,1))</f>
        <v>469.97161976912071</v>
      </c>
      <c r="CZ148" s="59">
        <f t="shared" si="150"/>
        <v>231.65013084759306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67.950442109131785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67.950442109131785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8.3249999999999993</v>
      </c>
      <c r="DO148" s="12">
        <f>IF('Données projet'!$A$166&gt;35,DO147+DN148-DW147,IF(A148&lt;'Données projet'!$A$166,$DL$205^A148,IF(A148='Données projet'!$A$166,'Données projet'!$B$166,DO147+DN148-DW147)))</f>
        <v>415.54500000000058</v>
      </c>
      <c r="DP148" s="17">
        <f>DO148*VLOOKUP('Données projet'!$B$14,Paramètres!$A$1:$I$89,3,0)*VLOOKUP('Données projet'!$B$14,Paramètres!$A$1:$I$89,5,0)</f>
        <v>401.91512400000056</v>
      </c>
      <c r="DQ148" s="13">
        <f t="shared" si="151"/>
        <v>92.164819224602709</v>
      </c>
      <c r="DR148" s="20">
        <f t="shared" si="124"/>
        <v>860.52256778285062</v>
      </c>
      <c r="DS148" s="59">
        <f t="shared" si="125"/>
        <v>1153.855901116184</v>
      </c>
      <c r="DT148" s="59">
        <f ca="1">AVERAGE(OFFSET($DS$3,0,0,'Données projet'!$E$14+1,1))-AVERAGE(OFFSET($H$3,0,0,'Données projet'!$E$14+1,1))</f>
        <v>506.9153247310901</v>
      </c>
      <c r="DU148" s="59">
        <f t="shared" si="152"/>
        <v>247.31254626788319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72.636679495968451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72.636679495968451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193.8828274189392</v>
      </c>
      <c r="T149" s="59">
        <f t="shared" si="142"/>
        <v>179.13381331066427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54.238292561823613</v>
      </c>
      <c r="AA149" s="21">
        <f>EXP(-LN(2)/25)*AA148+(1-EXP(-LN(2)/25))/(LN(2)/25)*Calculateur!V149*Calculateur!X149*VLOOKUP('Données projet'!$B$9,Paramètres!$A$1:$I$89,3,0)*0.475*44/12</f>
        <v>16.453251330060098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70.691543891883711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-6.8212102632969618E-13</v>
      </c>
      <c r="AJ149" s="13">
        <f>AI149*VLOOKUP('Données projet'!$B$10,Paramètres!$A$1:$I$89,3,0)*VLOOKUP('Données projet'!$B$10,Paramètres!$A$1:$I$89,5,0)</f>
        <v>-4.0790837374515837E-13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228.36873053496748</v>
      </c>
      <c r="AO149" s="59">
        <f t="shared" si="144"/>
        <v>177.73676400313303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36.360827821940894</v>
      </c>
      <c r="AV149" s="21">
        <f>EXP(-LN(2)/25)*AV148+(1-EXP(-LN(2)/25))/(LN(2)/25)*Calculateur!AQ149*Calculateur!AS149*VLOOKUP('Données projet'!$B$10,Paramètres!$A$1:$I$89,3,0)*0.475*44/12</f>
        <v>10.617642708026949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46.978470529967844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429.8041800000006</v>
      </c>
      <c r="BF149" s="13">
        <f t="shared" si="145"/>
        <v>97.793501833753268</v>
      </c>
      <c r="BG149" s="20">
        <f t="shared" si="115"/>
        <v>918.89929586045457</v>
      </c>
      <c r="BH149" s="59">
        <f t="shared" si="116"/>
        <v>1212.2326291937879</v>
      </c>
      <c r="BI149" s="59">
        <f ca="1">AVERAGE(OFFSET($BH$3,0,0,'Données projet'!$E$11+1,1))-AVERAGE(OFFSET($H$3,0,0,'Données projet'!$E$11+1,1))</f>
        <v>534.59150243554586</v>
      </c>
      <c r="BJ149" s="59">
        <f t="shared" si="146"/>
        <v>259.04458689606491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74.658075862554895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74.658075862554895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2.8421709430404007E-14</v>
      </c>
      <c r="BZ149" s="13">
        <f>BY149*VLOOKUP('Données projet'!$B$12,Paramètres!$A$1:$I$89,3,0)*VLOOKUP('Données projet'!$B$12,Paramètres!$A$1:$I$89,5,0)</f>
        <v>2.4829205358400945E-14</v>
      </c>
      <c r="CA149" s="13">
        <f t="shared" si="147"/>
        <v>4.3867331143352915E-13</v>
      </c>
      <c r="CB149" s="20">
        <f t="shared" si="118"/>
        <v>8.0726688341261168E-13</v>
      </c>
      <c r="CC149" s="59">
        <f t="shared" si="119"/>
        <v>293.33333333333411</v>
      </c>
      <c r="CD149" s="59">
        <f ca="1">AVERAGE(OFFSET($CC$3,0,0,'Données projet'!$E$12+1,1))-AVERAGE(OFFSET($H$3,0,0,'Données projet'!$E$12+1,1))</f>
        <v>211.91720528436969</v>
      </c>
      <c r="CE149" s="59">
        <f t="shared" si="148"/>
        <v>218.88548486038957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20.968837780462042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20.968837780462042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8.3249999999999993</v>
      </c>
      <c r="CT149" s="12">
        <f>IF('Données projet'!$A$140&gt;35,CT148+CS149-DB148,IF(A149&lt;'Données projet'!$A$140,$CQ$205^A149,IF(A149='Données projet'!$A$140,'Données projet'!$B$140,CT148+CS149-DB148)))</f>
        <v>423.87000000000057</v>
      </c>
      <c r="CU149" s="17">
        <f>CT149*VLOOKUP('Données projet'!$B$13,Paramètres!$A$1:$I$89,3,0)*VLOOKUP('Données projet'!$B$13,Paramètres!$A$1:$I$89,5,0)</f>
        <v>383.51757600000053</v>
      </c>
      <c r="CV149" s="13">
        <f t="shared" si="149"/>
        <v>88.426967368766455</v>
      </c>
      <c r="CW149" s="20">
        <f t="shared" si="121"/>
        <v>821.97007970060247</v>
      </c>
      <c r="CX149" s="59">
        <f t="shared" si="122"/>
        <v>1115.3034130339358</v>
      </c>
      <c r="CY149" s="59">
        <f ca="1">AVERAGE(OFFSET($CX$3,0,0,'Données projet'!$E$13+1,1))-AVERAGE(OFFSET($H$3,0,0,'Données projet'!$E$13+1,1))</f>
        <v>469.97161976912071</v>
      </c>
      <c r="CZ149" s="59">
        <f t="shared" si="150"/>
        <v>231.65013084759306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66.617975385048979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66.617975385048979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8.3249999999999993</v>
      </c>
      <c r="DO149" s="12">
        <f>IF('Données projet'!$A$166&gt;35,DO148+DN149-DW148,IF(A149&lt;'Données projet'!$A$166,$DL$205^A149,IF(A149='Données projet'!$A$166,'Données projet'!$B$166,DO148+DN149-DW148)))</f>
        <v>423.87000000000057</v>
      </c>
      <c r="DP149" s="17">
        <f>DO149*VLOOKUP('Données projet'!$B$14,Paramètres!$A$1:$I$89,3,0)*VLOOKUP('Données projet'!$B$14,Paramètres!$A$1:$I$89,5,0)</f>
        <v>409.96706400000051</v>
      </c>
      <c r="DQ149" s="13">
        <f t="shared" si="151"/>
        <v>93.79443091691617</v>
      </c>
      <c r="DR149" s="20">
        <f t="shared" si="124"/>
        <v>877.38460364696311</v>
      </c>
      <c r="DS149" s="59">
        <f t="shared" si="125"/>
        <v>1170.7179369802964</v>
      </c>
      <c r="DT149" s="59">
        <f ca="1">AVERAGE(OFFSET($DS$3,0,0,'Données projet'!$E$14+1,1))-AVERAGE(OFFSET($H$3,0,0,'Données projet'!$E$14+1,1))</f>
        <v>506.9153247310901</v>
      </c>
      <c r="DU149" s="59">
        <f t="shared" si="152"/>
        <v>247.31254626788319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71.212318515052345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71.212318515052345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193.8828274189392</v>
      </c>
      <c r="T150" s="59">
        <f t="shared" si="142"/>
        <v>179.13381331066427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53.174712726778132</v>
      </c>
      <c r="AA150" s="21">
        <f>EXP(-LN(2)/25)*AA149+(1-EXP(-LN(2)/25))/(LN(2)/25)*Calculateur!V150*Calculateur!X150*VLOOKUP('Données projet'!$B$9,Paramètres!$A$1:$I$89,3,0)*0.475*44/12</f>
        <v>16.003336307200723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69.178049033978851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-6.8212102632969618E-13</v>
      </c>
      <c r="AJ150" s="13">
        <f>AI150*VLOOKUP('Données projet'!$B$10,Paramètres!$A$1:$I$89,3,0)*VLOOKUP('Données projet'!$B$10,Paramètres!$A$1:$I$89,5,0)</f>
        <v>-4.0790837374515837E-13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228.36873053496748</v>
      </c>
      <c r="AO150" s="59">
        <f t="shared" si="144"/>
        <v>177.73676400313303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35.647814166267715</v>
      </c>
      <c r="AV150" s="21">
        <f>EXP(-LN(2)/25)*AV149+(1-EXP(-LN(2)/25))/(LN(2)/25)*Calculateur!AQ150*Calculateur!AS150*VLOOKUP('Données projet'!$B$10,Paramètres!$A$1:$I$89,3,0)*0.475*44/12</f>
        <v>10.327302709818388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45.975116876086105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438.24573000000061</v>
      </c>
      <c r="BF150" s="13">
        <f t="shared" si="145"/>
        <v>99.488714339852734</v>
      </c>
      <c r="BG150" s="20">
        <f t="shared" si="115"/>
        <v>936.55415722524458</v>
      </c>
      <c r="BH150" s="59">
        <f t="shared" si="116"/>
        <v>1229.8874905585778</v>
      </c>
      <c r="BI150" s="59">
        <f ca="1">AVERAGE(OFFSET($BH$3,0,0,'Données projet'!$E$11+1,1))-AVERAGE(OFFSET($H$3,0,0,'Données projet'!$E$11+1,1))</f>
        <v>534.59150243554586</v>
      </c>
      <c r="BJ150" s="59">
        <f t="shared" si="146"/>
        <v>259.04458689606491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73.194076531820073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73.194076531820073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2.8421709430404007E-14</v>
      </c>
      <c r="BZ150" s="13">
        <f>BY150*VLOOKUP('Données projet'!$B$12,Paramètres!$A$1:$I$89,3,0)*VLOOKUP('Données projet'!$B$12,Paramètres!$A$1:$I$89,5,0)</f>
        <v>2.4829205358400945E-14</v>
      </c>
      <c r="CA150" s="13">
        <f t="shared" si="147"/>
        <v>4.3867331143352915E-13</v>
      </c>
      <c r="CB150" s="20">
        <f t="shared" si="118"/>
        <v>8.0726688341261168E-13</v>
      </c>
      <c r="CC150" s="59">
        <f t="shared" si="119"/>
        <v>293.33333333333411</v>
      </c>
      <c r="CD150" s="59">
        <f ca="1">AVERAGE(OFFSET($CC$3,0,0,'Données projet'!$E$12+1,1))-AVERAGE(OFFSET($H$3,0,0,'Données projet'!$E$12+1,1))</f>
        <v>211.91720528436969</v>
      </c>
      <c r="CE150" s="59">
        <f t="shared" si="148"/>
        <v>218.88548486038957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20.557651661315347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20.557651661315347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8.3249999999999993</v>
      </c>
      <c r="CT150" s="12">
        <f>IF('Données projet'!$A$140&gt;35,CT149+CS150-DB149,IF(A150&lt;'Données projet'!$A$140,$CQ$205^A150,IF(A150='Données projet'!$A$140,'Données projet'!$B$140,CT149+CS150-DB149)))</f>
        <v>432.19500000000056</v>
      </c>
      <c r="CU150" s="17">
        <f>CT150*VLOOKUP('Données projet'!$B$13,Paramètres!$A$1:$I$89,3,0)*VLOOKUP('Données projet'!$B$13,Paramètres!$A$1:$I$89,5,0)</f>
        <v>391.05003600000049</v>
      </c>
      <c r="CV150" s="13">
        <f t="shared" si="149"/>
        <v>89.959814624965674</v>
      </c>
      <c r="CW150" s="20">
        <f t="shared" si="121"/>
        <v>837.75882317181595</v>
      </c>
      <c r="CX150" s="59">
        <f t="shared" si="122"/>
        <v>1131.0921565051492</v>
      </c>
      <c r="CY150" s="59">
        <f ca="1">AVERAGE(OFFSET($CX$3,0,0,'Données projet'!$E$13+1,1))-AVERAGE(OFFSET($H$3,0,0,'Données projet'!$E$13+1,1))</f>
        <v>469.97161976912071</v>
      </c>
      <c r="CZ150" s="59">
        <f t="shared" si="150"/>
        <v>231.65013084759306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65.311637520700984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65.311637520700984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8.3249999999999993</v>
      </c>
      <c r="DO150" s="12">
        <f>IF('Données projet'!$A$166&gt;35,DO149+DN150-DW149,IF(A150&lt;'Données projet'!$A$166,$DL$205^A150,IF(A150='Données projet'!$A$166,'Données projet'!$B$166,DO149+DN150-DW149)))</f>
        <v>432.19500000000056</v>
      </c>
      <c r="DP150" s="17">
        <f>DO150*VLOOKUP('Données projet'!$B$14,Paramètres!$A$1:$I$89,3,0)*VLOOKUP('Données projet'!$B$14,Paramètres!$A$1:$I$89,5,0)</f>
        <v>418.01900400000051</v>
      </c>
      <c r="DQ150" s="13">
        <f t="shared" si="151"/>
        <v>95.420321076398807</v>
      </c>
      <c r="DR150" s="20">
        <f t="shared" si="124"/>
        <v>894.24015784139544</v>
      </c>
      <c r="DS150" s="59">
        <f t="shared" si="125"/>
        <v>1187.5734911747288</v>
      </c>
      <c r="DT150" s="59">
        <f ca="1">AVERAGE(OFFSET($DS$3,0,0,'Données projet'!$E$14+1,1))-AVERAGE(OFFSET($H$3,0,0,'Données projet'!$E$14+1,1))</f>
        <v>506.9153247310901</v>
      </c>
      <c r="DU150" s="59">
        <f t="shared" si="152"/>
        <v>247.31254626788319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69.815888384197592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69.815888384197592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193.8828274189392</v>
      </c>
      <c r="T151" s="59">
        <f t="shared" si="142"/>
        <v>179.13381331066427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52.131989043578244</v>
      </c>
      <c r="AA151" s="21">
        <f>EXP(-LN(2)/25)*AA150+(1-EXP(-LN(2)/25))/(LN(2)/25)*Calculateur!V151*Calculateur!X151*VLOOKUP('Données projet'!$B$9,Paramètres!$A$1:$I$89,3,0)*0.475*44/12</f>
        <v>15.565724234301438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67.697713277879686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-6.8212102632969618E-13</v>
      </c>
      <c r="AJ151" s="13">
        <f>AI151*VLOOKUP('Données projet'!$B$10,Paramètres!$A$1:$I$89,3,0)*VLOOKUP('Données projet'!$B$10,Paramètres!$A$1:$I$89,5,0)</f>
        <v>-4.0790837374515837E-13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228.36873053496748</v>
      </c>
      <c r="AO151" s="59">
        <f t="shared" si="144"/>
        <v>177.73676400313303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34.948782273486898</v>
      </c>
      <c r="AV151" s="21">
        <f>EXP(-LN(2)/25)*AV150+(1-EXP(-LN(2)/25))/(LN(2)/25)*Calculateur!AQ151*Calculateur!AS151*VLOOKUP('Données projet'!$B$10,Paramètres!$A$1:$I$89,3,0)*0.475*44/12</f>
        <v>10.044902074129158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44.993684347616053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446.68728000000056</v>
      </c>
      <c r="BF151" s="13">
        <f t="shared" si="145"/>
        <v>101.18012999765861</v>
      </c>
      <c r="BG151" s="20">
        <f t="shared" si="115"/>
        <v>954.20240574592299</v>
      </c>
      <c r="BH151" s="59">
        <f t="shared" si="116"/>
        <v>1247.5357390792562</v>
      </c>
      <c r="BI151" s="59">
        <f ca="1">AVERAGE(OFFSET($BH$3,0,0,'Données projet'!$E$11+1,1))-AVERAGE(OFFSET($H$3,0,0,'Données projet'!$E$11+1,1))</f>
        <v>534.59150243554586</v>
      </c>
      <c r="BJ151" s="59">
        <f t="shared" si="146"/>
        <v>259.04458689606491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71.758785335009534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71.758785335009534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2.8421709430404007E-14</v>
      </c>
      <c r="BZ151" s="13">
        <f>BY151*VLOOKUP('Données projet'!$B$12,Paramètres!$A$1:$I$89,3,0)*VLOOKUP('Données projet'!$B$12,Paramètres!$A$1:$I$89,5,0)</f>
        <v>2.4829205358400945E-14</v>
      </c>
      <c r="CA151" s="13">
        <f t="shared" si="147"/>
        <v>4.3867331143352915E-13</v>
      </c>
      <c r="CB151" s="20">
        <f t="shared" si="118"/>
        <v>8.0726688341261168E-13</v>
      </c>
      <c r="CC151" s="59">
        <f t="shared" si="119"/>
        <v>293.33333333333411</v>
      </c>
      <c r="CD151" s="59">
        <f ca="1">AVERAGE(OFFSET($CC$3,0,0,'Données projet'!$E$12+1,1))-AVERAGE(OFFSET($H$3,0,0,'Données projet'!$E$12+1,1))</f>
        <v>211.91720528436969</v>
      </c>
      <c r="CE151" s="59">
        <f t="shared" si="148"/>
        <v>218.88548486038957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20.154528651166352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20.154528651166352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8.3249999999999993</v>
      </c>
      <c r="CT151" s="12">
        <f>IF('Données projet'!$A$140&gt;35,CT150+CS151-DB150,IF(A151&lt;'Données projet'!$A$140,$CQ$205^A151,IF(A151='Données projet'!$A$140,'Données projet'!$B$140,CT150+CS151-DB150)))</f>
        <v>440.52000000000055</v>
      </c>
      <c r="CU151" s="17">
        <f>CT151*VLOOKUP('Données projet'!$B$13,Paramètres!$A$1:$I$89,3,0)*VLOOKUP('Données projet'!$B$13,Paramètres!$A$1:$I$89,5,0)</f>
        <v>398.5824960000005</v>
      </c>
      <c r="CV151" s="13">
        <f t="shared" si="149"/>
        <v>91.489228690064536</v>
      </c>
      <c r="CW151" s="20">
        <f t="shared" si="121"/>
        <v>853.54158716852999</v>
      </c>
      <c r="CX151" s="59">
        <f t="shared" si="122"/>
        <v>1146.8749205018632</v>
      </c>
      <c r="CY151" s="59">
        <f ca="1">AVERAGE(OFFSET($CX$3,0,0,'Données projet'!$E$13+1,1))-AVERAGE(OFFSET($H$3,0,0,'Données projet'!$E$13+1,1))</f>
        <v>469.97161976912071</v>
      </c>
      <c r="CZ151" s="59">
        <f t="shared" si="150"/>
        <v>231.65013084759306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64.030916145085428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64.030916145085428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8.3249999999999993</v>
      </c>
      <c r="DO151" s="12">
        <f>IF('Données projet'!$A$166&gt;35,DO150+DN151-DW150,IF(A151&lt;'Données projet'!$A$166,$DL$205^A151,IF(A151='Données projet'!$A$166,'Données projet'!$B$166,DO150+DN151-DW150)))</f>
        <v>440.52000000000055</v>
      </c>
      <c r="DP151" s="17">
        <f>DO151*VLOOKUP('Données projet'!$B$14,Paramètres!$A$1:$I$89,3,0)*VLOOKUP('Données projet'!$B$14,Paramètres!$A$1:$I$89,5,0)</f>
        <v>426.07094400000051</v>
      </c>
      <c r="DQ151" s="13">
        <f t="shared" si="151"/>
        <v>97.042569652153361</v>
      </c>
      <c r="DR151" s="20">
        <f t="shared" si="124"/>
        <v>911.08936961083464</v>
      </c>
      <c r="DS151" s="59">
        <f t="shared" si="125"/>
        <v>1204.4227029441679</v>
      </c>
      <c r="DT151" s="59">
        <f ca="1">AVERAGE(OFFSET($DS$3,0,0,'Données projet'!$E$14+1,1))-AVERAGE(OFFSET($H$3,0,0,'Données projet'!$E$14+1,1))</f>
        <v>506.9153247310901</v>
      </c>
      <c r="DU151" s="59">
        <f t="shared" si="152"/>
        <v>247.31254626788319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68.446841396470617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68.446841396470617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193.8828274189392</v>
      </c>
      <c r="T152" s="59">
        <f t="shared" si="142"/>
        <v>179.13381331066427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51.109712535807262</v>
      </c>
      <c r="AA152" s="21">
        <f>EXP(-LN(2)/25)*AA151+(1-EXP(-LN(2)/25))/(LN(2)/25)*Calculateur!V152*Calculateur!X152*VLOOKUP('Données projet'!$B$9,Paramètres!$A$1:$I$89,3,0)*0.475*44/12</f>
        <v>15.140078686548604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66.249791222355867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-6.8212102632969618E-13</v>
      </c>
      <c r="AJ152" s="13">
        <f>AI152*VLOOKUP('Données projet'!$B$10,Paramètres!$A$1:$I$89,3,0)*VLOOKUP('Données projet'!$B$10,Paramètres!$A$1:$I$89,5,0)</f>
        <v>-4.0790837374515837E-13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228.36873053496748</v>
      </c>
      <c r="AO152" s="59">
        <f t="shared" si="144"/>
        <v>177.73676400313303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34.263457969756161</v>
      </c>
      <c r="AV152" s="21">
        <f>EXP(-LN(2)/25)*AV151+(1-EXP(-LN(2)/25))/(LN(2)/25)*Calculateur!AQ152*Calculateur!AS152*VLOOKUP('Données projet'!$B$10,Paramètres!$A$1:$I$89,3,0)*0.475*44/12</f>
        <v>9.7702236986736537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44.033681668429814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455.12883000000056</v>
      </c>
      <c r="BF152" s="13">
        <f t="shared" si="145"/>
        <v>102.86782883411858</v>
      </c>
      <c r="BG152" s="20">
        <f t="shared" si="115"/>
        <v>971.84418080275736</v>
      </c>
      <c r="BH152" s="59">
        <f t="shared" si="116"/>
        <v>1265.1775141360906</v>
      </c>
      <c r="BI152" s="59">
        <f ca="1">AVERAGE(OFFSET($BH$3,0,0,'Données projet'!$E$11+1,1))-AVERAGE(OFFSET($H$3,0,0,'Données projet'!$E$11+1,1))</f>
        <v>534.59150243554586</v>
      </c>
      <c r="BJ152" s="59">
        <f t="shared" si="146"/>
        <v>259.04458689606491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70.351639323127273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70.351639323127273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2.8421709430404007E-14</v>
      </c>
      <c r="BZ152" s="13">
        <f>BY152*VLOOKUP('Données projet'!$B$12,Paramètres!$A$1:$I$89,3,0)*VLOOKUP('Données projet'!$B$12,Paramètres!$A$1:$I$89,5,0)</f>
        <v>2.4829205358400945E-14</v>
      </c>
      <c r="CA152" s="13">
        <f t="shared" si="147"/>
        <v>4.3867331143352915E-13</v>
      </c>
      <c r="CB152" s="20">
        <f t="shared" si="118"/>
        <v>8.0726688341261168E-13</v>
      </c>
      <c r="CC152" s="59">
        <f t="shared" si="119"/>
        <v>293.33333333333411</v>
      </c>
      <c r="CD152" s="59">
        <f ca="1">AVERAGE(OFFSET($CC$3,0,0,'Données projet'!$E$12+1,1))-AVERAGE(OFFSET($H$3,0,0,'Données projet'!$E$12+1,1))</f>
        <v>211.91720528436969</v>
      </c>
      <c r="CE152" s="59">
        <f t="shared" si="148"/>
        <v>218.88548486038957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19.759310637365619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19.759310637365619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8.3249999999999993</v>
      </c>
      <c r="CT152" s="12">
        <f>IF('Données projet'!$A$140&gt;35,CT151+CS152-DB151,IF(A152&lt;'Données projet'!$A$140,$CQ$205^A152,IF(A152='Données projet'!$A$140,'Données projet'!$B$140,CT151+CS152-DB151)))</f>
        <v>448.84500000000054</v>
      </c>
      <c r="CU152" s="17">
        <f>CT152*VLOOKUP('Données projet'!$B$13,Paramètres!$A$1:$I$89,3,0)*VLOOKUP('Données projet'!$B$13,Paramètres!$A$1:$I$89,5,0)</f>
        <v>406.11495600000046</v>
      </c>
      <c r="CV152" s="13">
        <f t="shared" si="149"/>
        <v>93.015281926133852</v>
      </c>
      <c r="CW152" s="20">
        <f t="shared" si="121"/>
        <v>869.31849772135058</v>
      </c>
      <c r="CX152" s="59">
        <f t="shared" si="122"/>
        <v>1162.651831054684</v>
      </c>
      <c r="CY152" s="59">
        <f ca="1">AVERAGE(OFFSET($CX$3,0,0,'Données projet'!$E$13+1,1))-AVERAGE(OFFSET($H$3,0,0,'Données projet'!$E$13+1,1))</f>
        <v>469.97161976912071</v>
      </c>
      <c r="CZ152" s="59">
        <f t="shared" si="150"/>
        <v>231.65013084759306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62.775308934482787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62.775308934482787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8.3249999999999993</v>
      </c>
      <c r="DO152" s="12">
        <f>IF('Données projet'!$A$166&gt;35,DO151+DN152-DW151,IF(A152&lt;'Données projet'!$A$166,$DL$205^A152,IF(A152='Données projet'!$A$166,'Données projet'!$B$166,DO151+DN152-DW151)))</f>
        <v>448.84500000000054</v>
      </c>
      <c r="DP152" s="17">
        <f>DO152*VLOOKUP('Données projet'!$B$14,Paramètres!$A$1:$I$89,3,0)*VLOOKUP('Données projet'!$B$14,Paramètres!$A$1:$I$89,5,0)</f>
        <v>434.12288400000057</v>
      </c>
      <c r="DQ152" s="13">
        <f t="shared" si="151"/>
        <v>98.661253398584833</v>
      </c>
      <c r="DR152" s="20">
        <f t="shared" si="124"/>
        <v>927.93237263586946</v>
      </c>
      <c r="DS152" s="59">
        <f t="shared" si="125"/>
        <v>1221.2657059692028</v>
      </c>
      <c r="DT152" s="59">
        <f ca="1">AVERAGE(OFFSET($DS$3,0,0,'Données projet'!$E$14+1,1))-AVERAGE(OFFSET($H$3,0,0,'Données projet'!$E$14+1,1))</f>
        <v>506.9153247310901</v>
      </c>
      <c r="DU152" s="59">
        <f t="shared" si="152"/>
        <v>247.31254626788319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67.104640585136764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67.104640585136764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193.8828274189392</v>
      </c>
      <c r="T153" s="59">
        <f t="shared" si="142"/>
        <v>179.13381331066427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50.107482246826564</v>
      </c>
      <c r="AA153" s="21">
        <f>EXP(-LN(2)/25)*AA152+(1-EXP(-LN(2)/25))/(LN(2)/25)*Calculateur!V153*Calculateur!X153*VLOOKUP('Données projet'!$B$9,Paramètres!$A$1:$I$89,3,0)*0.475*44/12</f>
        <v>14.726072438682797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64.833554685509355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-6.8212102632969618E-13</v>
      </c>
      <c r="AJ153" s="13">
        <f>AI153*VLOOKUP('Données projet'!$B$10,Paramètres!$A$1:$I$89,3,0)*VLOOKUP('Données projet'!$B$10,Paramètres!$A$1:$I$89,5,0)</f>
        <v>-4.0790837374515837E-13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228.36873053496748</v>
      </c>
      <c r="AO153" s="59">
        <f t="shared" si="144"/>
        <v>177.73676400313303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33.591572457615037</v>
      </c>
      <c r="AV153" s="21">
        <f>EXP(-LN(2)/25)*AV152+(1-EXP(-LN(2)/25))/(LN(2)/25)*Calculateur!AQ153*Calculateur!AS153*VLOOKUP('Données projet'!$B$10,Paramètres!$A$1:$I$89,3,0)*0.475*44/12</f>
        <v>9.503056417839689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43.094628875454724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463.57038000000057</v>
      </c>
      <c r="BF153" s="13">
        <f t="shared" si="145"/>
        <v>104.55188773764013</v>
      </c>
      <c r="BG153" s="20">
        <f t="shared" si="115"/>
        <v>989.47961630972395</v>
      </c>
      <c r="BH153" s="59">
        <f t="shared" si="116"/>
        <v>1282.8129496430572</v>
      </c>
      <c r="BI153" s="59">
        <f ca="1">AVERAGE(OFFSET($BH$3,0,0,'Données projet'!$E$11+1,1))-AVERAGE(OFFSET($H$3,0,0,'Données projet'!$E$11+1,1))</f>
        <v>534.59150243554586</v>
      </c>
      <c r="BJ153" s="59">
        <f t="shared" si="146"/>
        <v>259.04458689606491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68.9720865862637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68.9720865862637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2.8421709430404007E-14</v>
      </c>
      <c r="BZ153" s="13">
        <f>BY153*VLOOKUP('Données projet'!$B$12,Paramètres!$A$1:$I$89,3,0)*VLOOKUP('Données projet'!$B$12,Paramètres!$A$1:$I$89,5,0)</f>
        <v>2.4829205358400945E-14</v>
      </c>
      <c r="CA153" s="13">
        <f t="shared" si="147"/>
        <v>4.3867331143352915E-13</v>
      </c>
      <c r="CB153" s="20">
        <f t="shared" si="118"/>
        <v>8.0726688341261168E-13</v>
      </c>
      <c r="CC153" s="59">
        <f t="shared" si="119"/>
        <v>293.33333333333411</v>
      </c>
      <c r="CD153" s="59">
        <f ca="1">AVERAGE(OFFSET($CC$3,0,0,'Données projet'!$E$12+1,1))-AVERAGE(OFFSET($H$3,0,0,'Données projet'!$E$12+1,1))</f>
        <v>211.91720528436969</v>
      </c>
      <c r="CE153" s="59">
        <f t="shared" si="148"/>
        <v>218.88548486038957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19.371842607756331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19.371842607756331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8.3249999999999993</v>
      </c>
      <c r="CT153" s="12">
        <f>IF('Données projet'!$A$140&gt;35,CT152+CS153-DB152,IF(A153&lt;'Données projet'!$A$140,$CQ$205^A153,IF(A153='Données projet'!$A$140,'Données projet'!$B$140,CT152+CS153-DB152)))</f>
        <v>457.17000000000053</v>
      </c>
      <c r="CU153" s="17">
        <f>CT153*VLOOKUP('Données projet'!$B$13,Paramètres!$A$1:$I$89,3,0)*VLOOKUP('Données projet'!$B$13,Paramètres!$A$1:$I$89,5,0)</f>
        <v>413.64741600000042</v>
      </c>
      <c r="CV153" s="13">
        <f t="shared" si="149"/>
        <v>94.538043857309361</v>
      </c>
      <c r="CW153" s="20">
        <f t="shared" si="121"/>
        <v>885.0896759181478</v>
      </c>
      <c r="CX153" s="59">
        <f t="shared" si="122"/>
        <v>1178.4230092514811</v>
      </c>
      <c r="CY153" s="59">
        <f ca="1">AVERAGE(OFFSET($CX$3,0,0,'Données projet'!$E$13+1,1))-AVERAGE(OFFSET($H$3,0,0,'Données projet'!$E$13+1,1))</f>
        <v>469.97161976912071</v>
      </c>
      <c r="CZ153" s="59">
        <f t="shared" si="150"/>
        <v>231.65013084759306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61.544323415435287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61.544323415435287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8.3249999999999993</v>
      </c>
      <c r="DO153" s="12">
        <f>IF('Données projet'!$A$166&gt;35,DO152+DN153-DW152,IF(A153&lt;'Données projet'!$A$166,$DL$205^A153,IF(A153='Données projet'!$A$166,'Données projet'!$B$166,DO152+DN153-DW152)))</f>
        <v>457.17000000000053</v>
      </c>
      <c r="DP153" s="17">
        <f>DO153*VLOOKUP('Données projet'!$B$14,Paramètres!$A$1:$I$89,3,0)*VLOOKUP('Données projet'!$B$14,Paramètres!$A$1:$I$89,5,0)</f>
        <v>442.17482400000057</v>
      </c>
      <c r="DQ153" s="13">
        <f t="shared" si="151"/>
        <v>100.27644605990184</v>
      </c>
      <c r="DR153" s="20">
        <f t="shared" si="124"/>
        <v>944.76929535432998</v>
      </c>
      <c r="DS153" s="59">
        <f t="shared" si="125"/>
        <v>1238.1026286876634</v>
      </c>
      <c r="DT153" s="59">
        <f ca="1">AVERAGE(OFFSET($DS$3,0,0,'Données projet'!$E$14+1,1))-AVERAGE(OFFSET($H$3,0,0,'Données projet'!$E$14+1,1))</f>
        <v>506.9153247310901</v>
      </c>
      <c r="DU153" s="59">
        <f t="shared" si="152"/>
        <v>247.31254626788319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65.788759513051502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65.788759513051502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193.8828274189392</v>
      </c>
      <c r="T154" s="59">
        <f t="shared" si="142"/>
        <v>179.13381331066427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49.124905082512662</v>
      </c>
      <c r="AA154" s="21">
        <f>EXP(-LN(2)/25)*AA153+(1-EXP(-LN(2)/25))/(LN(2)/25)*Calculateur!V154*Calculateur!X154*VLOOKUP('Données projet'!$B$9,Paramètres!$A$1:$I$89,3,0)*0.475*44/12</f>
        <v>14.323387213436524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63.448292295949187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-6.8212102632969618E-13</v>
      </c>
      <c r="AJ154" s="13">
        <f>AI154*VLOOKUP('Données projet'!$B$10,Paramètres!$A$1:$I$89,3,0)*VLOOKUP('Données projet'!$B$10,Paramètres!$A$1:$I$89,5,0)</f>
        <v>-4.0790837374515837E-13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228.36873053496748</v>
      </c>
      <c r="AO154" s="59">
        <f t="shared" si="144"/>
        <v>177.73676400313303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32.932862210557303</v>
      </c>
      <c r="AV154" s="21">
        <f>EXP(-LN(2)/25)*AV153+(1-EXP(-LN(2)/25))/(LN(2)/25)*Calculateur!AQ154*Calculateur!AS154*VLOOKUP('Données projet'!$B$10,Paramètres!$A$1:$I$89,3,0)*0.475*44/12</f>
        <v>9.2431948403498456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42.176057050907147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472.01193000000058</v>
      </c>
      <c r="BF154" s="13">
        <f t="shared" ref="BF154:BF203" si="167">EXP(-1.0587+0.8836*LN(BE154)+0.284)</f>
        <v>106.23238063605056</v>
      </c>
      <c r="BG154" s="20">
        <f t="shared" ref="BG154:BG203" si="168">(BE154+BF154)*0.475*44/12</f>
        <v>1007.108841024456</v>
      </c>
      <c r="BH154" s="59">
        <f t="shared" si="116"/>
        <v>1300.4421743577893</v>
      </c>
      <c r="BI154" s="59">
        <f ca="1">AVERAGE(OFFSET($BH$3,0,0,'Données projet'!$E$11+1,1))-AVERAGE(OFFSET($H$3,0,0,'Données projet'!$E$11+1,1))</f>
        <v>534.59150243554586</v>
      </c>
      <c r="BJ154" s="59">
        <f t="shared" si="146"/>
        <v>259.04458689606491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67.619586037125941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67.619586037125941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2.8421709430404007E-14</v>
      </c>
      <c r="BZ154" s="13">
        <f>BY154*VLOOKUP('Données projet'!$B$12,Paramètres!$A$1:$I$89,3,0)*VLOOKUP('Données projet'!$B$12,Paramètres!$A$1:$I$89,5,0)</f>
        <v>2.4829205358400945E-14</v>
      </c>
      <c r="CA154" s="13">
        <f t="shared" ref="CA154:CA203" si="170">EXP(-1.0587+0.8836*LN(BZ154)+0.284)</f>
        <v>4.3867331143352915E-13</v>
      </c>
      <c r="CB154" s="20">
        <f t="shared" ref="CB154:CB203" si="171">(BZ154+CA154)*0.475*44/12</f>
        <v>8.0726688341261168E-13</v>
      </c>
      <c r="CC154" s="59">
        <f t="shared" si="119"/>
        <v>293.33333333333411</v>
      </c>
      <c r="CD154" s="59">
        <f ca="1">AVERAGE(OFFSET($CC$3,0,0,'Données projet'!$E$12+1,1))-AVERAGE(OFFSET($H$3,0,0,'Données projet'!$E$12+1,1))</f>
        <v>211.91720528436969</v>
      </c>
      <c r="CE154" s="59">
        <f t="shared" si="148"/>
        <v>218.88548486038957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18.99197258987552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18.99197258987552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8.3249999999999993</v>
      </c>
      <c r="CT154" s="12">
        <f>IF('Données projet'!$A$140&gt;35,CT153+CS154-DB153,IF(A154&lt;'Données projet'!$A$140,$CQ$205^A154,IF(A154='Données projet'!$A$140,'Données projet'!$B$140,CT153+CS154-DB153)))</f>
        <v>465.49500000000052</v>
      </c>
      <c r="CU154" s="17">
        <f>CT154*VLOOKUP('Données projet'!$B$13,Paramètres!$A$1:$I$89,3,0)*VLOOKUP('Données projet'!$B$13,Paramètres!$A$1:$I$89,5,0)</f>
        <v>421.17987600000043</v>
      </c>
      <c r="CV154" s="13">
        <f t="shared" ref="CV154:CV203" si="173">EXP(-1.0587+0.8836*LN(CU154)+0.284)</f>
        <v>96.057581330707137</v>
      </c>
      <c r="CW154" s="20">
        <f t="shared" ref="CW154:CW203" si="174">(CU154+CV154)*0.475*44/12</f>
        <v>900.85523818431557</v>
      </c>
      <c r="CX154" s="59">
        <f t="shared" si="122"/>
        <v>1194.1885715176488</v>
      </c>
      <c r="CY154" s="59">
        <f ca="1">AVERAGE(OFFSET($CX$3,0,0,'Données projet'!$E$13+1,1))-AVERAGE(OFFSET($H$3,0,0,'Données projet'!$E$13+1,1))</f>
        <v>469.97161976912071</v>
      </c>
      <c r="CZ154" s="59">
        <f t="shared" si="150"/>
        <v>231.65013084759306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60.33747677158928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60.33747677158928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8.3249999999999993</v>
      </c>
      <c r="DO154" s="12">
        <f>IF('Données projet'!$A$166&gt;35,DO153+DN154-DW153,IF(A154&lt;'Données projet'!$A$166,$DL$205^A154,IF(A154='Données projet'!$A$166,'Données projet'!$B$166,DO153+DN154-DW153)))</f>
        <v>465.49500000000052</v>
      </c>
      <c r="DP154" s="17">
        <f>DO154*VLOOKUP('Données projet'!$B$14,Paramètres!$A$1:$I$89,3,0)*VLOOKUP('Données projet'!$B$14,Paramètres!$A$1:$I$89,5,0)</f>
        <v>450.22676400000051</v>
      </c>
      <c r="DQ154" s="13">
        <f t="shared" ref="DQ154:DQ203" si="176">EXP(-1.0587+0.8836*LN(DP154)+0.284)</f>
        <v>101.88821854080018</v>
      </c>
      <c r="DR154" s="20">
        <f t="shared" ref="DR154:DR203" si="177">(DP154+DQ154)*0.475*44/12</f>
        <v>961.6002612585612</v>
      </c>
      <c r="DS154" s="59">
        <f t="shared" si="125"/>
        <v>1254.9335945918945</v>
      </c>
      <c r="DT154" s="59">
        <f ca="1">AVERAGE(OFFSET($DS$3,0,0,'Données projet'!$E$14+1,1))-AVERAGE(OFFSET($H$3,0,0,'Données projet'!$E$14+1,1))</f>
        <v>506.9153247310901</v>
      </c>
      <c r="DU154" s="59">
        <f t="shared" si="152"/>
        <v>247.31254626788319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64.49868206618163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64.49868206618163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193.8828274189392</v>
      </c>
      <c r="T155" s="59">
        <f t="shared" si="142"/>
        <v>179.13381331066427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48.161595657078067</v>
      </c>
      <c r="AA155" s="21">
        <f>EXP(-LN(2)/25)*AA154+(1-EXP(-LN(2)/25))/(LN(2)/25)*Calculateur!V155*Calculateur!X155*VLOOKUP('Données projet'!$B$9,Paramètres!$A$1:$I$89,3,0)*0.475*44/12</f>
        <v>13.931713436850906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62.093309093928973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-6.8212102632969618E-13</v>
      </c>
      <c r="AJ155" s="13">
        <f>AI155*VLOOKUP('Données projet'!$B$10,Paramètres!$A$1:$I$89,3,0)*VLOOKUP('Données projet'!$B$10,Paramètres!$A$1:$I$89,5,0)</f>
        <v>-4.0790837374515837E-13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228.36873053496748</v>
      </c>
      <c r="AO155" s="59">
        <f t="shared" si="144"/>
        <v>177.73676400313303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32.28706886967079</v>
      </c>
      <c r="AV155" s="21">
        <f>EXP(-LN(2)/25)*AV154+(1-EXP(-LN(2)/25))/(LN(2)/25)*Calculateur!AQ155*Calculateur!AS155*VLOOKUP('Données projet'!$B$10,Paramètres!$A$1:$I$89,3,0)*0.475*44/12</f>
        <v>8.9904391913619879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41.277508061032776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480.45348000000058</v>
      </c>
      <c r="BF155" s="13">
        <f t="shared" si="167"/>
        <v>107.90937866146631</v>
      </c>
      <c r="BG155" s="20">
        <f t="shared" si="168"/>
        <v>1024.7319788353882</v>
      </c>
      <c r="BH155" s="59">
        <f t="shared" si="116"/>
        <v>1318.0653121687214</v>
      </c>
      <c r="BI155" s="59">
        <f ca="1">AVERAGE(OFFSET($BH$3,0,0,'Données projet'!$E$11+1,1))-AVERAGE(OFFSET($H$3,0,0,'Données projet'!$E$11+1,1))</f>
        <v>534.59150243554586</v>
      </c>
      <c r="BJ155" s="59">
        <f t="shared" si="146"/>
        <v>259.04458689606491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66.293607198812893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66.293607198812893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2.8421709430404007E-14</v>
      </c>
      <c r="BZ155" s="13">
        <f>BY155*VLOOKUP('Données projet'!$B$12,Paramètres!$A$1:$I$89,3,0)*VLOOKUP('Données projet'!$B$12,Paramètres!$A$1:$I$89,5,0)</f>
        <v>2.4829205358400945E-14</v>
      </c>
      <c r="CA155" s="13">
        <f t="shared" si="170"/>
        <v>4.3867331143352915E-13</v>
      </c>
      <c r="CB155" s="20">
        <f t="shared" si="171"/>
        <v>8.0726688341261168E-13</v>
      </c>
      <c r="CC155" s="59">
        <f t="shared" si="119"/>
        <v>293.33333333333411</v>
      </c>
      <c r="CD155" s="59">
        <f ca="1">AVERAGE(OFFSET($CC$3,0,0,'Données projet'!$E$12+1,1))-AVERAGE(OFFSET($H$3,0,0,'Données projet'!$E$12+1,1))</f>
        <v>211.91720528436969</v>
      </c>
      <c r="CE155" s="59">
        <f t="shared" si="148"/>
        <v>218.88548486038957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18.61955159134752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18.61955159134752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8.3249999999999993</v>
      </c>
      <c r="CT155" s="12">
        <f>IF('Données projet'!$A$140&gt;35,CT154+CS155-DB154,IF(A155&lt;'Données projet'!$A$140,$CQ$205^A155,IF(A155='Données projet'!$A$140,'Données projet'!$B$140,CT154+CS155-DB154)))</f>
        <v>473.8200000000005</v>
      </c>
      <c r="CU155" s="17">
        <f>CT155*VLOOKUP('Données projet'!$B$13,Paramètres!$A$1:$I$89,3,0)*VLOOKUP('Données projet'!$B$13,Paramètres!$A$1:$I$89,5,0)</f>
        <v>428.71233600000051</v>
      </c>
      <c r="CV155" s="13">
        <f t="shared" si="173"/>
        <v>97.57395866550209</v>
      </c>
      <c r="CW155" s="20">
        <f t="shared" si="174"/>
        <v>916.61529654241701</v>
      </c>
      <c r="CX155" s="59">
        <f t="shared" si="122"/>
        <v>1209.9486298757504</v>
      </c>
      <c r="CY155" s="59">
        <f ca="1">AVERAGE(OFFSET($CX$3,0,0,'Données projet'!$E$13+1,1))-AVERAGE(OFFSET($H$3,0,0,'Données projet'!$E$13+1,1))</f>
        <v>469.97161976912071</v>
      </c>
      <c r="CZ155" s="59">
        <f t="shared" si="150"/>
        <v>231.65013084759306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59.154295654325324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59.154295654325324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8.3249999999999993</v>
      </c>
      <c r="DO155" s="12">
        <f>IF('Données projet'!$A$166&gt;35,DO154+DN155-DW154,IF(A155&lt;'Données projet'!$A$166,$DL$205^A155,IF(A155='Données projet'!$A$166,'Données projet'!$B$166,DO154+DN155-DW154)))</f>
        <v>473.8200000000005</v>
      </c>
      <c r="DP155" s="17">
        <f>DO155*VLOOKUP('Données projet'!$B$14,Paramètres!$A$1:$I$89,3,0)*VLOOKUP('Données projet'!$B$14,Paramètres!$A$1:$I$89,5,0)</f>
        <v>458.27870400000052</v>
      </c>
      <c r="DQ155" s="13">
        <f t="shared" si="176"/>
        <v>103.49663906458966</v>
      </c>
      <c r="DR155" s="20">
        <f t="shared" si="177"/>
        <v>978.42538917082777</v>
      </c>
      <c r="DS155" s="59">
        <f t="shared" si="125"/>
        <v>1271.7587225041611</v>
      </c>
      <c r="DT155" s="59">
        <f ca="1">AVERAGE(OFFSET($DS$3,0,0,'Données projet'!$E$14+1,1))-AVERAGE(OFFSET($H$3,0,0,'Données projet'!$E$14+1,1))</f>
        <v>506.9153247310901</v>
      </c>
      <c r="DU155" s="59">
        <f t="shared" si="152"/>
        <v>247.31254626788319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63.233902251175337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63.233902251175337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193.8828274189392</v>
      </c>
      <c r="T156" s="59">
        <f t="shared" si="142"/>
        <v>179.13381331066427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47.217176141915509</v>
      </c>
      <c r="AA156" s="21">
        <f>EXP(-LN(2)/25)*AA155+(1-EXP(-LN(2)/25))/(LN(2)/25)*Calculateur!V156*Calculateur!X156*VLOOKUP('Données projet'!$B$9,Paramètres!$A$1:$I$89,3,0)*0.475*44/12</f>
        <v>13.55075000028325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60.76792614219876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-6.8212102632969618E-13</v>
      </c>
      <c r="AJ156" s="13">
        <f>AI156*VLOOKUP('Données projet'!$B$10,Paramètres!$A$1:$I$89,3,0)*VLOOKUP('Données projet'!$B$10,Paramètres!$A$1:$I$89,5,0)</f>
        <v>-4.0790837374515837E-13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228.36873053496748</v>
      </c>
      <c r="AO156" s="59">
        <f t="shared" si="144"/>
        <v>177.73676400313303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31.653939142304019</v>
      </c>
      <c r="AV156" s="21">
        <f>EXP(-LN(2)/25)*AV155+(1-EXP(-LN(2)/25))/(LN(2)/25)*Calculateur!AQ156*Calculateur!AS156*VLOOKUP('Données projet'!$B$10,Paramètres!$A$1:$I$89,3,0)*0.475*44/12</f>
        <v>8.7445951588875452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40.39853430119156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488.89503000000053</v>
      </c>
      <c r="BF156" s="13">
        <f t="shared" si="167"/>
        <v>109.582950303247</v>
      </c>
      <c r="BG156" s="20">
        <f t="shared" si="168"/>
        <v>1042.349149028156</v>
      </c>
      <c r="BH156" s="59">
        <f t="shared" si="116"/>
        <v>1335.6824823614893</v>
      </c>
      <c r="BI156" s="59">
        <f ca="1">AVERAGE(OFFSET($BH$3,0,0,'Données projet'!$E$11+1,1))-AVERAGE(OFFSET($H$3,0,0,'Données projet'!$E$11+1,1))</f>
        <v>534.59150243554586</v>
      </c>
      <c r="BJ156" s="59">
        <f t="shared" si="146"/>
        <v>259.04458689606491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64.993629996751935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64.993629996751935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2.8421709430404007E-14</v>
      </c>
      <c r="BZ156" s="13">
        <f>BY156*VLOOKUP('Données projet'!$B$12,Paramètres!$A$1:$I$89,3,0)*VLOOKUP('Données projet'!$B$12,Paramètres!$A$1:$I$89,5,0)</f>
        <v>2.4829205358400945E-14</v>
      </c>
      <c r="CA156" s="13">
        <f t="shared" si="170"/>
        <v>4.3867331143352915E-13</v>
      </c>
      <c r="CB156" s="20">
        <f t="shared" si="171"/>
        <v>8.0726688341261168E-13</v>
      </c>
      <c r="CC156" s="59">
        <f t="shared" si="119"/>
        <v>293.33333333333411</v>
      </c>
      <c r="CD156" s="59">
        <f ca="1">AVERAGE(OFFSET($CC$3,0,0,'Données projet'!$E$12+1,1))-AVERAGE(OFFSET($H$3,0,0,'Données projet'!$E$12+1,1))</f>
        <v>211.91720528436969</v>
      </c>
      <c r="CE156" s="59">
        <f t="shared" si="148"/>
        <v>218.88548486038957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18.254433541446275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18.254433541446275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8.3249999999999993</v>
      </c>
      <c r="CT156" s="12">
        <f>IF('Données projet'!$A$140&gt;35,CT155+CS156-DB155,IF(A156&lt;'Données projet'!$A$140,$CQ$205^A156,IF(A156='Données projet'!$A$140,'Données projet'!$B$140,CT155+CS156-DB155)))</f>
        <v>482.14500000000049</v>
      </c>
      <c r="CU156" s="17">
        <f>CT156*VLOOKUP('Données projet'!$B$13,Paramètres!$A$1:$I$89,3,0)*VLOOKUP('Données projet'!$B$13,Paramètres!$A$1:$I$89,5,0)</f>
        <v>436.24479600000041</v>
      </c>
      <c r="CV156" s="13">
        <f t="shared" si="173"/>
        <v>99.087237791231857</v>
      </c>
      <c r="CW156" s="20">
        <f t="shared" si="174"/>
        <v>932.36995885306271</v>
      </c>
      <c r="CX156" s="59">
        <f t="shared" si="122"/>
        <v>1225.7032921863961</v>
      </c>
      <c r="CY156" s="59">
        <f ca="1">AVERAGE(OFFSET($CX$3,0,0,'Données projet'!$E$13+1,1))-AVERAGE(OFFSET($H$3,0,0,'Données projet'!$E$13+1,1))</f>
        <v>469.97161976912071</v>
      </c>
      <c r="CZ156" s="59">
        <f t="shared" si="150"/>
        <v>231.65013084759306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57.994315997101694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57.994315997101694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8.3249999999999993</v>
      </c>
      <c r="DO156" s="12">
        <f>IF('Données projet'!$A$166&gt;35,DO155+DN156-DW155,IF(A156&lt;'Données projet'!$A$166,$DL$205^A156,IF(A156='Données projet'!$A$166,'Données projet'!$B$166,DO155+DN156-DW155)))</f>
        <v>482.14500000000049</v>
      </c>
      <c r="DP156" s="17">
        <f>DO156*VLOOKUP('Données projet'!$B$14,Paramètres!$A$1:$I$89,3,0)*VLOOKUP('Données projet'!$B$14,Paramètres!$A$1:$I$89,5,0)</f>
        <v>466.33064400000052</v>
      </c>
      <c r="DQ156" s="13">
        <f t="shared" si="176"/>
        <v>105.10177331989394</v>
      </c>
      <c r="DR156" s="20">
        <f t="shared" si="177"/>
        <v>995.24479349881619</v>
      </c>
      <c r="DS156" s="59">
        <f t="shared" si="125"/>
        <v>1288.5781268321496</v>
      </c>
      <c r="DT156" s="59">
        <f ca="1">AVERAGE(OFFSET($DS$3,0,0,'Données projet'!$E$14+1,1))-AVERAGE(OFFSET($H$3,0,0,'Données projet'!$E$14+1,1))</f>
        <v>506.9153247310901</v>
      </c>
      <c r="DU156" s="59">
        <f t="shared" si="152"/>
        <v>247.31254626788319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61.993923996901799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61.993923996901799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193.8828274189392</v>
      </c>
      <c r="T157" s="59">
        <f t="shared" si="142"/>
        <v>179.13381331066427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46.291276117406262</v>
      </c>
      <c r="AA157" s="21">
        <f>EXP(-LN(2)/25)*AA156+(1-EXP(-LN(2)/25))/(LN(2)/25)*Calculateur!V157*Calculateur!X157*VLOOKUP('Données projet'!$B$9,Paramètres!$A$1:$I$89,3,0)*0.475*44/12</f>
        <v>13.180204028922532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59.471480146328794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-6.8212102632969618E-13</v>
      </c>
      <c r="AJ157" s="13">
        <f>AI157*VLOOKUP('Données projet'!$B$10,Paramètres!$A$1:$I$89,3,0)*VLOOKUP('Données projet'!$B$10,Paramètres!$A$1:$I$89,5,0)</f>
        <v>-4.0790837374515837E-13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228.36873053496748</v>
      </c>
      <c r="AO157" s="59">
        <f t="shared" si="144"/>
        <v>177.73676400313303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31.033224702719906</v>
      </c>
      <c r="AV157" s="21">
        <f>EXP(-LN(2)/25)*AV156+(1-EXP(-LN(2)/25))/(LN(2)/25)*Calculateur!AQ157*Calculateur!AS157*VLOOKUP('Données projet'!$B$10,Paramètres!$A$1:$I$89,3,0)*0.475*44/12</f>
        <v>8.5054737444094926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39.538698447129399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497.33658000000054</v>
      </c>
      <c r="BF157" s="13">
        <f t="shared" si="167"/>
        <v>111.2531615500869</v>
      </c>
      <c r="BG157" s="20">
        <f t="shared" si="168"/>
        <v>1059.9604665330687</v>
      </c>
      <c r="BH157" s="59">
        <f t="shared" si="116"/>
        <v>1353.293799866402</v>
      </c>
      <c r="BI157" s="59">
        <f ca="1">AVERAGE(OFFSET($BH$3,0,0,'Données projet'!$E$11+1,1))-AVERAGE(OFFSET($H$3,0,0,'Données projet'!$E$11+1,1))</f>
        <v>534.59150243554586</v>
      </c>
      <c r="BJ157" s="59">
        <f t="shared" si="146"/>
        <v>259.04458689606491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79.662978547087107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79.662978547087107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2.8421709430404007E-14</v>
      </c>
      <c r="BZ157" s="13">
        <f>BY157*VLOOKUP('Données projet'!$B$12,Paramètres!$A$1:$I$89,3,0)*VLOOKUP('Données projet'!$B$12,Paramètres!$A$1:$I$89,5,0)</f>
        <v>2.4829205358400945E-14</v>
      </c>
      <c r="CA157" s="13">
        <f t="shared" si="170"/>
        <v>4.3867331143352915E-13</v>
      </c>
      <c r="CB157" s="20">
        <f t="shared" si="171"/>
        <v>8.0726688341261168E-13</v>
      </c>
      <c r="CC157" s="59">
        <f t="shared" si="119"/>
        <v>293.33333333333411</v>
      </c>
      <c r="CD157" s="59">
        <f ca="1">AVERAGE(OFFSET($CC$3,0,0,'Données projet'!$E$12+1,1))-AVERAGE(OFFSET($H$3,0,0,'Données projet'!$E$12+1,1))</f>
        <v>211.91720528436969</v>
      </c>
      <c r="CE157" s="59">
        <f t="shared" si="148"/>
        <v>218.88548486038957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17.896475233803571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17.896475233803571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490.47</v>
      </c>
      <c r="CR157" s="12">
        <f>VLOOKUP(A157,'Données projet'!$A$139:$I$159,9,0)</f>
        <v>8.3249999999999993</v>
      </c>
      <c r="CS157" s="12">
        <f t="array" ref="CS157">INDEX(CR:CR,MIN(IF(ISNUMBER(CR157:CR353),ROW(CR157:CR353),"")))</f>
        <v>8.3249999999999993</v>
      </c>
      <c r="CT157" s="12">
        <f>IF('Données projet'!$A$140&gt;35,CT156+CS157-DB156,IF(A157&lt;'Données projet'!$A$140,$CQ$205^A157,IF(A157='Données projet'!$A$140,'Données projet'!$B$140,CT156+CS157-DB156)))</f>
        <v>490.47000000000048</v>
      </c>
      <c r="CU157" s="17">
        <f>CT157*VLOOKUP('Données projet'!$B$13,Paramètres!$A$1:$I$89,3,0)*VLOOKUP('Données projet'!$B$13,Paramètres!$A$1:$I$89,5,0)</f>
        <v>443.77725600000048</v>
      </c>
      <c r="CV157" s="13">
        <f t="shared" si="173"/>
        <v>100.59747837627934</v>
      </c>
      <c r="CW157" s="20">
        <f t="shared" si="174"/>
        <v>948.11932903868717</v>
      </c>
      <c r="CX157" s="59">
        <f t="shared" si="122"/>
        <v>1241.4526623720205</v>
      </c>
      <c r="CY157" s="59">
        <f ca="1">AVERAGE(OFFSET($CX$3,0,0,'Données projet'!$E$13+1,1))-AVERAGE(OFFSET($H$3,0,0,'Données projet'!$E$13+1,1))</f>
        <v>469.97161976912071</v>
      </c>
      <c r="CZ157" s="59">
        <f t="shared" si="150"/>
        <v>231.65013084759306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0.25800000000000001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71.083888549708462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71.083888549708462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>
        <f>VLOOKUP(A157,'Données projet'!$A$165:$I$185,2,0)</f>
        <v>490.47</v>
      </c>
      <c r="DM157" s="12">
        <f>VLOOKUP(A157,'Données projet'!$A$165:$I$185,9,0)</f>
        <v>8.3249999999999993</v>
      </c>
      <c r="DN157" s="12">
        <f t="array" ref="DN157">INDEX(DM:DM,MIN(IF(ISNUMBER(DM157:DM353),ROW(DM157:DM353),"")))</f>
        <v>8.3249999999999993</v>
      </c>
      <c r="DO157" s="12">
        <f>IF('Données projet'!$A$166&gt;35,DO156+DN157-DW156,IF(A157&lt;'Données projet'!$A$166,$DL$205^A157,IF(A157='Données projet'!$A$166,'Données projet'!$B$166,DO156+DN157-DW156)))</f>
        <v>490.47000000000048</v>
      </c>
      <c r="DP157" s="17">
        <f>DO157*VLOOKUP('Données projet'!$B$14,Paramètres!$A$1:$I$89,3,0)*VLOOKUP('Données projet'!$B$14,Paramètres!$A$1:$I$89,5,0)</f>
        <v>474.38258400000052</v>
      </c>
      <c r="DQ157" s="13">
        <f t="shared" si="176"/>
        <v>106.70368459693037</v>
      </c>
      <c r="DR157" s="20">
        <f t="shared" si="177"/>
        <v>1012.0585844729879</v>
      </c>
      <c r="DS157" s="59">
        <f t="shared" si="125"/>
        <v>1305.3919178063213</v>
      </c>
      <c r="DT157" s="59">
        <f ca="1">AVERAGE(OFFSET($DS$3,0,0,'Données projet'!$E$14+1,1))-AVERAGE(OFFSET($H$3,0,0,'Données projet'!$E$14+1,1))</f>
        <v>506.9153247310901</v>
      </c>
      <c r="DU157" s="59">
        <f t="shared" si="152"/>
        <v>247.31254626788319</v>
      </c>
      <c r="DV157" s="15">
        <f>IF(ISNA(VLOOKUP(A157,'Données projet'!$A$165:$I$185,3,0)),0,VLOOKUP(A157,'Données projet'!$A$165:$I$185,3,0))</f>
        <v>13</v>
      </c>
      <c r="DW157" s="15">
        <f>IF(ISNA(VLOOKUP(A157,'Données projet'!$A$165:$I$185,4,0)),0,VLOOKUP(A157,'Données projet'!$A$165:$I$185,4,0))</f>
        <v>55.13</v>
      </c>
      <c r="DX157" s="16">
        <f>IF(ISNA(VLOOKUP(A157,'Données projet'!$A$165:$I$185,5,0)),0%,VLOOKUP(A157,'Données projet'!$A$165:$I$185,5,0)*VLOOKUP('Données projet'!$B$14,Paramètres!$A$1:$I$89,7,0))</f>
        <v>0.25800000000000001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75.986225691067673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75.986225691067673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193.8828274189392</v>
      </c>
      <c r="T158" s="59">
        <f t="shared" si="142"/>
        <v>179.13381331066427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45.383532427634393</v>
      </c>
      <c r="AA158" s="21">
        <f>EXP(-LN(2)/25)*AA157+(1-EXP(-LN(2)/25))/(LN(2)/25)*Calculateur!V158*Calculateur!X158*VLOOKUP('Données projet'!$B$9,Paramètres!$A$1:$I$89,3,0)*0.475*44/12</f>
        <v>12.819790656634838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58.203323084269229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-6.8212102632969618E-13</v>
      </c>
      <c r="AJ158" s="13">
        <f>AI158*VLOOKUP('Données projet'!$B$10,Paramètres!$A$1:$I$89,3,0)*VLOOKUP('Données projet'!$B$10,Paramètres!$A$1:$I$89,5,0)</f>
        <v>-4.0790837374515837E-13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228.36873053496748</v>
      </c>
      <c r="AO158" s="59">
        <f t="shared" si="144"/>
        <v>177.73676400313303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30.424682094697612</v>
      </c>
      <c r="AV158" s="21">
        <f>EXP(-LN(2)/25)*AV157+(1-EXP(-LN(2)/25))/(LN(2)/25)*Calculateur!AQ158*Calculateur!AS158*VLOOKUP('Données projet'!$B$10,Paramètres!$A$1:$I$89,3,0)*0.475*44/12</f>
        <v>8.2728911175851909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38.697573212282805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449.99596200000047</v>
      </c>
      <c r="BF158" s="13">
        <f t="shared" si="167"/>
        <v>101.84206543885381</v>
      </c>
      <c r="BG158" s="20">
        <f t="shared" si="168"/>
        <v>961.1178977893378</v>
      </c>
      <c r="BH158" s="59">
        <f t="shared" si="116"/>
        <v>1254.4512311226711</v>
      </c>
      <c r="BI158" s="59">
        <f ca="1">AVERAGE(OFFSET($BH$3,0,0,'Données projet'!$E$11+1,1))-AVERAGE(OFFSET($H$3,0,0,'Données projet'!$E$11+1,1))</f>
        <v>534.59150243554586</v>
      </c>
      <c r="BJ158" s="59">
        <f t="shared" si="146"/>
        <v>259.04458689606491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78.100836127397812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78.100836127397812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2.8421709430404007E-14</v>
      </c>
      <c r="BZ158" s="13">
        <f>BY158*VLOOKUP('Données projet'!$B$12,Paramètres!$A$1:$I$89,3,0)*VLOOKUP('Données projet'!$B$12,Paramètres!$A$1:$I$89,5,0)</f>
        <v>2.4829205358400945E-14</v>
      </c>
      <c r="CA158" s="13">
        <f t="shared" si="170"/>
        <v>4.3867331143352915E-13</v>
      </c>
      <c r="CB158" s="20">
        <f t="shared" si="171"/>
        <v>8.0726688341261168E-13</v>
      </c>
      <c r="CC158" s="59">
        <f t="shared" si="119"/>
        <v>293.33333333333411</v>
      </c>
      <c r="CD158" s="59">
        <f ca="1">AVERAGE(OFFSET($CC$3,0,0,'Données projet'!$E$12+1,1))-AVERAGE(OFFSET($H$3,0,0,'Données projet'!$E$12+1,1))</f>
        <v>211.91720528436969</v>
      </c>
      <c r="CE158" s="59">
        <f t="shared" si="148"/>
        <v>218.88548486038957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17.545536270240731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17.545536270240731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8.4429999999999943</v>
      </c>
      <c r="CT158" s="12">
        <f>IF('Données projet'!$A$140&gt;35,CT157+CS158-DB157,IF(A158&lt;'Données projet'!$A$140,$CQ$205^A158,IF(A158='Données projet'!$A$140,'Données projet'!$B$140,CT157+CS158-DB157)))</f>
        <v>443.78300000000047</v>
      </c>
      <c r="CU158" s="17">
        <f>CT158*VLOOKUP('Données projet'!$B$13,Paramètres!$A$1:$I$89,3,0)*VLOOKUP('Données projet'!$B$13,Paramètres!$A$1:$I$89,5,0)</f>
        <v>401.53485840000047</v>
      </c>
      <c r="CV158" s="13">
        <f t="shared" si="173"/>
        <v>92.087764815279797</v>
      </c>
      <c r="CW158" s="20">
        <f t="shared" si="174"/>
        <v>859.72606876661303</v>
      </c>
      <c r="CX158" s="59">
        <f t="shared" si="122"/>
        <v>1153.0594020999463</v>
      </c>
      <c r="CY158" s="59">
        <f ca="1">AVERAGE(OFFSET($CX$3,0,0,'Données projet'!$E$13+1,1))-AVERAGE(OFFSET($H$3,0,0,'Données projet'!$E$13+1,1))</f>
        <v>469.97161976912071</v>
      </c>
      <c r="CZ158" s="59">
        <f t="shared" si="150"/>
        <v>231.65013084759306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69.689976852139552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69.689976852139552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8.4429999999999943</v>
      </c>
      <c r="DO158" s="12">
        <f>IF('Données projet'!$A$166&gt;35,DO157+DN158-DW157,IF(A158&lt;'Données projet'!$A$166,$DL$205^A158,IF(A158='Données projet'!$A$166,'Données projet'!$B$166,DO157+DN158-DW157)))</f>
        <v>443.78300000000047</v>
      </c>
      <c r="DP158" s="17">
        <f>DO158*VLOOKUP('Données projet'!$B$14,Paramètres!$A$1:$I$89,3,0)*VLOOKUP('Données projet'!$B$14,Paramètres!$A$1:$I$89,5,0)</f>
        <v>429.22691760000049</v>
      </c>
      <c r="DQ158" s="13">
        <f t="shared" si="176"/>
        <v>97.677436558915673</v>
      </c>
      <c r="DR158" s="20">
        <f t="shared" si="177"/>
        <v>917.69175016011229</v>
      </c>
      <c r="DS158" s="59">
        <f t="shared" si="125"/>
        <v>1211.0250834934457</v>
      </c>
      <c r="DT158" s="59">
        <f ca="1">AVERAGE(OFFSET($DS$3,0,0,'Données projet'!$E$14+1,1))-AVERAGE(OFFSET($H$3,0,0,'Données projet'!$E$14+1,1))</f>
        <v>506.9153247310901</v>
      </c>
      <c r="DU158" s="59">
        <f t="shared" si="152"/>
        <v>247.31254626788319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74.496182152287119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74.496182152287119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193.8828274189392</v>
      </c>
      <c r="T159" s="59">
        <f t="shared" si="142"/>
        <v>179.13381331066427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44.493589037949967</v>
      </c>
      <c r="AA159" s="21">
        <f>EXP(-LN(2)/25)*AA158+(1-EXP(-LN(2)/25))/(LN(2)/25)*Calculateur!V159*Calculateur!X159*VLOOKUP('Données projet'!$B$9,Paramètres!$A$1:$I$89,3,0)*0.475*44/12</f>
        <v>12.469232806965667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56.962821844915638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-6.8212102632969618E-13</v>
      </c>
      <c r="AJ159" s="13">
        <f>AI159*VLOOKUP('Données projet'!$B$10,Paramètres!$A$1:$I$89,3,0)*VLOOKUP('Données projet'!$B$10,Paramètres!$A$1:$I$89,5,0)</f>
        <v>-4.0790837374515837E-13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228.36873053496748</v>
      </c>
      <c r="AO159" s="59">
        <f t="shared" si="144"/>
        <v>177.73676400313303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29.828072636044297</v>
      </c>
      <c r="AV159" s="21">
        <f>EXP(-LN(2)/25)*AV158+(1-EXP(-LN(2)/25))/(LN(2)/25)*Calculateur!AQ159*Calculateur!AS159*VLOOKUP('Données projet'!$B$10,Paramètres!$A$1:$I$89,3,0)*0.475*44/12</f>
        <v>8.046668474922388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37.874741110966681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458.55716400000051</v>
      </c>
      <c r="BF159" s="13">
        <f t="shared" si="167"/>
        <v>103.55220386280693</v>
      </c>
      <c r="BG159" s="20">
        <f t="shared" si="168"/>
        <v>979.00714902772279</v>
      </c>
      <c r="BH159" s="59">
        <f t="shared" si="116"/>
        <v>1272.340482361056</v>
      </c>
      <c r="BI159" s="59">
        <f ca="1">AVERAGE(OFFSET($BH$3,0,0,'Données projet'!$E$11+1,1))-AVERAGE(OFFSET($H$3,0,0,'Données projet'!$E$11+1,1))</f>
        <v>534.59150243554586</v>
      </c>
      <c r="BJ159" s="59">
        <f t="shared" si="146"/>
        <v>259.04458689606491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76.56932636774583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76.56932636774583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2.8421709430404007E-14</v>
      </c>
      <c r="BZ159" s="13">
        <f>BY159*VLOOKUP('Données projet'!$B$12,Paramètres!$A$1:$I$89,3,0)*VLOOKUP('Données projet'!$B$12,Paramètres!$A$1:$I$89,5,0)</f>
        <v>2.4829205358400945E-14</v>
      </c>
      <c r="CA159" s="13">
        <f t="shared" si="170"/>
        <v>4.3867331143352915E-13</v>
      </c>
      <c r="CB159" s="20">
        <f t="shared" si="171"/>
        <v>8.0726688341261168E-13</v>
      </c>
      <c r="CC159" s="59">
        <f t="shared" si="119"/>
        <v>293.33333333333411</v>
      </c>
      <c r="CD159" s="59">
        <f ca="1">AVERAGE(OFFSET($CC$3,0,0,'Données projet'!$E$12+1,1))-AVERAGE(OFFSET($H$3,0,0,'Données projet'!$E$12+1,1))</f>
        <v>211.91720528436969</v>
      </c>
      <c r="CE159" s="59">
        <f t="shared" si="148"/>
        <v>218.88548486038957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17.201479005701728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17.201479005701728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8.4429999999999943</v>
      </c>
      <c r="CT159" s="12">
        <f>IF('Données projet'!$A$140&gt;35,CT158+CS159-DB158,IF(A159&lt;'Données projet'!$A$140,$CQ$205^A159,IF(A159='Données projet'!$A$140,'Données projet'!$B$140,CT158+CS159-DB158)))</f>
        <v>452.22600000000045</v>
      </c>
      <c r="CU159" s="17">
        <f>CT159*VLOOKUP('Données projet'!$B$13,Paramètres!$A$1:$I$89,3,0)*VLOOKUP('Données projet'!$B$13,Paramètres!$A$1:$I$89,5,0)</f>
        <v>409.1740848000004</v>
      </c>
      <c r="CV159" s="13">
        <f t="shared" si="173"/>
        <v>93.634108404325715</v>
      </c>
      <c r="CW159" s="20">
        <f t="shared" si="174"/>
        <v>875.72426983086791</v>
      </c>
      <c r="CX159" s="59">
        <f t="shared" si="122"/>
        <v>1169.0576031642013</v>
      </c>
      <c r="CY159" s="59">
        <f ca="1">AVERAGE(OFFSET($CX$3,0,0,'Données projet'!$E$13+1,1))-AVERAGE(OFFSET($H$3,0,0,'Données projet'!$E$13+1,1))</f>
        <v>469.97161976912071</v>
      </c>
      <c r="CZ159" s="59">
        <f t="shared" si="150"/>
        <v>231.65013084759306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68.323398912757781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68.323398912757781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8.4429999999999943</v>
      </c>
      <c r="DO159" s="12">
        <f>IF('Données projet'!$A$166&gt;35,DO158+DN159-DW158,IF(A159&lt;'Données projet'!$A$166,$DL$205^A159,IF(A159='Données projet'!$A$166,'Données projet'!$B$166,DO158+DN159-DW158)))</f>
        <v>452.22600000000045</v>
      </c>
      <c r="DP159" s="17">
        <f>DO159*VLOOKUP('Données projet'!$B$14,Paramètres!$A$1:$I$89,3,0)*VLOOKUP('Données projet'!$B$14,Paramètres!$A$1:$I$89,5,0)</f>
        <v>437.39298720000045</v>
      </c>
      <c r="DQ159" s="13">
        <f t="shared" si="176"/>
        <v>99.317642270502773</v>
      </c>
      <c r="DR159" s="20">
        <f t="shared" si="177"/>
        <v>934.77101299445985</v>
      </c>
      <c r="DS159" s="59">
        <f t="shared" si="125"/>
        <v>1228.1043463277931</v>
      </c>
      <c r="DT159" s="59">
        <f ca="1">AVERAGE(OFFSET($DS$3,0,0,'Données projet'!$E$14+1,1))-AVERAGE(OFFSET($H$3,0,0,'Données projet'!$E$14+1,1))</f>
        <v>506.9153247310901</v>
      </c>
      <c r="DU159" s="59">
        <f t="shared" si="152"/>
        <v>247.31254626788319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73.035357458465228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73.035357458465228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193.8828274189392</v>
      </c>
      <c r="T160" s="59">
        <f t="shared" si="142"/>
        <v>179.13381331066427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43.621096895325387</v>
      </c>
      <c r="AA160" s="21">
        <f>EXP(-LN(2)/25)*AA159+(1-EXP(-LN(2)/25))/(LN(2)/25)*Calculateur!V160*Calculateur!X160*VLOOKUP('Données projet'!$B$9,Paramètres!$A$1:$I$89,3,0)*0.475*44/12</f>
        <v>12.128260980130737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55.749357875456127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-6.8212102632969618E-13</v>
      </c>
      <c r="AJ160" s="13">
        <f>AI160*VLOOKUP('Données projet'!$B$10,Paramètres!$A$1:$I$89,3,0)*VLOOKUP('Données projet'!$B$10,Paramètres!$A$1:$I$89,5,0)</f>
        <v>-4.0790837374515837E-13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228.36873053496748</v>
      </c>
      <c r="AO160" s="59">
        <f t="shared" si="144"/>
        <v>177.73676400313303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29.243162324979334</v>
      </c>
      <c r="AV160" s="21">
        <f>EXP(-LN(2)/25)*AV159+(1-EXP(-LN(2)/25))/(LN(2)/25)*Calculateur!AQ160*Calculateur!AS160*VLOOKUP('Données projet'!$B$10,Paramètres!$A$1:$I$89,3,0)*0.475*44/12</f>
        <v>7.8266319023197308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37.069794227299063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467.11836600000044</v>
      </c>
      <c r="BF160" s="13">
        <f t="shared" si="167"/>
        <v>105.25862966790358</v>
      </c>
      <c r="BG160" s="20">
        <f t="shared" si="168"/>
        <v>996.88993412159937</v>
      </c>
      <c r="BH160" s="59">
        <f t="shared" si="116"/>
        <v>1290.2232674549327</v>
      </c>
      <c r="BI160" s="59">
        <f ca="1">AVERAGE(OFFSET($BH$3,0,0,'Données projet'!$E$11+1,1))-AVERAGE(OFFSET($H$3,0,0,'Données projet'!$E$11+1,1))</f>
        <v>534.59150243554586</v>
      </c>
      <c r="BJ160" s="59">
        <f t="shared" si="146"/>
        <v>259.04458689606491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75.067848580351907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75.067848580351907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2.8421709430404007E-14</v>
      </c>
      <c r="BZ160" s="13">
        <f>BY160*VLOOKUP('Données projet'!$B$12,Paramètres!$A$1:$I$89,3,0)*VLOOKUP('Données projet'!$B$12,Paramètres!$A$1:$I$89,5,0)</f>
        <v>2.4829205358400945E-14</v>
      </c>
      <c r="CA160" s="13">
        <f t="shared" si="170"/>
        <v>4.3867331143352915E-13</v>
      </c>
      <c r="CB160" s="20">
        <f t="shared" si="171"/>
        <v>8.0726688341261168E-13</v>
      </c>
      <c r="CC160" s="59">
        <f t="shared" si="119"/>
        <v>293.33333333333411</v>
      </c>
      <c r="CD160" s="59">
        <f ca="1">AVERAGE(OFFSET($CC$3,0,0,'Données projet'!$E$12+1,1))-AVERAGE(OFFSET($H$3,0,0,'Données projet'!$E$12+1,1))</f>
        <v>211.91720528436969</v>
      </c>
      <c r="CE160" s="59">
        <f t="shared" si="148"/>
        <v>218.88548486038957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16.864168494266124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16.864168494266124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8.4429999999999943</v>
      </c>
      <c r="CT160" s="12">
        <f>IF('Données projet'!$A$140&gt;35,CT159+CS160-DB159,IF(A160&lt;'Données projet'!$A$140,$CQ$205^A160,IF(A160='Données projet'!$A$140,'Données projet'!$B$140,CT159+CS160-DB159)))</f>
        <v>460.66900000000044</v>
      </c>
      <c r="CU160" s="17">
        <f>CT160*VLOOKUP('Données projet'!$B$13,Paramètres!$A$1:$I$89,3,0)*VLOOKUP('Données projet'!$B$13,Paramètres!$A$1:$I$89,5,0)</f>
        <v>416.81331120000038</v>
      </c>
      <c r="CV160" s="13">
        <f t="shared" si="173"/>
        <v>95.177094964322421</v>
      </c>
      <c r="CW160" s="20">
        <f t="shared" si="174"/>
        <v>891.71662406952885</v>
      </c>
      <c r="CX160" s="59">
        <f t="shared" si="122"/>
        <v>1185.0499574028622</v>
      </c>
      <c r="CY160" s="59">
        <f ca="1">AVERAGE(OFFSET($CX$3,0,0,'Données projet'!$E$13+1,1))-AVERAGE(OFFSET($H$3,0,0,'Données projet'!$E$13+1,1))</f>
        <v>469.97161976912071</v>
      </c>
      <c r="CZ160" s="59">
        <f t="shared" si="150"/>
        <v>231.65013084759306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66.983618733237051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66.983618733237051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8.4429999999999943</v>
      </c>
      <c r="DO160" s="12">
        <f>IF('Données projet'!$A$166&gt;35,DO159+DN160-DW159,IF(A160&lt;'Données projet'!$A$166,$DL$205^A160,IF(A160='Données projet'!$A$166,'Données projet'!$B$166,DO159+DN160-DW159)))</f>
        <v>460.66900000000044</v>
      </c>
      <c r="DP160" s="17">
        <f>DO160*VLOOKUP('Données projet'!$B$14,Paramètres!$A$1:$I$89,3,0)*VLOOKUP('Données projet'!$B$14,Paramètres!$A$1:$I$89,5,0)</f>
        <v>445.55905680000046</v>
      </c>
      <c r="DQ160" s="13">
        <f t="shared" si="176"/>
        <v>100.95428718340372</v>
      </c>
      <c r="DR160" s="20">
        <f t="shared" si="177"/>
        <v>951.84407410442907</v>
      </c>
      <c r="DS160" s="59">
        <f t="shared" si="125"/>
        <v>1245.1774074377624</v>
      </c>
      <c r="DT160" s="59">
        <f ca="1">AVERAGE(OFFSET($DS$3,0,0,'Données projet'!$E$14+1,1))-AVERAGE(OFFSET($H$3,0,0,'Données projet'!$E$14+1,1))</f>
        <v>506.9153247310901</v>
      </c>
      <c r="DU160" s="59">
        <f t="shared" si="152"/>
        <v>247.31254626788319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71.60317864587411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71.60317864587411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193.8828274189392</v>
      </c>
      <c r="T161" s="59">
        <f t="shared" si="142"/>
        <v>179.13381331066427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42.765713791450011</v>
      </c>
      <c r="AA161" s="21">
        <f>EXP(-LN(2)/25)*AA160+(1-EXP(-LN(2)/25))/(LN(2)/25)*Calculateur!V161*Calculateur!X161*VLOOKUP('Données projet'!$B$9,Paramètres!$A$1:$I$89,3,0)*0.475*44/12</f>
        <v>11.796613045831537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54.562326837281546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-6.8212102632969618E-13</v>
      </c>
      <c r="AJ161" s="13">
        <f>AI161*VLOOKUP('Données projet'!$B$10,Paramètres!$A$1:$I$89,3,0)*VLOOKUP('Données projet'!$B$10,Paramètres!$A$1:$I$89,5,0)</f>
        <v>-4.0790837374515837E-13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228.36873053496748</v>
      </c>
      <c r="AO161" s="59">
        <f t="shared" si="144"/>
        <v>177.73676400313303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28.669721748354291</v>
      </c>
      <c r="AV161" s="21">
        <f>EXP(-LN(2)/25)*AV160+(1-EXP(-LN(2)/25))/(LN(2)/25)*Calculateur!AQ161*Calculateur!AS161*VLOOKUP('Données projet'!$B$10,Paramètres!$A$1:$I$89,3,0)*0.475*44/12</f>
        <v>7.6126122413661141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36.282333989720406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475.67956800000047</v>
      </c>
      <c r="BF161" s="13">
        <f t="shared" si="167"/>
        <v>106.96141874577063</v>
      </c>
      <c r="BG161" s="20">
        <f t="shared" si="168"/>
        <v>1014.7663852488846</v>
      </c>
      <c r="BH161" s="59">
        <f t="shared" si="116"/>
        <v>1308.099718582218</v>
      </c>
      <c r="BI161" s="59">
        <f ca="1">AVERAGE(OFFSET($BH$3,0,0,'Données projet'!$E$11+1,1))-AVERAGE(OFFSET($H$3,0,0,'Données projet'!$E$11+1,1))</f>
        <v>534.59150243554586</v>
      </c>
      <c r="BJ161" s="59">
        <f t="shared" si="146"/>
        <v>259.04458689606491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73.595813856557768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73.595813856557768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2.8421709430404007E-14</v>
      </c>
      <c r="BZ161" s="13">
        <f>BY161*VLOOKUP('Données projet'!$B$12,Paramètres!$A$1:$I$89,3,0)*VLOOKUP('Données projet'!$B$12,Paramètres!$A$1:$I$89,5,0)</f>
        <v>2.4829205358400945E-14</v>
      </c>
      <c r="CA161" s="13">
        <f t="shared" si="170"/>
        <v>4.3867331143352915E-13</v>
      </c>
      <c r="CB161" s="20">
        <f t="shared" si="171"/>
        <v>8.0726688341261168E-13</v>
      </c>
      <c r="CC161" s="59">
        <f t="shared" si="119"/>
        <v>293.33333333333411</v>
      </c>
      <c r="CD161" s="59">
        <f ca="1">AVERAGE(OFFSET($CC$3,0,0,'Données projet'!$E$12+1,1))-AVERAGE(OFFSET($H$3,0,0,'Données projet'!$E$12+1,1))</f>
        <v>211.91720528436969</v>
      </c>
      <c r="CE161" s="59">
        <f t="shared" si="148"/>
        <v>218.88548486038957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16.533472436220677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16.533472436220677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8.4429999999999943</v>
      </c>
      <c r="CT161" s="12">
        <f>IF('Données projet'!$A$140&gt;35,CT160+CS161-DB160,IF(A161&lt;'Données projet'!$A$140,$CQ$205^A161,IF(A161='Données projet'!$A$140,'Données projet'!$B$140,CT160+CS161-DB160)))</f>
        <v>469.11200000000042</v>
      </c>
      <c r="CU161" s="17">
        <f>CT161*VLOOKUP('Données projet'!$B$13,Paramètres!$A$1:$I$89,3,0)*VLOOKUP('Données projet'!$B$13,Paramètres!$A$1:$I$89,5,0)</f>
        <v>424.45253760000043</v>
      </c>
      <c r="CV161" s="13">
        <f t="shared" si="173"/>
        <v>96.716793118095666</v>
      </c>
      <c r="CW161" s="20">
        <f t="shared" si="174"/>
        <v>907.70325100068385</v>
      </c>
      <c r="CX161" s="59">
        <f t="shared" si="122"/>
        <v>1201.0365843340171</v>
      </c>
      <c r="CY161" s="59">
        <f ca="1">AVERAGE(OFFSET($CX$3,0,0,'Données projet'!$E$13+1,1))-AVERAGE(OFFSET($H$3,0,0,'Données projet'!$E$13+1,1))</f>
        <v>469.97161976912071</v>
      </c>
      <c r="CZ161" s="59">
        <f t="shared" si="150"/>
        <v>231.65013084759306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65.670110825851509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65.670110825851509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8.4429999999999943</v>
      </c>
      <c r="DO161" s="12">
        <f>IF('Données projet'!$A$166&gt;35,DO160+DN161-DW160,IF(A161&lt;'Données projet'!$A$166,$DL$205^A161,IF(A161='Données projet'!$A$166,'Données projet'!$B$166,DO160+DN161-DW160)))</f>
        <v>469.11200000000042</v>
      </c>
      <c r="DP161" s="17">
        <f>DO161*VLOOKUP('Données projet'!$B$14,Paramètres!$A$1:$I$89,3,0)*VLOOKUP('Données projet'!$B$14,Paramètres!$A$1:$I$89,5,0)</f>
        <v>453.72512640000042</v>
      </c>
      <c r="DQ161" s="13">
        <f t="shared" si="176"/>
        <v>102.5874440858081</v>
      </c>
      <c r="DR161" s="20">
        <f t="shared" si="177"/>
        <v>968.91106026278305</v>
      </c>
      <c r="DS161" s="59">
        <f t="shared" si="125"/>
        <v>1262.2443935961164</v>
      </c>
      <c r="DT161" s="59">
        <f ca="1">AVERAGE(OFFSET($DS$3,0,0,'Données projet'!$E$14+1,1))-AVERAGE(OFFSET($H$3,0,0,'Données projet'!$E$14+1,1))</f>
        <v>506.9153247310901</v>
      </c>
      <c r="DU161" s="59">
        <f t="shared" si="152"/>
        <v>247.31254626788319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70.199083986255076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70.199083986255076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193.8828274189392</v>
      </c>
      <c r="T162" s="59">
        <f t="shared" si="142"/>
        <v>179.13381331066427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41.927104228509457</v>
      </c>
      <c r="AA162" s="21">
        <f>EXP(-LN(2)/25)*AA161+(1-EXP(-LN(2)/25))/(LN(2)/25)*Calculateur!V162*Calculateur!X162*VLOOKUP('Données projet'!$B$9,Paramètres!$A$1:$I$89,3,0)*0.475*44/12</f>
        <v>11.474034041736354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53.401138270245809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-6.8212102632969618E-13</v>
      </c>
      <c r="AJ162" s="13">
        <f>AI162*VLOOKUP('Données projet'!$B$10,Paramètres!$A$1:$I$89,3,0)*VLOOKUP('Données projet'!$B$10,Paramètres!$A$1:$I$89,5,0)</f>
        <v>-4.0790837374515837E-13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228.36873053496748</v>
      </c>
      <c r="AO162" s="59">
        <f t="shared" si="144"/>
        <v>177.73676400313303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28.107525991672652</v>
      </c>
      <c r="AV162" s="21">
        <f>EXP(-LN(2)/25)*AV161+(1-EXP(-LN(2)/25))/(LN(2)/25)*Calculateur!AQ162*Calculateur!AS162*VLOOKUP('Données projet'!$B$10,Paramètres!$A$1:$I$89,3,0)*0.475*44/12</f>
        <v>7.4044449592960788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35.511970950968731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484.24077000000045</v>
      </c>
      <c r="BF162" s="13">
        <f t="shared" si="167"/>
        <v>108.66064409983538</v>
      </c>
      <c r="BG162" s="20">
        <f t="shared" si="168"/>
        <v>1032.6366295572141</v>
      </c>
      <c r="BH162" s="59">
        <f t="shared" si="116"/>
        <v>1325.9699628905473</v>
      </c>
      <c r="BI162" s="59">
        <f ca="1">AVERAGE(OFFSET($BH$3,0,0,'Données projet'!$E$11+1,1))-AVERAGE(OFFSET($H$3,0,0,'Données projet'!$E$11+1,1))</f>
        <v>534.59150243554586</v>
      </c>
      <c r="BJ162" s="59">
        <f t="shared" si="146"/>
        <v>259.04458689606491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72.152644835844697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72.152644835844697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2.8421709430404007E-14</v>
      </c>
      <c r="BZ162" s="13">
        <f>BY162*VLOOKUP('Données projet'!$B$12,Paramètres!$A$1:$I$89,3,0)*VLOOKUP('Données projet'!$B$12,Paramètres!$A$1:$I$89,5,0)</f>
        <v>2.4829205358400945E-14</v>
      </c>
      <c r="CA162" s="13">
        <f t="shared" si="170"/>
        <v>4.3867331143352915E-13</v>
      </c>
      <c r="CB162" s="20">
        <f t="shared" si="171"/>
        <v>8.0726688341261168E-13</v>
      </c>
      <c r="CC162" s="59">
        <f t="shared" si="119"/>
        <v>293.33333333333411</v>
      </c>
      <c r="CD162" s="59">
        <f ca="1">AVERAGE(OFFSET($CC$3,0,0,'Données projet'!$E$12+1,1))-AVERAGE(OFFSET($H$3,0,0,'Données projet'!$E$12+1,1))</f>
        <v>211.91720528436969</v>
      </c>
      <c r="CE162" s="59">
        <f t="shared" si="148"/>
        <v>218.88548486038957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16.209261126168823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16.209261126168823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8.4429999999999943</v>
      </c>
      <c r="CT162" s="12">
        <f>IF('Données projet'!$A$140&gt;35,CT161+CS162-DB161,IF(A162&lt;'Données projet'!$A$140,$CQ$205^A162,IF(A162='Données projet'!$A$140,'Données projet'!$B$140,CT161+CS162-DB161)))</f>
        <v>477.5550000000004</v>
      </c>
      <c r="CU162" s="17">
        <f>CT162*VLOOKUP('Données projet'!$B$13,Paramètres!$A$1:$I$89,3,0)*VLOOKUP('Données projet'!$B$13,Paramètres!$A$1:$I$89,5,0)</f>
        <v>432.09176400000035</v>
      </c>
      <c r="CV162" s="13">
        <f t="shared" si="173"/>
        <v>98.253268876899142</v>
      </c>
      <c r="CW162" s="20">
        <f t="shared" si="174"/>
        <v>923.68426559393322</v>
      </c>
      <c r="CX162" s="59">
        <f t="shared" si="122"/>
        <v>1217.0175989272666</v>
      </c>
      <c r="CY162" s="59">
        <f ca="1">AVERAGE(OFFSET($CX$3,0,0,'Données projet'!$E$13+1,1))-AVERAGE(OFFSET($H$3,0,0,'Données projet'!$E$13+1,1))</f>
        <v>469.97161976912071</v>
      </c>
      <c r="CZ162" s="59">
        <f t="shared" si="150"/>
        <v>231.65013084759306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64.382360007369087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64.382360007369087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8.4429999999999943</v>
      </c>
      <c r="DO162" s="12">
        <f>IF('Données projet'!$A$166&gt;35,DO161+DN162-DW161,IF(A162&lt;'Données projet'!$A$166,$DL$205^A162,IF(A162='Données projet'!$A$166,'Données projet'!$B$166,DO161+DN162-DW161)))</f>
        <v>477.5550000000004</v>
      </c>
      <c r="DP162" s="17">
        <f>DO162*VLOOKUP('Données projet'!$B$14,Paramètres!$A$1:$I$89,3,0)*VLOOKUP('Données projet'!$B$14,Paramètres!$A$1:$I$89,5,0)</f>
        <v>461.89119600000043</v>
      </c>
      <c r="DQ162" s="13">
        <f t="shared" si="176"/>
        <v>104.21718299581295</v>
      </c>
      <c r="DR162" s="20">
        <f t="shared" si="177"/>
        <v>985.97209341770815</v>
      </c>
      <c r="DS162" s="59">
        <f t="shared" si="125"/>
        <v>1279.3054267510415</v>
      </c>
      <c r="DT162" s="59">
        <f ca="1">AVERAGE(OFFSET($DS$3,0,0,'Données projet'!$E$14+1,1))-AVERAGE(OFFSET($H$3,0,0,'Données projet'!$E$14+1,1))</f>
        <v>506.9153247310901</v>
      </c>
      <c r="DU162" s="59">
        <f t="shared" si="152"/>
        <v>247.31254626788319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68.822522766497997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68.822522766497997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193.8828274189392</v>
      </c>
      <c r="T163" s="59">
        <f t="shared" si="142"/>
        <v>179.13381331066427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41.104939287596842</v>
      </c>
      <c r="AA163" s="21">
        <f>EXP(-LN(2)/25)*AA162+(1-EXP(-LN(2)/25))/(LN(2)/25)*Calculateur!V163*Calculateur!X163*VLOOKUP('Données projet'!$B$9,Paramètres!$A$1:$I$89,3,0)*0.475*44/12</f>
        <v>11.160275977471848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52.26521526506869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-6.8212102632969618E-13</v>
      </c>
      <c r="AJ163" s="13">
        <f>AI163*VLOOKUP('Données projet'!$B$10,Paramètres!$A$1:$I$89,3,0)*VLOOKUP('Données projet'!$B$10,Paramètres!$A$1:$I$89,5,0)</f>
        <v>-4.0790837374515837E-13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228.36873053496748</v>
      </c>
      <c r="AO163" s="59">
        <f t="shared" si="144"/>
        <v>177.73676400313303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27.556354550873987</v>
      </c>
      <c r="AV163" s="21">
        <f>EXP(-LN(2)/25)*AV162+(1-EXP(-LN(2)/25))/(LN(2)/25)*Calculateur!AQ163*Calculateur!AS163*VLOOKUP('Données projet'!$B$10,Paramètres!$A$1:$I$89,3,0)*0.475*44/12</f>
        <v>7.2019700225012899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34.758324573375276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492.80197200000038</v>
      </c>
      <c r="BF163" s="13">
        <f t="shared" si="167"/>
        <v>110.35637600432534</v>
      </c>
      <c r="BG163" s="20">
        <f t="shared" si="168"/>
        <v>1050.5007894408673</v>
      </c>
      <c r="BH163" s="59">
        <f t="shared" si="116"/>
        <v>1343.8341227742005</v>
      </c>
      <c r="BI163" s="59">
        <f ca="1">AVERAGE(OFFSET($BH$3,0,0,'Données projet'!$E$11+1,1))-AVERAGE(OFFSET($H$3,0,0,'Données projet'!$E$11+1,1))</f>
        <v>534.59150243554586</v>
      </c>
      <c r="BJ163" s="59">
        <f t="shared" si="146"/>
        <v>259.04458689606491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70.737775479381625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70.737775479381625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2.8421709430404007E-14</v>
      </c>
      <c r="BZ163" s="13">
        <f>BY163*VLOOKUP('Données projet'!$B$12,Paramètres!$A$1:$I$89,3,0)*VLOOKUP('Données projet'!$B$12,Paramètres!$A$1:$I$89,5,0)</f>
        <v>2.4829205358400945E-14</v>
      </c>
      <c r="CA163" s="13">
        <f t="shared" si="170"/>
        <v>4.3867331143352915E-13</v>
      </c>
      <c r="CB163" s="20">
        <f t="shared" si="171"/>
        <v>8.0726688341261168E-13</v>
      </c>
      <c r="CC163" s="59">
        <f t="shared" si="119"/>
        <v>293.33333333333411</v>
      </c>
      <c r="CD163" s="59">
        <f ca="1">AVERAGE(OFFSET($CC$3,0,0,'Données projet'!$E$12+1,1))-AVERAGE(OFFSET($H$3,0,0,'Données projet'!$E$12+1,1))</f>
        <v>211.91720528436969</v>
      </c>
      <c r="CE163" s="59">
        <f t="shared" si="148"/>
        <v>218.88548486038957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15.891407402157711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15.891407402157711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8.4429999999999943</v>
      </c>
      <c r="CT163" s="12">
        <f>IF('Données projet'!$A$140&gt;35,CT162+CS163-DB162,IF(A163&lt;'Données projet'!$A$140,$CQ$205^A163,IF(A163='Données projet'!$A$140,'Données projet'!$B$140,CT162+CS163-DB162)))</f>
        <v>485.99800000000039</v>
      </c>
      <c r="CU163" s="17">
        <f>CT163*VLOOKUP('Données projet'!$B$13,Paramètres!$A$1:$I$89,3,0)*VLOOKUP('Données projet'!$B$13,Paramètres!$A$1:$I$89,5,0)</f>
        <v>439.73099040000034</v>
      </c>
      <c r="CV163" s="13">
        <f t="shared" si="173"/>
        <v>99.786585784186272</v>
      </c>
      <c r="CW163" s="20">
        <f t="shared" si="174"/>
        <v>939.65977852079175</v>
      </c>
      <c r="CX163" s="59">
        <f t="shared" si="122"/>
        <v>1232.9931118541251</v>
      </c>
      <c r="CY163" s="59">
        <f ca="1">AVERAGE(OFFSET($CX$3,0,0,'Données projet'!$E$13+1,1))-AVERAGE(OFFSET($H$3,0,0,'Données projet'!$E$13+1,1))</f>
        <v>469.97161976912071</v>
      </c>
      <c r="CZ163" s="59">
        <f t="shared" si="150"/>
        <v>231.65013084759306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63.119861196986655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63.119861196986655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8.4429999999999943</v>
      </c>
      <c r="DO163" s="12">
        <f>IF('Données projet'!$A$166&gt;35,DO162+DN163-DW162,IF(A163&lt;'Données projet'!$A$166,$DL$205^A163,IF(A163='Données projet'!$A$166,'Données projet'!$B$166,DO162+DN163-DW162)))</f>
        <v>485.99800000000039</v>
      </c>
      <c r="DP163" s="17">
        <f>DO163*VLOOKUP('Données projet'!$B$14,Paramètres!$A$1:$I$89,3,0)*VLOOKUP('Données projet'!$B$14,Paramètres!$A$1:$I$89,5,0)</f>
        <v>470.05726560000039</v>
      </c>
      <c r="DQ163" s="13">
        <f t="shared" si="176"/>
        <v>105.843571313921</v>
      </c>
      <c r="DR163" s="20">
        <f t="shared" si="177"/>
        <v>1003.0272909584129</v>
      </c>
      <c r="DS163" s="59">
        <f t="shared" si="125"/>
        <v>1296.3606242917463</v>
      </c>
      <c r="DT163" s="59">
        <f ca="1">AVERAGE(OFFSET($DS$3,0,0,'Données projet'!$E$14+1,1))-AVERAGE(OFFSET($H$3,0,0,'Données projet'!$E$14+1,1))</f>
        <v>506.9153247310901</v>
      </c>
      <c r="DU163" s="59">
        <f t="shared" si="152"/>
        <v>247.31254626788319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67.472955072640914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67.472955072640914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193.8828274189392</v>
      </c>
      <c r="T164" s="59">
        <f t="shared" si="142"/>
        <v>179.13381331066427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40.298896499704426</v>
      </c>
      <c r="AA164" s="21">
        <f>EXP(-LN(2)/25)*AA163+(1-EXP(-LN(2)/25))/(LN(2)/25)*Calculateur!V164*Calculateur!X164*VLOOKUP('Données projet'!$B$9,Paramètres!$A$1:$I$89,3,0)*0.475*44/12</f>
        <v>10.855097643974474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51.153994143678901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-6.8212102632969618E-13</v>
      </c>
      <c r="AJ164" s="13">
        <f>AI164*VLOOKUP('Données projet'!$B$10,Paramètres!$A$1:$I$89,3,0)*VLOOKUP('Données projet'!$B$10,Paramètres!$A$1:$I$89,5,0)</f>
        <v>-4.0790837374515837E-13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228.36873053496748</v>
      </c>
      <c r="AO164" s="59">
        <f t="shared" si="144"/>
        <v>177.73676400313303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27.015991245847999</v>
      </c>
      <c r="AV164" s="21">
        <f>EXP(-LN(2)/25)*AV163+(1-EXP(-LN(2)/25))/(LN(2)/25)*Calculateur!AQ164*Calculateur!AS164*VLOOKUP('Données projet'!$B$10,Paramètres!$A$1:$I$89,3,0)*0.475*44/12</f>
        <v>7.0050317735008489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34.021023019348846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501.36317400000041</v>
      </c>
      <c r="BF164" s="13">
        <f t="shared" si="167"/>
        <v>112.04868215190658</v>
      </c>
      <c r="BG164" s="20">
        <f t="shared" si="168"/>
        <v>1068.3589827979044</v>
      </c>
      <c r="BH164" s="59">
        <f t="shared" si="116"/>
        <v>1361.6923161312377</v>
      </c>
      <c r="BI164" s="59">
        <f ca="1">AVERAGE(OFFSET($BH$3,0,0,'Données projet'!$E$11+1,1))-AVERAGE(OFFSET($H$3,0,0,'Données projet'!$E$11+1,1))</f>
        <v>534.59150243554586</v>
      </c>
      <c r="BJ164" s="59">
        <f t="shared" si="146"/>
        <v>259.04458689606491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69.3506508480137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69.3506508480137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2.8421709430404007E-14</v>
      </c>
      <c r="BZ164" s="13">
        <f>BY164*VLOOKUP('Données projet'!$B$12,Paramètres!$A$1:$I$89,3,0)*VLOOKUP('Données projet'!$B$12,Paramètres!$A$1:$I$89,5,0)</f>
        <v>2.4829205358400945E-14</v>
      </c>
      <c r="CA164" s="13">
        <f t="shared" si="170"/>
        <v>4.3867331143352915E-13</v>
      </c>
      <c r="CB164" s="20">
        <f t="shared" si="171"/>
        <v>8.0726688341261168E-13</v>
      </c>
      <c r="CC164" s="59">
        <f t="shared" si="119"/>
        <v>293.33333333333411</v>
      </c>
      <c r="CD164" s="59">
        <f ca="1">AVERAGE(OFFSET($CC$3,0,0,'Données projet'!$E$12+1,1))-AVERAGE(OFFSET($H$3,0,0,'Données projet'!$E$12+1,1))</f>
        <v>211.91720528436969</v>
      </c>
      <c r="CE164" s="59">
        <f t="shared" si="148"/>
        <v>218.88548486038957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15.579786595802828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15.579786595802828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8.4429999999999943</v>
      </c>
      <c r="CT164" s="12">
        <f>IF('Données projet'!$A$140&gt;35,CT163+CS164-DB163,IF(A164&lt;'Données projet'!$A$140,$CQ$205^A164,IF(A164='Données projet'!$A$140,'Données projet'!$B$140,CT163+CS164-DB163)))</f>
        <v>494.44100000000037</v>
      </c>
      <c r="CU164" s="17">
        <f>CT164*VLOOKUP('Données projet'!$B$13,Paramètres!$A$1:$I$89,3,0)*VLOOKUP('Données projet'!$B$13,Paramètres!$A$1:$I$89,5,0)</f>
        <v>447.37021680000026</v>
      </c>
      <c r="CV164" s="13">
        <f t="shared" si="173"/>
        <v>101.3168050491076</v>
      </c>
      <c r="CW164" s="20">
        <f t="shared" si="174"/>
        <v>955.62989638719603</v>
      </c>
      <c r="CX164" s="59">
        <f t="shared" si="122"/>
        <v>1248.9632297205294</v>
      </c>
      <c r="CY164" s="59">
        <f ca="1">AVERAGE(OFFSET($CX$3,0,0,'Données projet'!$E$13+1,1))-AVERAGE(OFFSET($H$3,0,0,'Données projet'!$E$13+1,1))</f>
        <v>469.97161976912071</v>
      </c>
      <c r="CZ164" s="59">
        <f t="shared" si="150"/>
        <v>231.65013084759306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61.882119218227587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61.882119218227587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8.4429999999999943</v>
      </c>
      <c r="DO164" s="12">
        <f>IF('Données projet'!$A$166&gt;35,DO163+DN164-DW163,IF(A164&lt;'Données projet'!$A$166,$DL$205^A164,IF(A164='Données projet'!$A$166,'Données projet'!$B$166,DO163+DN164-DW163)))</f>
        <v>494.44100000000037</v>
      </c>
      <c r="DP164" s="17">
        <f>DO164*VLOOKUP('Données projet'!$B$14,Paramètres!$A$1:$I$89,3,0)*VLOOKUP('Données projet'!$B$14,Paramètres!$A$1:$I$89,5,0)</f>
        <v>478.22333520000041</v>
      </c>
      <c r="DQ164" s="13">
        <f t="shared" si="176"/>
        <v>107.46667396464125</v>
      </c>
      <c r="DR164" s="20">
        <f t="shared" si="177"/>
        <v>1020.0767659617509</v>
      </c>
      <c r="DS164" s="59">
        <f t="shared" si="125"/>
        <v>1313.4100992950841</v>
      </c>
      <c r="DT164" s="59">
        <f ca="1">AVERAGE(OFFSET($DS$3,0,0,'Données projet'!$E$14+1,1))-AVERAGE(OFFSET($H$3,0,0,'Données projet'!$E$14+1,1))</f>
        <v>506.9153247310901</v>
      </c>
      <c r="DU164" s="59">
        <f t="shared" si="152"/>
        <v>247.31254626788319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66.149851578105356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66.149851578105356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193.8828274189392</v>
      </c>
      <c r="T165" s="59">
        <f t="shared" si="142"/>
        <v>179.13381331066427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39.508659719245024</v>
      </c>
      <c r="AA165" s="21">
        <f>EXP(-LN(2)/25)*AA164+(1-EXP(-LN(2)/25))/(LN(2)/25)*Calculateur!V165*Calculateur!X165*VLOOKUP('Données projet'!$B$9,Paramètres!$A$1:$I$89,3,0)*0.475*44/12</f>
        <v>10.558264428055217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50.066924147300242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-6.8212102632969618E-13</v>
      </c>
      <c r="AJ165" s="13">
        <f>AI165*VLOOKUP('Données projet'!$B$10,Paramètres!$A$1:$I$89,3,0)*VLOOKUP('Données projet'!$B$10,Paramètres!$A$1:$I$89,5,0)</f>
        <v>-4.0790837374515837E-13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228.36873053496748</v>
      </c>
      <c r="AO165" s="59">
        <f t="shared" si="144"/>
        <v>177.73676400313303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26.486224135644502</v>
      </c>
      <c r="AV165" s="21">
        <f>EXP(-LN(2)/25)*AV164+(1-EXP(-LN(2)/25))/(LN(2)/25)*Calculateur!AQ165*Calculateur!AS165*VLOOKUP('Données projet'!$B$10,Paramètres!$A$1:$I$89,3,0)*0.475*44/12</f>
        <v>6.8134788112758571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33.299702946920362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509.92437600000034</v>
      </c>
      <c r="BF165" s="13">
        <f t="shared" si="167"/>
        <v>113.73762779095213</v>
      </c>
      <c r="BG165" s="20">
        <f t="shared" si="168"/>
        <v>1086.211323269242</v>
      </c>
      <c r="BH165" s="59">
        <f t="shared" si="116"/>
        <v>1379.5446566025753</v>
      </c>
      <c r="BI165" s="59">
        <f ca="1">AVERAGE(OFFSET($BH$3,0,0,'Données projet'!$E$11+1,1))-AVERAGE(OFFSET($H$3,0,0,'Données projet'!$E$11+1,1))</f>
        <v>534.59150243554586</v>
      </c>
      <c r="BJ165" s="59">
        <f t="shared" si="146"/>
        <v>259.04458689606491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67.990726884604413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67.990726884604413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2.8421709430404007E-14</v>
      </c>
      <c r="BZ165" s="13">
        <f>BY165*VLOOKUP('Données projet'!$B$12,Paramètres!$A$1:$I$89,3,0)*VLOOKUP('Données projet'!$B$12,Paramètres!$A$1:$I$89,5,0)</f>
        <v>2.4829205358400945E-14</v>
      </c>
      <c r="CA165" s="13">
        <f t="shared" si="170"/>
        <v>4.3867331143352915E-13</v>
      </c>
      <c r="CB165" s="20">
        <f t="shared" si="171"/>
        <v>8.0726688341261168E-13</v>
      </c>
      <c r="CC165" s="59">
        <f t="shared" si="119"/>
        <v>293.33333333333411</v>
      </c>
      <c r="CD165" s="59">
        <f ca="1">AVERAGE(OFFSET($CC$3,0,0,'Données projet'!$E$12+1,1))-AVERAGE(OFFSET($H$3,0,0,'Données projet'!$E$12+1,1))</f>
        <v>211.91720528436969</v>
      </c>
      <c r="CE165" s="59">
        <f t="shared" si="148"/>
        <v>218.88548486038957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15.274276483390642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15.274276483390642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8.4429999999999943</v>
      </c>
      <c r="CT165" s="12">
        <f>IF('Données projet'!$A$140&gt;35,CT164+CS165-DB164,IF(A165&lt;'Données projet'!$A$140,$CQ$205^A165,IF(A165='Données projet'!$A$140,'Données projet'!$B$140,CT164+CS165-DB164)))</f>
        <v>502.88400000000036</v>
      </c>
      <c r="CU165" s="17">
        <f>CT165*VLOOKUP('Données projet'!$B$13,Paramètres!$A$1:$I$89,3,0)*VLOOKUP('Données projet'!$B$13,Paramètres!$A$1:$I$89,5,0)</f>
        <v>455.00944320000031</v>
      </c>
      <c r="CV165" s="13">
        <f t="shared" si="173"/>
        <v>102.84398567063174</v>
      </c>
      <c r="CW165" s="20">
        <f t="shared" si="174"/>
        <v>971.59472194968396</v>
      </c>
      <c r="CX165" s="59">
        <f t="shared" si="122"/>
        <v>1264.9280552830173</v>
      </c>
      <c r="CY165" s="59">
        <f ca="1">AVERAGE(OFFSET($CX$3,0,0,'Données projet'!$E$13+1,1))-AVERAGE(OFFSET($H$3,0,0,'Données projet'!$E$13+1,1))</f>
        <v>469.97161976912071</v>
      </c>
      <c r="CZ165" s="59">
        <f t="shared" si="150"/>
        <v>231.65013084759306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60.66864860472392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60.66864860472392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8.4429999999999943</v>
      </c>
      <c r="DO165" s="12">
        <f>IF('Données projet'!$A$166&gt;35,DO164+DN165-DW164,IF(A165&lt;'Données projet'!$A$166,$DL$205^A165,IF(A165='Données projet'!$A$166,'Données projet'!$B$166,DO164+DN165-DW164)))</f>
        <v>502.88400000000036</v>
      </c>
      <c r="DP165" s="17">
        <f>DO165*VLOOKUP('Données projet'!$B$14,Paramètres!$A$1:$I$89,3,0)*VLOOKUP('Données projet'!$B$14,Paramètres!$A$1:$I$89,5,0)</f>
        <v>486.38940480000036</v>
      </c>
      <c r="DQ165" s="13">
        <f t="shared" si="176"/>
        <v>109.08655352814421</v>
      </c>
      <c r="DR165" s="20">
        <f t="shared" si="177"/>
        <v>1037.1206274215183</v>
      </c>
      <c r="DS165" s="59">
        <f t="shared" si="125"/>
        <v>1330.4539607548516</v>
      </c>
      <c r="DT165" s="59">
        <f ca="1">AVERAGE(OFFSET($DS$3,0,0,'Données projet'!$E$14+1,1))-AVERAGE(OFFSET($H$3,0,0,'Données projet'!$E$14+1,1))</f>
        <v>506.9153247310901</v>
      </c>
      <c r="DU165" s="59">
        <f t="shared" si="152"/>
        <v>247.31254626788319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64.852693336084201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64.852693336084201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193.8828274189392</v>
      </c>
      <c r="T166" s="59">
        <f t="shared" si="142"/>
        <v>179.13381331066427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38.733919000053589</v>
      </c>
      <c r="AA166" s="21">
        <f>EXP(-LN(2)/25)*AA165+(1-EXP(-LN(2)/25))/(LN(2)/25)*Calculateur!V166*Calculateur!X166*VLOOKUP('Données projet'!$B$9,Paramètres!$A$1:$I$89,3,0)*0.475*44/12</f>
        <v>10.269548132035052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49.003467132088645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-6.8212102632969618E-13</v>
      </c>
      <c r="AJ166" s="13">
        <f>AI166*VLOOKUP('Données projet'!$B$10,Paramètres!$A$1:$I$89,3,0)*VLOOKUP('Données projet'!$B$10,Paramètres!$A$1:$I$89,5,0)</f>
        <v>-4.0790837374515837E-13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228.36873053496748</v>
      </c>
      <c r="AO166" s="59">
        <f t="shared" si="144"/>
        <v>177.73676400313303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25.966845435346062</v>
      </c>
      <c r="AV166" s="21">
        <f>EXP(-LN(2)/25)*AV165+(1-EXP(-LN(2)/25))/(LN(2)/25)*Calculateur!AQ166*Calculateur!AS166*VLOOKUP('Données projet'!$B$10,Paramètres!$A$1:$I$89,3,0)*0.475*44/12</f>
        <v>6.6271638748762403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32.594009310222305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518.48557800000037</v>
      </c>
      <c r="BF166" s="13">
        <f t="shared" si="167"/>
        <v>115.42327585333055</v>
      </c>
      <c r="BG166" s="20">
        <f t="shared" si="168"/>
        <v>1104.0579204612179</v>
      </c>
      <c r="BH166" s="59">
        <f t="shared" si="116"/>
        <v>1397.3912537945512</v>
      </c>
      <c r="BI166" s="59">
        <f ca="1">AVERAGE(OFFSET($BH$3,0,0,'Données projet'!$E$11+1,1))-AVERAGE(OFFSET($H$3,0,0,'Données projet'!$E$11+1,1))</f>
        <v>534.59150243554586</v>
      </c>
      <c r="BJ166" s="59">
        <f t="shared" si="146"/>
        <v>259.04458689606491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66.657470200645875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66.657470200645875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2.8421709430404007E-14</v>
      </c>
      <c r="BZ166" s="13">
        <f>BY166*VLOOKUP('Données projet'!$B$12,Paramètres!$A$1:$I$89,3,0)*VLOOKUP('Données projet'!$B$12,Paramètres!$A$1:$I$89,5,0)</f>
        <v>2.4829205358400945E-14</v>
      </c>
      <c r="CA166" s="13">
        <f t="shared" si="170"/>
        <v>4.3867331143352915E-13</v>
      </c>
      <c r="CB166" s="20">
        <f t="shared" si="171"/>
        <v>8.0726688341261168E-13</v>
      </c>
      <c r="CC166" s="59">
        <f t="shared" si="119"/>
        <v>293.33333333333411</v>
      </c>
      <c r="CD166" s="59">
        <f ca="1">AVERAGE(OFFSET($CC$3,0,0,'Données projet'!$E$12+1,1))-AVERAGE(OFFSET($H$3,0,0,'Données projet'!$E$12+1,1))</f>
        <v>211.91720528436969</v>
      </c>
      <c r="CE166" s="59">
        <f t="shared" si="148"/>
        <v>218.88548486038957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14.974757237940089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14.974757237940089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8.4429999999999943</v>
      </c>
      <c r="CT166" s="12">
        <f>IF('Données projet'!$A$140&gt;35,CT165+CS166-DB165,IF(A166&lt;'Données projet'!$A$140,$CQ$205^A166,IF(A166='Données projet'!$A$140,'Données projet'!$B$140,CT165+CS166-DB165)))</f>
        <v>511.32700000000034</v>
      </c>
      <c r="CU166" s="17">
        <f>CT166*VLOOKUP('Données projet'!$B$13,Paramètres!$A$1:$I$89,3,0)*VLOOKUP('Données projet'!$B$13,Paramètres!$A$1:$I$89,5,0)</f>
        <v>462.64866960000029</v>
      </c>
      <c r="CV166" s="13">
        <f t="shared" si="173"/>
        <v>104.36818455309495</v>
      </c>
      <c r="CW166" s="20">
        <f t="shared" si="174"/>
        <v>987.5543543166408</v>
      </c>
      <c r="CX166" s="59">
        <f t="shared" si="122"/>
        <v>1280.8876876499742</v>
      </c>
      <c r="CY166" s="59">
        <f ca="1">AVERAGE(OFFSET($CX$3,0,0,'Données projet'!$E$13+1,1))-AVERAGE(OFFSET($H$3,0,0,'Données projet'!$E$13+1,1))</f>
        <v>469.97161976912071</v>
      </c>
      <c r="CZ166" s="59">
        <f t="shared" si="150"/>
        <v>231.65013084759306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59.478973409807068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59.478973409807068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8.4429999999999943</v>
      </c>
      <c r="DO166" s="12">
        <f>IF('Données projet'!$A$166&gt;35,DO165+DN166-DW165,IF(A166&lt;'Données projet'!$A$166,$DL$205^A166,IF(A166='Données projet'!$A$166,'Données projet'!$B$166,DO165+DN166-DW165)))</f>
        <v>511.32700000000034</v>
      </c>
      <c r="DP166" s="17">
        <f>DO166*VLOOKUP('Données projet'!$B$14,Paramètres!$A$1:$I$89,3,0)*VLOOKUP('Données projet'!$B$14,Paramètres!$A$1:$I$89,5,0)</f>
        <v>494.55547440000038</v>
      </c>
      <c r="DQ166" s="13">
        <f t="shared" si="176"/>
        <v>110.7032703628248</v>
      </c>
      <c r="DR166" s="20">
        <f t="shared" si="177"/>
        <v>1054.1589804619205</v>
      </c>
      <c r="DS166" s="59">
        <f t="shared" si="125"/>
        <v>1347.4923137952537</v>
      </c>
      <c r="DT166" s="59">
        <f ca="1">AVERAGE(OFFSET($DS$3,0,0,'Données projet'!$E$14+1,1))-AVERAGE(OFFSET($H$3,0,0,'Données projet'!$E$14+1,1))</f>
        <v>506.9153247310901</v>
      </c>
      <c r="DU166" s="59">
        <f t="shared" si="152"/>
        <v>247.31254626788319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63.580971576000671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63.580971576000671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193.8828274189392</v>
      </c>
      <c r="T167" s="59">
        <f t="shared" si="142"/>
        <v>179.13381331066427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37.974370473820315</v>
      </c>
      <c r="AA167" s="21">
        <f>EXP(-LN(2)/25)*AA166+(1-EXP(-LN(2)/25))/(LN(2)/25)*Calculateur!V167*Calculateur!X167*VLOOKUP('Données projet'!$B$9,Paramètres!$A$1:$I$89,3,0)*0.475*44/12</f>
        <v>9.9887267983124879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47.963097272132799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-6.8212102632969618E-13</v>
      </c>
      <c r="AJ167" s="13">
        <f>AI167*VLOOKUP('Données projet'!$B$10,Paramètres!$A$1:$I$89,3,0)*VLOOKUP('Données projet'!$B$10,Paramètres!$A$1:$I$89,5,0)</f>
        <v>-4.0790837374515837E-13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228.36873053496748</v>
      </c>
      <c r="AO167" s="59">
        <f t="shared" si="144"/>
        <v>177.73676400313303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25.457651434570749</v>
      </c>
      <c r="AV167" s="21">
        <f>EXP(-LN(2)/25)*AV166+(1-EXP(-LN(2)/25))/(LN(2)/25)*Calculateur!AQ167*Calculateur!AS167*VLOOKUP('Données projet'!$B$10,Paramètres!$A$1:$I$89,3,0)*0.475*44/12</f>
        <v>6.4459437302103479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31.903595164781098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527.04678000000035</v>
      </c>
      <c r="BF167" s="13">
        <f t="shared" si="167"/>
        <v>117.10568707351568</v>
      </c>
      <c r="BG167" s="20">
        <f t="shared" si="168"/>
        <v>1121.8988801530404</v>
      </c>
      <c r="BH167" s="59">
        <f t="shared" si="116"/>
        <v>1415.2322134863737</v>
      </c>
      <c r="BI167" s="59">
        <f ca="1">AVERAGE(OFFSET($BH$3,0,0,'Données projet'!$E$11+1,1))-AVERAGE(OFFSET($H$3,0,0,'Données projet'!$E$11+1,1))</f>
        <v>534.59150243554586</v>
      </c>
      <c r="BJ167" s="59">
        <f t="shared" si="146"/>
        <v>259.04458689606491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82.581151069765184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82.581151069765184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2.8421709430404007E-14</v>
      </c>
      <c r="BZ167" s="13">
        <f>BY167*VLOOKUP('Données projet'!$B$12,Paramètres!$A$1:$I$89,3,0)*VLOOKUP('Données projet'!$B$12,Paramètres!$A$1:$I$89,5,0)</f>
        <v>2.4829205358400945E-14</v>
      </c>
      <c r="CA167" s="13">
        <f t="shared" si="170"/>
        <v>4.3867331143352915E-13</v>
      </c>
      <c r="CB167" s="20">
        <f t="shared" si="171"/>
        <v>8.0726688341261168E-13</v>
      </c>
      <c r="CC167" s="59">
        <f t="shared" si="119"/>
        <v>293.33333333333411</v>
      </c>
      <c r="CD167" s="59">
        <f ca="1">AVERAGE(OFFSET($CC$3,0,0,'Données projet'!$E$12+1,1))-AVERAGE(OFFSET($H$3,0,0,'Données projet'!$E$12+1,1))</f>
        <v>211.91720528436969</v>
      </c>
      <c r="CE167" s="59">
        <f t="shared" si="148"/>
        <v>218.88548486038957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14.681111382204122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14.681111382204122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519.77</v>
      </c>
      <c r="CR167" s="12">
        <f>VLOOKUP(A167,'Données projet'!$A$139:$I$159,9,0)</f>
        <v>8.4429999999999943</v>
      </c>
      <c r="CS167" s="12">
        <f t="array" ref="CS167">INDEX(CR:CR,MIN(IF(ISNUMBER(CR167:CR363),ROW(CR167:CR363),"")))</f>
        <v>8.4429999999999943</v>
      </c>
      <c r="CT167" s="12">
        <f>IF('Données projet'!$A$140&gt;35,CT166+CS167-DB166,IF(A167&lt;'Données projet'!$A$140,$CQ$205^A167,IF(A167='Données projet'!$A$140,'Données projet'!$B$140,CT166+CS167-DB166)))</f>
        <v>519.77000000000032</v>
      </c>
      <c r="CU167" s="17">
        <f>CT167*VLOOKUP('Données projet'!$B$13,Paramètres!$A$1:$I$89,3,0)*VLOOKUP('Données projet'!$B$13,Paramètres!$A$1:$I$89,5,0)</f>
        <v>470.28789600000022</v>
      </c>
      <c r="CV167" s="13">
        <f t="shared" si="173"/>
        <v>105.88945661390174</v>
      </c>
      <c r="CW167" s="20">
        <f t="shared" si="174"/>
        <v>1003.5088891358791</v>
      </c>
      <c r="CX167" s="59">
        <f t="shared" si="122"/>
        <v>1296.8422224692124</v>
      </c>
      <c r="CY167" s="59">
        <f ca="1">AVERAGE(OFFSET($CX$3,0,0,'Données projet'!$E$13+1,1))-AVERAGE(OFFSET($H$3,0,0,'Données projet'!$E$13+1,1))</f>
        <v>469.97161976912071</v>
      </c>
      <c r="CZ167" s="59">
        <f t="shared" si="150"/>
        <v>231.65013084759306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0.25800000000000001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73.687796339175065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73.687796339175065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519.77</v>
      </c>
      <c r="DM167" s="12">
        <f>VLOOKUP(A167,'Données projet'!$A$165:$I$185,9,0)</f>
        <v>8.4429999999999943</v>
      </c>
      <c r="DN167" s="12">
        <f t="array" ref="DN167">INDEX(DM:DM,MIN(IF(ISNUMBER(DM167:DM363),ROW(DM167:DM363),"")))</f>
        <v>8.4429999999999943</v>
      </c>
      <c r="DO167" s="12">
        <f>IF('Données projet'!$A$166&gt;35,DO166+DN167-DW166,IF(A167&lt;'Données projet'!$A$166,$DL$205^A167,IF(A167='Données projet'!$A$166,'Données projet'!$B$166,DO166+DN167-DW166)))</f>
        <v>519.77000000000032</v>
      </c>
      <c r="DP167" s="17">
        <f>DO167*VLOOKUP('Données projet'!$B$14,Paramètres!$A$1:$I$89,3,0)*VLOOKUP('Données projet'!$B$14,Paramètres!$A$1:$I$89,5,0)</f>
        <v>502.72154400000034</v>
      </c>
      <c r="DQ167" s="13">
        <f t="shared" si="176"/>
        <v>112.31688271954096</v>
      </c>
      <c r="DR167" s="20">
        <f t="shared" si="177"/>
        <v>1071.1919265365345</v>
      </c>
      <c r="DS167" s="59">
        <f t="shared" si="125"/>
        <v>1364.5252598698678</v>
      </c>
      <c r="DT167" s="59">
        <f ca="1">AVERAGE(OFFSET($DS$3,0,0,'Données projet'!$E$14+1,1))-AVERAGE(OFFSET($H$3,0,0,'Données projet'!$E$14+1,1))</f>
        <v>506.9153247310901</v>
      </c>
      <c r="DU167" s="59">
        <f t="shared" si="152"/>
        <v>247.31254626788319</v>
      </c>
      <c r="DV167" s="15">
        <f>IF(ISNA(VLOOKUP(A167,'Données projet'!$A$165:$I$185,3,0)),0,VLOOKUP(A167,'Données projet'!$A$165:$I$185,3,0))</f>
        <v>14</v>
      </c>
      <c r="DW167" s="15">
        <f>IF(ISNA(VLOOKUP(A167,'Données projet'!$A$165:$I$185,4,0)),0,VLOOKUP(A167,'Données projet'!$A$165:$I$185,4,0))</f>
        <v>59.58</v>
      </c>
      <c r="DX167" s="16">
        <f>IF(ISNA(VLOOKUP(A167,'Données projet'!$A$165:$I$185,5,0)),0%,VLOOKUP(A167,'Données projet'!$A$165:$I$185,5,0)*VLOOKUP('Données projet'!$B$14,Paramètres!$A$1:$I$89,7,0))</f>
        <v>0.25800000000000001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78.769713328083697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78.769713328083697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193.8828274189392</v>
      </c>
      <c r="T168" s="59">
        <f t="shared" si="142"/>
        <v>179.13381331066427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37.22971623090762</v>
      </c>
      <c r="AA168" s="21">
        <f>EXP(-LN(2)/25)*AA167+(1-EXP(-LN(2)/25))/(LN(2)/25)*Calculateur!V168*Calculateur!X168*VLOOKUP('Données projet'!$B$9,Paramètres!$A$1:$I$89,3,0)*0.475*44/12</f>
        <v>9.7155845387283204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46.945300769635942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-6.8212102632969618E-13</v>
      </c>
      <c r="AJ168" s="13">
        <f>AI168*VLOOKUP('Données projet'!$B$10,Paramètres!$A$1:$I$89,3,0)*VLOOKUP('Données projet'!$B$10,Paramètres!$A$1:$I$89,5,0)</f>
        <v>-4.0790837374515837E-13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228.36873053496748</v>
      </c>
      <c r="AO168" s="59">
        <f t="shared" si="144"/>
        <v>177.73676400313303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24.958442417572964</v>
      </c>
      <c r="AV168" s="21">
        <f>EXP(-LN(2)/25)*AV167+(1-EXP(-LN(2)/25))/(LN(2)/25)*Calculateur!AQ168*Calculateur!AS168*VLOOKUP('Données projet'!$B$10,Paramètres!$A$1:$I$89,3,0)*0.475*44/12</f>
        <v>6.2696790599302972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31.228121477503262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475.29830400000037</v>
      </c>
      <c r="BF168" s="13">
        <f t="shared" si="167"/>
        <v>106.88566320039537</v>
      </c>
      <c r="BG168" s="20">
        <f t="shared" si="168"/>
        <v>1013.9704095406892</v>
      </c>
      <c r="BH168" s="59">
        <f t="shared" si="116"/>
        <v>1307.3037428740224</v>
      </c>
      <c r="BI168" s="59">
        <f ca="1">AVERAGE(OFFSET($BH$3,0,0,'Données projet'!$E$11+1,1))-AVERAGE(OFFSET($H$3,0,0,'Données projet'!$E$11+1,1))</f>
        <v>534.59150243554586</v>
      </c>
      <c r="BJ168" s="59">
        <f t="shared" si="146"/>
        <v>259.04458689606491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80.961785066815665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80.961785066815665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2.8421709430404007E-14</v>
      </c>
      <c r="BZ168" s="13">
        <f>BY168*VLOOKUP('Données projet'!$B$12,Paramètres!$A$1:$I$89,3,0)*VLOOKUP('Données projet'!$B$12,Paramètres!$A$1:$I$89,5,0)</f>
        <v>2.4829205358400945E-14</v>
      </c>
      <c r="CA168" s="13">
        <f t="shared" si="170"/>
        <v>4.3867331143352915E-13</v>
      </c>
      <c r="CB168" s="20">
        <f t="shared" si="171"/>
        <v>8.0726688341261168E-13</v>
      </c>
      <c r="CC168" s="59">
        <f t="shared" si="119"/>
        <v>293.33333333333411</v>
      </c>
      <c r="CD168" s="59">
        <f ca="1">AVERAGE(OFFSET($CC$3,0,0,'Données projet'!$E$12+1,1))-AVERAGE(OFFSET($H$3,0,0,'Données projet'!$E$12+1,1))</f>
        <v>211.91720528436969</v>
      </c>
      <c r="CE168" s="59">
        <f t="shared" si="148"/>
        <v>218.88548486038957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14.39322374259285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14.39322374259285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8.5459999999999976</v>
      </c>
      <c r="CT168" s="12">
        <f>IF('Données projet'!$A$140&gt;35,CT167+CS168-DB167,IF(A168&lt;'Données projet'!$A$140,$CQ$205^A168,IF(A168='Données projet'!$A$140,'Données projet'!$B$140,CT167+CS168-DB167)))</f>
        <v>468.73600000000039</v>
      </c>
      <c r="CU168" s="17">
        <f>CT168*VLOOKUP('Données projet'!$B$13,Paramètres!$A$1:$I$89,3,0)*VLOOKUP('Données projet'!$B$13,Paramètres!$A$1:$I$89,5,0)</f>
        <v>424.11233280000033</v>
      </c>
      <c r="CV168" s="13">
        <f t="shared" si="173"/>
        <v>96.648293340367189</v>
      </c>
      <c r="CW168" s="20">
        <f t="shared" si="174"/>
        <v>906.99142386114011</v>
      </c>
      <c r="CX168" s="59">
        <f t="shared" si="122"/>
        <v>1200.3247571944735</v>
      </c>
      <c r="CY168" s="59">
        <f ca="1">AVERAGE(OFFSET($CX$3,0,0,'Données projet'!$E$13+1,1))-AVERAGE(OFFSET($H$3,0,0,'Données projet'!$E$13+1,1))</f>
        <v>469.97161976912071</v>
      </c>
      <c r="CZ168" s="59">
        <f t="shared" si="150"/>
        <v>231.65013084759306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72.242823598081642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72.242823598081642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8.5459999999999976</v>
      </c>
      <c r="DO168" s="12">
        <f>IF('Données projet'!$A$166&gt;35,DO167+DN168-DW167,IF(A168&lt;'Données projet'!$A$166,$DL$205^A168,IF(A168='Données projet'!$A$166,'Données projet'!$B$166,DO167+DN168-DW167)))</f>
        <v>468.73600000000039</v>
      </c>
      <c r="DP168" s="17">
        <f>DO168*VLOOKUP('Données projet'!$B$14,Paramètres!$A$1:$I$89,3,0)*VLOOKUP('Données projet'!$B$14,Paramètres!$A$1:$I$89,5,0)</f>
        <v>453.36145920000041</v>
      </c>
      <c r="DQ168" s="13">
        <f t="shared" si="176"/>
        <v>102.51478641291534</v>
      </c>
      <c r="DR168" s="20">
        <f t="shared" si="177"/>
        <v>968.15112777582817</v>
      </c>
      <c r="DS168" s="59">
        <f t="shared" si="125"/>
        <v>1261.4844611091614</v>
      </c>
      <c r="DT168" s="59">
        <f ca="1">AVERAGE(OFFSET($DS$3,0,0,'Données projet'!$E$14+1,1))-AVERAGE(OFFSET($H$3,0,0,'Données projet'!$E$14+1,1))</f>
        <v>506.9153247310901</v>
      </c>
      <c r="DU168" s="59">
        <f t="shared" si="152"/>
        <v>247.31254626788319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77.22508729450108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77.22508729450108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193.8828274189392</v>
      </c>
      <c r="T169" s="59">
        <f t="shared" si="142"/>
        <v>179.13381331066427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36.499664203504203</v>
      </c>
      <c r="AA169" s="21">
        <f>EXP(-LN(2)/25)*AA168+(1-EXP(-LN(2)/25))/(LN(2)/25)*Calculateur!V169*Calculateur!X169*VLOOKUP('Données projet'!$B$9,Paramètres!$A$1:$I$89,3,0)*0.475*44/12</f>
        <v>9.4499113685964087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45.949575572100613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-6.8212102632969618E-13</v>
      </c>
      <c r="AJ169" s="13">
        <f>AI169*VLOOKUP('Données projet'!$B$10,Paramètres!$A$1:$I$89,3,0)*VLOOKUP('Données projet'!$B$10,Paramètres!$A$1:$I$89,5,0)</f>
        <v>-4.0790837374515837E-13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228.36873053496748</v>
      </c>
      <c r="AO169" s="59">
        <f t="shared" si="144"/>
        <v>177.73676400313303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24.469022584911073</v>
      </c>
      <c r="AV169" s="21">
        <f>EXP(-LN(2)/25)*AV168+(1-EXP(-LN(2)/25))/(LN(2)/25)*Calculateur!AQ169*Calculateur!AS169*VLOOKUP('Données projet'!$B$10,Paramètres!$A$1:$I$89,3,0)*0.475*44/12</f>
        <v>6.0982343563284109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30.567256941239485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483.96394800000041</v>
      </c>
      <c r="BF169" s="13">
        <f t="shared" si="167"/>
        <v>108.6057555590847</v>
      </c>
      <c r="BG169" s="20">
        <f t="shared" si="168"/>
        <v>1032.0589003654065</v>
      </c>
      <c r="BH169" s="59">
        <f t="shared" si="116"/>
        <v>1325.3922336987398</v>
      </c>
      <c r="BI169" s="59">
        <f ca="1">AVERAGE(OFFSET($BH$3,0,0,'Données projet'!$E$11+1,1))-AVERAGE(OFFSET($H$3,0,0,'Données projet'!$E$11+1,1))</f>
        <v>534.59150243554586</v>
      </c>
      <c r="BJ169" s="59">
        <f t="shared" si="146"/>
        <v>259.04458689606491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79.374173843468256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79.374173843468256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2.8421709430404007E-14</v>
      </c>
      <c r="BZ169" s="13">
        <f>BY169*VLOOKUP('Données projet'!$B$12,Paramètres!$A$1:$I$89,3,0)*VLOOKUP('Données projet'!$B$12,Paramètres!$A$1:$I$89,5,0)</f>
        <v>2.4829205358400945E-14</v>
      </c>
      <c r="CA169" s="13">
        <f t="shared" si="170"/>
        <v>4.3867331143352915E-13</v>
      </c>
      <c r="CB169" s="20">
        <f t="shared" si="171"/>
        <v>8.0726688341261168E-13</v>
      </c>
      <c r="CC169" s="59">
        <f t="shared" si="119"/>
        <v>293.33333333333411</v>
      </c>
      <c r="CD169" s="59">
        <f ca="1">AVERAGE(OFFSET($CC$3,0,0,'Données projet'!$E$12+1,1))-AVERAGE(OFFSET($H$3,0,0,'Données projet'!$E$12+1,1))</f>
        <v>211.91720528436969</v>
      </c>
      <c r="CE169" s="59">
        <f t="shared" si="148"/>
        <v>218.88548486038957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14.110981404000233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14.110981404000233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8.5459999999999976</v>
      </c>
      <c r="CT169" s="12">
        <f>IF('Données projet'!$A$140&gt;35,CT168+CS169-DB168,IF(A169&lt;'Données projet'!$A$140,$CQ$205^A169,IF(A169='Données projet'!$A$140,'Données projet'!$B$140,CT168+CS169-DB168)))</f>
        <v>477.28200000000038</v>
      </c>
      <c r="CU169" s="17">
        <f>CT169*VLOOKUP('Données projet'!$B$13,Paramètres!$A$1:$I$89,3,0)*VLOOKUP('Données projet'!$B$13,Paramètres!$A$1:$I$89,5,0)</f>
        <v>431.84475360000033</v>
      </c>
      <c r="CV169" s="13">
        <f t="shared" si="173"/>
        <v>98.203637489221336</v>
      </c>
      <c r="CW169" s="20">
        <f t="shared" si="174"/>
        <v>923.16761448039449</v>
      </c>
      <c r="CX169" s="59">
        <f t="shared" si="122"/>
        <v>1216.5009478137279</v>
      </c>
      <c r="CY169" s="59">
        <f ca="1">AVERAGE(OFFSET($CX$3,0,0,'Données projet'!$E$13+1,1))-AVERAGE(OFFSET($H$3,0,0,'Données projet'!$E$13+1,1))</f>
        <v>469.97161976912071</v>
      </c>
      <c r="CZ169" s="59">
        <f t="shared" si="150"/>
        <v>231.65013084759306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70.826185891094724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70.826185891094724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8.5459999999999976</v>
      </c>
      <c r="DO169" s="12">
        <f>IF('Données projet'!$A$166&gt;35,DO168+DN169-DW168,IF(A169&lt;'Données projet'!$A$166,$DL$205^A169,IF(A169='Données projet'!$A$166,'Données projet'!$B$166,DO168+DN169-DW168)))</f>
        <v>477.28200000000038</v>
      </c>
      <c r="DP169" s="17">
        <f>DO169*VLOOKUP('Données projet'!$B$14,Paramètres!$A$1:$I$89,3,0)*VLOOKUP('Données projet'!$B$14,Paramètres!$A$1:$I$89,5,0)</f>
        <v>461.6271504000004</v>
      </c>
      <c r="DQ169" s="13">
        <f t="shared" si="176"/>
        <v>104.16453901285873</v>
      </c>
      <c r="DR169" s="20">
        <f t="shared" si="177"/>
        <v>985.42052572739613</v>
      </c>
      <c r="DS169" s="59">
        <f t="shared" si="125"/>
        <v>1278.7538590607294</v>
      </c>
      <c r="DT169" s="59">
        <f ca="1">AVERAGE(OFFSET($DS$3,0,0,'Données projet'!$E$14+1,1))-AVERAGE(OFFSET($H$3,0,0,'Données projet'!$E$14+1,1))</f>
        <v>506.9153247310901</v>
      </c>
      <c r="DU169" s="59">
        <f t="shared" si="152"/>
        <v>247.31254626788319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75.710750435308157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75.710750435308157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193.8828274189392</v>
      </c>
      <c r="T170" s="59">
        <f t="shared" si="142"/>
        <v>179.13381331066427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35.783928051070404</v>
      </c>
      <c r="AA170" s="21">
        <f>EXP(-LN(2)/25)*AA169+(1-EXP(-LN(2)/25))/(LN(2)/25)*Calculateur!V170*Calculateur!X170*VLOOKUP('Données projet'!$B$9,Paramètres!$A$1:$I$89,3,0)*0.475*44/12</f>
        <v>9.1915030452728992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44.9754310963433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-6.8212102632969618E-13</v>
      </c>
      <c r="AJ170" s="13">
        <f>AI170*VLOOKUP('Données projet'!$B$10,Paramètres!$A$1:$I$89,3,0)*VLOOKUP('Données projet'!$B$10,Paramètres!$A$1:$I$89,5,0)</f>
        <v>-4.0790837374515837E-13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228.36873053496748</v>
      </c>
      <c r="AO170" s="59">
        <f t="shared" si="144"/>
        <v>177.73676400313303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23.989199976651058</v>
      </c>
      <c r="AV170" s="21">
        <f>EXP(-LN(2)/25)*AV169+(1-EXP(-LN(2)/25))/(LN(2)/25)*Calculateur!AQ170*Calculateur!AS170*VLOOKUP('Données projet'!$B$10,Paramètres!$A$1:$I$89,3,0)*0.475*44/12</f>
        <v>5.9314778171624036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29.920677793813461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492.6295920000004</v>
      </c>
      <c r="BF170" s="13">
        <f t="shared" si="167"/>
        <v>110.3222664206035</v>
      </c>
      <c r="BG170" s="20">
        <f t="shared" si="168"/>
        <v>1050.1411534158851</v>
      </c>
      <c r="BH170" s="59">
        <f t="shared" si="116"/>
        <v>1343.4744867492184</v>
      </c>
      <c r="BI170" s="59">
        <f ca="1">AVERAGE(OFFSET($BH$3,0,0,'Données projet'!$E$11+1,1))-AVERAGE(OFFSET($H$3,0,0,'Données projet'!$E$11+1,1))</f>
        <v>534.59150243554586</v>
      </c>
      <c r="BJ170" s="59">
        <f t="shared" si="146"/>
        <v>259.04458689606491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77.817694707863453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77.817694707863453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2.8421709430404007E-14</v>
      </c>
      <c r="BZ170" s="13">
        <f>BY170*VLOOKUP('Données projet'!$B$12,Paramètres!$A$1:$I$89,3,0)*VLOOKUP('Données projet'!$B$12,Paramètres!$A$1:$I$89,5,0)</f>
        <v>2.4829205358400945E-14</v>
      </c>
      <c r="CA170" s="13">
        <f t="shared" si="170"/>
        <v>4.3867331143352915E-13</v>
      </c>
      <c r="CB170" s="20">
        <f t="shared" si="171"/>
        <v>8.0726688341261168E-13</v>
      </c>
      <c r="CC170" s="59">
        <f t="shared" si="119"/>
        <v>293.33333333333411</v>
      </c>
      <c r="CD170" s="59">
        <f ca="1">AVERAGE(OFFSET($CC$3,0,0,'Données projet'!$E$12+1,1))-AVERAGE(OFFSET($H$3,0,0,'Données projet'!$E$12+1,1))</f>
        <v>211.91720528436969</v>
      </c>
      <c r="CE170" s="59">
        <f t="shared" si="148"/>
        <v>218.88548486038957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13.834273665516589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13.834273665516589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8.5459999999999976</v>
      </c>
      <c r="CT170" s="12">
        <f>IF('Données projet'!$A$140&gt;35,CT169+CS170-DB169,IF(A170&lt;'Données projet'!$A$140,$CQ$205^A170,IF(A170='Données projet'!$A$140,'Données projet'!$B$140,CT169+CS170-DB169)))</f>
        <v>485.82800000000037</v>
      </c>
      <c r="CU170" s="17">
        <f>CT170*VLOOKUP('Données projet'!$B$13,Paramètres!$A$1:$I$89,3,0)*VLOOKUP('Données projet'!$B$13,Paramètres!$A$1:$I$89,5,0)</f>
        <v>439.57717440000033</v>
      </c>
      <c r="CV170" s="13">
        <f t="shared" si="173"/>
        <v>99.755743172047673</v>
      </c>
      <c r="CW170" s="20">
        <f t="shared" si="174"/>
        <v>939.33816477131688</v>
      </c>
      <c r="CX170" s="59">
        <f t="shared" si="122"/>
        <v>1232.6714981046503</v>
      </c>
      <c r="CY170" s="59">
        <f ca="1">AVERAGE(OFFSET($CX$3,0,0,'Données projet'!$E$13+1,1))-AVERAGE(OFFSET($H$3,0,0,'Données projet'!$E$13+1,1))</f>
        <v>469.97161976912071</v>
      </c>
      <c r="CZ170" s="59">
        <f t="shared" si="150"/>
        <v>231.65013084759306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69.43732758547813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69.43732758547813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8.5459999999999976</v>
      </c>
      <c r="DO170" s="12">
        <f>IF('Données projet'!$A$166&gt;35,DO169+DN170-DW169,IF(A170&lt;'Données projet'!$A$166,$DL$205^A170,IF(A170='Données projet'!$A$166,'Données projet'!$B$166,DO169+DN170-DW169)))</f>
        <v>485.82800000000037</v>
      </c>
      <c r="DP170" s="17">
        <f>DO170*VLOOKUP('Données projet'!$B$14,Paramètres!$A$1:$I$89,3,0)*VLOOKUP('Données projet'!$B$14,Paramètres!$A$1:$I$89,5,0)</f>
        <v>469.89284160000039</v>
      </c>
      <c r="DQ170" s="13">
        <f t="shared" si="176"/>
        <v>105.81085657384101</v>
      </c>
      <c r="DR170" s="20">
        <f t="shared" si="177"/>
        <v>1002.6839409861069</v>
      </c>
      <c r="DS170" s="59">
        <f t="shared" si="125"/>
        <v>1296.0172743194403</v>
      </c>
      <c r="DT170" s="59">
        <f ca="1">AVERAGE(OFFSET($DS$3,0,0,'Données projet'!$E$14+1,1))-AVERAGE(OFFSET($H$3,0,0,'Données projet'!$E$14+1,1))</f>
        <v>506.9153247310901</v>
      </c>
      <c r="DU170" s="59">
        <f t="shared" si="152"/>
        <v>247.31254626788319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74.226108798269735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74.226108798269735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193.8828274189392</v>
      </c>
      <c r="T171" s="59">
        <f t="shared" si="142"/>
        <v>179.13381331066427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35.082227048029885</v>
      </c>
      <c r="AA171" s="21">
        <f>EXP(-LN(2)/25)*AA170+(1-EXP(-LN(2)/25))/(LN(2)/25)*Calculateur!V171*Calculateur!X171*VLOOKUP('Données projet'!$B$9,Paramètres!$A$1:$I$89,3,0)*0.475*44/12</f>
        <v>8.940160911139774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44.022387959169663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-6.8212102632969618E-13</v>
      </c>
      <c r="AJ171" s="13">
        <f>AI171*VLOOKUP('Données projet'!$B$10,Paramètres!$A$1:$I$89,3,0)*VLOOKUP('Données projet'!$B$10,Paramètres!$A$1:$I$89,5,0)</f>
        <v>-4.0790837374515837E-13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228.36873053496748</v>
      </c>
      <c r="AO171" s="59">
        <f t="shared" si="144"/>
        <v>177.73676400313303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23.518786397076131</v>
      </c>
      <c r="AV171" s="21">
        <f>EXP(-LN(2)/25)*AV170+(1-EXP(-LN(2)/25))/(LN(2)/25)*Calculateur!AQ171*Calculateur!AS171*VLOOKUP('Données projet'!$B$10,Paramètres!$A$1:$I$89,3,0)*0.475*44/12</f>
        <v>5.7692812443292363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29.288067641405366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501.29523600000039</v>
      </c>
      <c r="BF171" s="13">
        <f t="shared" si="167"/>
        <v>112.03526605421492</v>
      </c>
      <c r="BG171" s="20">
        <f t="shared" si="168"/>
        <v>1068.2172910777583</v>
      </c>
      <c r="BH171" s="59">
        <f t="shared" si="116"/>
        <v>1361.5506244110916</v>
      </c>
      <c r="BI171" s="59">
        <f ca="1">AVERAGE(OFFSET($BH$3,0,0,'Données projet'!$E$11+1,1))-AVERAGE(OFFSET($H$3,0,0,'Données projet'!$E$11+1,1))</f>
        <v>534.59150243554586</v>
      </c>
      <c r="BJ171" s="59">
        <f t="shared" si="146"/>
        <v>259.04458689606491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76.291737178749329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76.291737178749329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2.8421709430404007E-14</v>
      </c>
      <c r="BZ171" s="13">
        <f>BY171*VLOOKUP('Données projet'!$B$12,Paramètres!$A$1:$I$89,3,0)*VLOOKUP('Données projet'!$B$12,Paramètres!$A$1:$I$89,5,0)</f>
        <v>2.4829205358400945E-14</v>
      </c>
      <c r="CA171" s="13">
        <f t="shared" si="170"/>
        <v>4.3867331143352915E-13</v>
      </c>
      <c r="CB171" s="20">
        <f t="shared" si="171"/>
        <v>8.0726688341261168E-13</v>
      </c>
      <c r="CC171" s="59">
        <f t="shared" si="119"/>
        <v>293.33333333333411</v>
      </c>
      <c r="CD171" s="59">
        <f ca="1">AVERAGE(OFFSET($CC$3,0,0,'Données projet'!$E$12+1,1))-AVERAGE(OFFSET($H$3,0,0,'Données projet'!$E$12+1,1))</f>
        <v>211.91720528436969</v>
      </c>
      <c r="CE171" s="59">
        <f t="shared" si="148"/>
        <v>218.88548486038957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13.562991997009554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13.562991997009554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8.5459999999999976</v>
      </c>
      <c r="CT171" s="12">
        <f>IF('Données projet'!$A$140&gt;35,CT170+CS171-DB170,IF(A171&lt;'Données projet'!$A$140,$CQ$205^A171,IF(A171='Données projet'!$A$140,'Données projet'!$B$140,CT170+CS171-DB170)))</f>
        <v>494.37400000000036</v>
      </c>
      <c r="CU171" s="17">
        <f>CT171*VLOOKUP('Données projet'!$B$13,Paramètres!$A$1:$I$89,3,0)*VLOOKUP('Données projet'!$B$13,Paramètres!$A$1:$I$89,5,0)</f>
        <v>447.30959520000027</v>
      </c>
      <c r="CV171" s="13">
        <f t="shared" si="173"/>
        <v>101.30467392781068</v>
      </c>
      <c r="CW171" s="20">
        <f t="shared" si="174"/>
        <v>955.50318539760417</v>
      </c>
      <c r="CX171" s="59">
        <f t="shared" si="122"/>
        <v>1248.8365187309375</v>
      </c>
      <c r="CY171" s="59">
        <f ca="1">AVERAGE(OFFSET($CX$3,0,0,'Données projet'!$E$13+1,1))-AVERAGE(OFFSET($H$3,0,0,'Données projet'!$E$13+1,1))</f>
        <v>469.97161976912071</v>
      </c>
      <c r="CZ171" s="59">
        <f t="shared" si="150"/>
        <v>231.65013084759306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68.075703944114764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68.075703944114764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8.5459999999999976</v>
      </c>
      <c r="DO171" s="12">
        <f>IF('Données projet'!$A$166&gt;35,DO170+DN171-DW170,IF(A171&lt;'Données projet'!$A$166,$DL$205^A171,IF(A171='Données projet'!$A$166,'Données projet'!$B$166,DO170+DN171-DW170)))</f>
        <v>494.37400000000036</v>
      </c>
      <c r="DP171" s="17">
        <f>DO171*VLOOKUP('Données projet'!$B$14,Paramètres!$A$1:$I$89,3,0)*VLOOKUP('Données projet'!$B$14,Paramètres!$A$1:$I$89,5,0)</f>
        <v>478.15853280000039</v>
      </c>
      <c r="DQ171" s="13">
        <f t="shared" si="176"/>
        <v>107.45380649160349</v>
      </c>
      <c r="DR171" s="20">
        <f t="shared" si="177"/>
        <v>1019.9414909328767</v>
      </c>
      <c r="DS171" s="59">
        <f t="shared" si="125"/>
        <v>1313.2748242662101</v>
      </c>
      <c r="DT171" s="59">
        <f ca="1">AVERAGE(OFFSET($DS$3,0,0,'Données projet'!$E$14+1,1))-AVERAGE(OFFSET($H$3,0,0,'Données projet'!$E$14+1,1))</f>
        <v>506.9153247310901</v>
      </c>
      <c r="DU171" s="59">
        <f t="shared" si="152"/>
        <v>247.31254626788319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72.770580078191657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72.770580078191657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193.8828274189392</v>
      </c>
      <c r="T172" s="59">
        <f t="shared" si="142"/>
        <v>179.13381331066427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34.394285973663635</v>
      </c>
      <c r="AA172" s="21">
        <f>EXP(-LN(2)/25)*AA171+(1-EXP(-LN(2)/25))/(LN(2)/25)*Calculateur!V172*Calculateur!X172*VLOOKUP('Données projet'!$B$9,Paramètres!$A$1:$I$89,3,0)*0.475*44/12</f>
        <v>8.6956917408820278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43.089977714545661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-6.8212102632969618E-13</v>
      </c>
      <c r="AJ172" s="13">
        <f>AI172*VLOOKUP('Données projet'!$B$10,Paramètres!$A$1:$I$89,3,0)*VLOOKUP('Données projet'!$B$10,Paramètres!$A$1:$I$89,5,0)</f>
        <v>-4.0790837374515837E-13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228.36873053496748</v>
      </c>
      <c r="AO172" s="59">
        <f t="shared" si="144"/>
        <v>177.73676400313303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23.057597340872714</v>
      </c>
      <c r="AV172" s="21">
        <f>EXP(-LN(2)/25)*AV171+(1-EXP(-LN(2)/25))/(LN(2)/25)*Calculateur!AQ172*Calculateur!AS172*VLOOKUP('Données projet'!$B$10,Paramètres!$A$1:$I$89,3,0)*0.475*44/12</f>
        <v>5.6115199453097384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28.669117286182452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509.96088000000043</v>
      </c>
      <c r="BF172" s="13">
        <f t="shared" si="167"/>
        <v>113.74482216057152</v>
      </c>
      <c r="BG172" s="20">
        <f t="shared" si="168"/>
        <v>1086.2874312629961</v>
      </c>
      <c r="BH172" s="59">
        <f t="shared" si="116"/>
        <v>1379.6207645963293</v>
      </c>
      <c r="BI172" s="59">
        <f ca="1">AVERAGE(OFFSET($BH$3,0,0,'Données projet'!$E$11+1,1))-AVERAGE(OFFSET($H$3,0,0,'Données projet'!$E$11+1,1))</f>
        <v>534.59150243554586</v>
      </c>
      <c r="BJ172" s="59">
        <f t="shared" si="146"/>
        <v>259.04458689606491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74.795702746038941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74.795702746038941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2.8421709430404007E-14</v>
      </c>
      <c r="BZ172" s="13">
        <f>BY172*VLOOKUP('Données projet'!$B$12,Paramètres!$A$1:$I$89,3,0)*VLOOKUP('Données projet'!$B$12,Paramètres!$A$1:$I$89,5,0)</f>
        <v>2.4829205358400945E-14</v>
      </c>
      <c r="CA172" s="13">
        <f t="shared" si="170"/>
        <v>4.3867331143352915E-13</v>
      </c>
      <c r="CB172" s="20">
        <f t="shared" si="171"/>
        <v>8.0726688341261168E-13</v>
      </c>
      <c r="CC172" s="59">
        <f t="shared" si="119"/>
        <v>293.33333333333411</v>
      </c>
      <c r="CD172" s="59">
        <f ca="1">AVERAGE(OFFSET($CC$3,0,0,'Données projet'!$E$12+1,1))-AVERAGE(OFFSET($H$3,0,0,'Données projet'!$E$12+1,1))</f>
        <v>211.91720528436969</v>
      </c>
      <c r="CE172" s="59">
        <f t="shared" si="148"/>
        <v>218.88548486038957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13.297029996556462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13.297029996556462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8.5459999999999976</v>
      </c>
      <c r="CT172" s="12">
        <f>IF('Données projet'!$A$140&gt;35,CT171+CS172-DB171,IF(A172&lt;'Données projet'!$A$140,$CQ$205^A172,IF(A172='Données projet'!$A$140,'Données projet'!$B$140,CT171+CS172-DB171)))</f>
        <v>502.92000000000036</v>
      </c>
      <c r="CU172" s="17">
        <f>CT172*VLOOKUP('Données projet'!$B$13,Paramètres!$A$1:$I$89,3,0)*VLOOKUP('Données projet'!$B$13,Paramètres!$A$1:$I$89,5,0)</f>
        <v>455.04201600000027</v>
      </c>
      <c r="CV172" s="13">
        <f t="shared" si="173"/>
        <v>102.85049097288233</v>
      </c>
      <c r="CW172" s="20">
        <f t="shared" si="174"/>
        <v>971.66278297777069</v>
      </c>
      <c r="CX172" s="59">
        <f t="shared" si="122"/>
        <v>1264.9961163111041</v>
      </c>
      <c r="CY172" s="59">
        <f ca="1">AVERAGE(OFFSET($CX$3,0,0,'Données projet'!$E$13+1,1))-AVERAGE(OFFSET($H$3,0,0,'Données projet'!$E$13+1,1))</f>
        <v>469.97161976912071</v>
      </c>
      <c r="CZ172" s="59">
        <f t="shared" si="150"/>
        <v>231.65013084759306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66.740780911850109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66.740780911850109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8.5459999999999976</v>
      </c>
      <c r="DO172" s="12">
        <f>IF('Données projet'!$A$166&gt;35,DO171+DN172-DW171,IF(A172&lt;'Données projet'!$A$166,$DL$205^A172,IF(A172='Données projet'!$A$166,'Données projet'!$B$166,DO171+DN172-DW171)))</f>
        <v>502.92000000000036</v>
      </c>
      <c r="DP172" s="17">
        <f>DO172*VLOOKUP('Données projet'!$B$14,Paramètres!$A$1:$I$89,3,0)*VLOOKUP('Données projet'!$B$14,Paramètres!$A$1:$I$89,5,0)</f>
        <v>486.42422400000038</v>
      </c>
      <c r="DQ172" s="13">
        <f t="shared" si="176"/>
        <v>109.09345369831506</v>
      </c>
      <c r="DR172" s="20">
        <f t="shared" si="177"/>
        <v>1037.1932886578995</v>
      </c>
      <c r="DS172" s="59">
        <f t="shared" si="125"/>
        <v>1330.5266219912328</v>
      </c>
      <c r="DT172" s="59">
        <f ca="1">AVERAGE(OFFSET($DS$3,0,0,'Données projet'!$E$14+1,1))-AVERAGE(OFFSET($H$3,0,0,'Données projet'!$E$14+1,1))</f>
        <v>506.9153247310901</v>
      </c>
      <c r="DU172" s="59">
        <f t="shared" si="152"/>
        <v>247.31254626788319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71.343593388529442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71.343593388529442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193.8828274189392</v>
      </c>
      <c r="T173" s="59">
        <f t="shared" si="142"/>
        <v>179.13381331066427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33.719835004163087</v>
      </c>
      <c r="AA173" s="21">
        <f>EXP(-LN(2)/25)*AA172+(1-EXP(-LN(2)/25))/(LN(2)/25)*Calculateur!V173*Calculateur!X173*VLOOKUP('Données projet'!$B$9,Paramètres!$A$1:$I$89,3,0)*0.475*44/12</f>
        <v>8.457907592941055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42.177742597104142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-6.8212102632969618E-13</v>
      </c>
      <c r="AJ173" s="13">
        <f>AI173*VLOOKUP('Données projet'!$B$10,Paramètres!$A$1:$I$89,3,0)*VLOOKUP('Données projet'!$B$10,Paramètres!$A$1:$I$89,5,0)</f>
        <v>-4.0790837374515837E-13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228.36873053496748</v>
      </c>
      <c r="AO173" s="59">
        <f t="shared" si="144"/>
        <v>177.73676400313303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22.605451920763898</v>
      </c>
      <c r="AV173" s="21">
        <f>EXP(-LN(2)/25)*AV172+(1-EXP(-LN(2)/25))/(LN(2)/25)*Calculateur!AQ173*Calculateur!AS173*VLOOKUP('Données projet'!$B$10,Paramètres!$A$1:$I$89,3,0)*0.475*44/12</f>
        <v>5.4580726373082351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28.063524558072132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518.62652400000036</v>
      </c>
      <c r="BF173" s="13">
        <f t="shared" si="167"/>
        <v>115.45100000763091</v>
      </c>
      <c r="BG173" s="20">
        <f t="shared" si="168"/>
        <v>1104.3516876466244</v>
      </c>
      <c r="BH173" s="59">
        <f t="shared" si="116"/>
        <v>1397.6850209799577</v>
      </c>
      <c r="BI173" s="59">
        <f ca="1">AVERAGE(OFFSET($BH$3,0,0,'Données projet'!$E$11+1,1))-AVERAGE(OFFSET($H$3,0,0,'Données projet'!$E$11+1,1))</f>
        <v>534.59150243554586</v>
      </c>
      <c r="BJ173" s="59">
        <f t="shared" si="146"/>
        <v>259.04458689606491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73.329004636063104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73.329004636063104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2.8421709430404007E-14</v>
      </c>
      <c r="BZ173" s="13">
        <f>BY173*VLOOKUP('Données projet'!$B$12,Paramètres!$A$1:$I$89,3,0)*VLOOKUP('Données projet'!$B$12,Paramètres!$A$1:$I$89,5,0)</f>
        <v>2.4829205358400945E-14</v>
      </c>
      <c r="CA173" s="13">
        <f t="shared" si="170"/>
        <v>4.3867331143352915E-13</v>
      </c>
      <c r="CB173" s="20">
        <f t="shared" si="171"/>
        <v>8.0726688341261168E-13</v>
      </c>
      <c r="CC173" s="59">
        <f t="shared" si="119"/>
        <v>293.33333333333411</v>
      </c>
      <c r="CD173" s="59">
        <f ca="1">AVERAGE(OFFSET($CC$3,0,0,'Données projet'!$E$12+1,1))-AVERAGE(OFFSET($H$3,0,0,'Données projet'!$E$12+1,1))</f>
        <v>211.91720528436969</v>
      </c>
      <c r="CE173" s="59">
        <f t="shared" si="148"/>
        <v>218.88548486038957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13.036283348711454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13.036283348711454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8.5459999999999976</v>
      </c>
      <c r="CT173" s="12">
        <f>IF('Données projet'!$A$140&gt;35,CT172+CS173-DB172,IF(A173&lt;'Données projet'!$A$140,$CQ$205^A173,IF(A173='Données projet'!$A$140,'Données projet'!$B$140,CT172+CS173-DB172)))</f>
        <v>511.46600000000035</v>
      </c>
      <c r="CU173" s="17">
        <f>CT173*VLOOKUP('Données projet'!$B$13,Paramètres!$A$1:$I$89,3,0)*VLOOKUP('Données projet'!$B$13,Paramètres!$A$1:$I$89,5,0)</f>
        <v>462.77443680000027</v>
      </c>
      <c r="CV173" s="13">
        <f t="shared" si="173"/>
        <v>104.39325332394039</v>
      </c>
      <c r="CW173" s="20">
        <f t="shared" si="174"/>
        <v>987.81706029919678</v>
      </c>
      <c r="CX173" s="59">
        <f t="shared" si="122"/>
        <v>1281.15039363253</v>
      </c>
      <c r="CY173" s="59">
        <f ca="1">AVERAGE(OFFSET($CX$3,0,0,'Données projet'!$E$13+1,1))-AVERAGE(OFFSET($H$3,0,0,'Données projet'!$E$13+1,1))</f>
        <v>469.97161976912071</v>
      </c>
      <c r="CZ173" s="59">
        <f t="shared" si="150"/>
        <v>231.65013084759306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65.432034906025521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65.432034906025521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8.5459999999999976</v>
      </c>
      <c r="DO173" s="12">
        <f>IF('Données projet'!$A$166&gt;35,DO172+DN173-DW172,IF(A173&lt;'Données projet'!$A$166,$DL$205^A173,IF(A173='Données projet'!$A$166,'Données projet'!$B$166,DO172+DN173-DW172)))</f>
        <v>511.46600000000035</v>
      </c>
      <c r="DP173" s="17">
        <f>DO173*VLOOKUP('Données projet'!$B$14,Paramètres!$A$1:$I$89,3,0)*VLOOKUP('Données projet'!$B$14,Paramètres!$A$1:$I$89,5,0)</f>
        <v>494.68991520000037</v>
      </c>
      <c r="DQ173" s="13">
        <f t="shared" si="176"/>
        <v>110.72986079292981</v>
      </c>
      <c r="DR173" s="20">
        <f t="shared" si="177"/>
        <v>1054.4394431876869</v>
      </c>
      <c r="DS173" s="59">
        <f t="shared" si="125"/>
        <v>1347.7727765210202</v>
      </c>
      <c r="DT173" s="59">
        <f ca="1">AVERAGE(OFFSET($DS$3,0,0,'Données projet'!$E$14+1,1))-AVERAGE(OFFSET($H$3,0,0,'Données projet'!$E$14+1,1))</f>
        <v>506.9153247310901</v>
      </c>
      <c r="DU173" s="59">
        <f t="shared" si="152"/>
        <v>247.31254626788319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69.944589037475566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69.944589037475566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193.8828274189392</v>
      </c>
      <c r="T174" s="59">
        <f t="shared" si="142"/>
        <v>179.13381331066427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33.058609606799969</v>
      </c>
      <c r="AA174" s="21">
        <f>EXP(-LN(2)/25)*AA173+(1-EXP(-LN(2)/25))/(LN(2)/25)*Calculateur!V174*Calculateur!X174*VLOOKUP('Données projet'!$B$9,Paramètres!$A$1:$I$89,3,0)*0.475*44/12</f>
        <v>8.2266256650300527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41.285235271830018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-6.8212102632969618E-13</v>
      </c>
      <c r="AJ174" s="13">
        <f>AI174*VLOOKUP('Données projet'!$B$10,Paramètres!$A$1:$I$89,3,0)*VLOOKUP('Données projet'!$B$10,Paramètres!$A$1:$I$89,5,0)</f>
        <v>-4.0790837374515837E-13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228.36873053496748</v>
      </c>
      <c r="AO174" s="59">
        <f t="shared" si="144"/>
        <v>177.73676400313303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22.16217279656194</v>
      </c>
      <c r="AV174" s="21">
        <f>EXP(-LN(2)/25)*AV173+(1-EXP(-LN(2)/25))/(LN(2)/25)*Calculateur!AQ174*Calculateur!AS174*VLOOKUP('Données projet'!$B$10,Paramètres!$A$1:$I$89,3,0)*0.475*44/12</f>
        <v>5.3088213540134763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27.470994150575414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527.2921680000004</v>
      </c>
      <c r="BF174" s="13">
        <f t="shared" si="167"/>
        <v>117.15386255722979</v>
      </c>
      <c r="BG174" s="20">
        <f t="shared" si="168"/>
        <v>1122.4101698871759</v>
      </c>
      <c r="BH174" s="59">
        <f t="shared" si="116"/>
        <v>1415.7435032205092</v>
      </c>
      <c r="BI174" s="59">
        <f ca="1">AVERAGE(OFFSET($BH$3,0,0,'Données projet'!$E$11+1,1))-AVERAGE(OFFSET($H$3,0,0,'Données projet'!$E$11+1,1))</f>
        <v>534.59150243554586</v>
      </c>
      <c r="BJ174" s="59">
        <f t="shared" si="146"/>
        <v>259.04458689606491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71.891067581426384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71.891067581426384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2.8421709430404007E-14</v>
      </c>
      <c r="BZ174" s="13">
        <f>BY174*VLOOKUP('Données projet'!$B$12,Paramètres!$A$1:$I$89,3,0)*VLOOKUP('Données projet'!$B$12,Paramètres!$A$1:$I$89,5,0)</f>
        <v>2.4829205358400945E-14</v>
      </c>
      <c r="CA174" s="13">
        <f t="shared" si="170"/>
        <v>4.3867331143352915E-13</v>
      </c>
      <c r="CB174" s="20">
        <f t="shared" si="171"/>
        <v>8.0726688341261168E-13</v>
      </c>
      <c r="CC174" s="59">
        <f t="shared" si="119"/>
        <v>293.33333333333411</v>
      </c>
      <c r="CD174" s="59">
        <f ca="1">AVERAGE(OFFSET($CC$3,0,0,'Données projet'!$E$12+1,1))-AVERAGE(OFFSET($H$3,0,0,'Données projet'!$E$12+1,1))</f>
        <v>211.91720528436969</v>
      </c>
      <c r="CE174" s="59">
        <f t="shared" si="148"/>
        <v>218.88548486038957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12.780649783590935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12.780649783590935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8.5459999999999976</v>
      </c>
      <c r="CT174" s="12">
        <f>IF('Données projet'!$A$140&gt;35,CT173+CS174-DB173,IF(A174&lt;'Données projet'!$A$140,$CQ$205^A174,IF(A174='Données projet'!$A$140,'Données projet'!$B$140,CT173+CS174-DB173)))</f>
        <v>520.0120000000004</v>
      </c>
      <c r="CU174" s="17">
        <f>CT174*VLOOKUP('Données projet'!$B$13,Paramètres!$A$1:$I$89,3,0)*VLOOKUP('Données projet'!$B$13,Paramètres!$A$1:$I$89,5,0)</f>
        <v>470.50685760000033</v>
      </c>
      <c r="CV174" s="13">
        <f t="shared" si="173"/>
        <v>105.93301791241842</v>
      </c>
      <c r="CW174" s="20">
        <f t="shared" si="174"/>
        <v>1003.9661165174626</v>
      </c>
      <c r="CX174" s="59">
        <f t="shared" si="122"/>
        <v>1297.299449850796</v>
      </c>
      <c r="CY174" s="59">
        <f ca="1">AVERAGE(OFFSET($CX$3,0,0,'Données projet'!$E$13+1,1))-AVERAGE(OFFSET($H$3,0,0,'Données projet'!$E$13+1,1))</f>
        <v>469.97161976912071</v>
      </c>
      <c r="CZ174" s="59">
        <f t="shared" si="150"/>
        <v>231.65013084759306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64.148952611118901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64.148952611118901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8.5459999999999976</v>
      </c>
      <c r="DO174" s="12">
        <f>IF('Données projet'!$A$166&gt;35,DO173+DN174-DW173,IF(A174&lt;'Données projet'!$A$166,$DL$205^A174,IF(A174='Données projet'!$A$166,'Données projet'!$B$166,DO173+DN174-DW173)))</f>
        <v>520.0120000000004</v>
      </c>
      <c r="DP174" s="17">
        <f>DO174*VLOOKUP('Données projet'!$B$14,Paramètres!$A$1:$I$89,3,0)*VLOOKUP('Données projet'!$B$14,Paramètres!$A$1:$I$89,5,0)</f>
        <v>502.95560640000036</v>
      </c>
      <c r="DQ174" s="13">
        <f t="shared" si="176"/>
        <v>112.36308816258565</v>
      </c>
      <c r="DR174" s="20">
        <f t="shared" si="177"/>
        <v>1071.6800596965038</v>
      </c>
      <c r="DS174" s="59">
        <f t="shared" si="125"/>
        <v>1365.0133930298371</v>
      </c>
      <c r="DT174" s="59">
        <f ca="1">AVERAGE(OFFSET($DS$3,0,0,'Données projet'!$E$14+1,1))-AVERAGE(OFFSET($H$3,0,0,'Données projet'!$E$14+1,1))</f>
        <v>506.9153247310901</v>
      </c>
      <c r="DU174" s="59">
        <f t="shared" si="152"/>
        <v>247.31254626788319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68.573018308437469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68.573018308437469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193.8828274189392</v>
      </c>
      <c r="T175" s="59">
        <f t="shared" si="142"/>
        <v>179.13381331066427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32.410350436171477</v>
      </c>
      <c r="AA175" s="21">
        <f>EXP(-LN(2)/25)*AA174+(1-EXP(-LN(2)/25))/(LN(2)/25)*Calculateur!V175*Calculateur!X175*VLOOKUP('Données projet'!$B$9,Paramètres!$A$1:$I$89,3,0)*0.475*44/12</f>
        <v>8.0016681536003649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40.41201858977184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-6.8212102632969618E-13</v>
      </c>
      <c r="AJ175" s="13">
        <f>AI175*VLOOKUP('Données projet'!$B$10,Paramètres!$A$1:$I$89,3,0)*VLOOKUP('Données projet'!$B$10,Paramètres!$A$1:$I$89,5,0)</f>
        <v>-4.0790837374515837E-13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228.36873053496748</v>
      </c>
      <c r="AO175" s="59">
        <f t="shared" si="144"/>
        <v>177.73676400313303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21.727586105612016</v>
      </c>
      <c r="AV175" s="21">
        <f>EXP(-LN(2)/25)*AV174+(1-EXP(-LN(2)/25))/(LN(2)/25)*Calculateur!AQ175*Calculateur!AS175*VLOOKUP('Données projet'!$B$10,Paramètres!$A$1:$I$89,3,0)*0.475*44/12</f>
        <v>5.163651354909196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26.891237460521211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535.95781200000044</v>
      </c>
      <c r="BF175" s="13">
        <f t="shared" si="167"/>
        <v>118.85347058310219</v>
      </c>
      <c r="BG175" s="20">
        <f t="shared" si="168"/>
        <v>1140.4629838322371</v>
      </c>
      <c r="BH175" s="59">
        <f t="shared" si="116"/>
        <v>1433.7963171655704</v>
      </c>
      <c r="BI175" s="59">
        <f ca="1">AVERAGE(OFFSET($BH$3,0,0,'Données projet'!$E$11+1,1))-AVERAGE(OFFSET($H$3,0,0,'Données projet'!$E$11+1,1))</f>
        <v>534.59150243554586</v>
      </c>
      <c r="BJ175" s="59">
        <f t="shared" si="146"/>
        <v>259.04458689606491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70.481327595376086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70.481327595376086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2.8421709430404007E-14</v>
      </c>
      <c r="BZ175" s="13">
        <f>BY175*VLOOKUP('Données projet'!$B$12,Paramètres!$A$1:$I$89,3,0)*VLOOKUP('Données projet'!$B$12,Paramètres!$A$1:$I$89,5,0)</f>
        <v>2.4829205358400945E-14</v>
      </c>
      <c r="CA175" s="13">
        <f t="shared" si="170"/>
        <v>4.3867331143352915E-13</v>
      </c>
      <c r="CB175" s="20">
        <f t="shared" si="171"/>
        <v>8.0726688341261168E-13</v>
      </c>
      <c r="CC175" s="59">
        <f t="shared" si="119"/>
        <v>293.33333333333411</v>
      </c>
      <c r="CD175" s="59">
        <f ca="1">AVERAGE(OFFSET($CC$3,0,0,'Données projet'!$E$12+1,1))-AVERAGE(OFFSET($H$3,0,0,'Données projet'!$E$12+1,1))</f>
        <v>211.91720528436969</v>
      </c>
      <c r="CE175" s="59">
        <f t="shared" si="148"/>
        <v>218.88548486038957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12.53002903676135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12.53002903676135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8.5459999999999976</v>
      </c>
      <c r="CT175" s="12">
        <f>IF('Données projet'!$A$140&gt;35,CT174+CS175-DB174,IF(A175&lt;'Données projet'!$A$140,$CQ$205^A175,IF(A175='Données projet'!$A$140,'Données projet'!$B$140,CT174+CS175-DB174)))</f>
        <v>528.55800000000045</v>
      </c>
      <c r="CU175" s="17">
        <f>CT175*VLOOKUP('Données projet'!$B$13,Paramètres!$A$1:$I$89,3,0)*VLOOKUP('Données projet'!$B$13,Paramètres!$A$1:$I$89,5,0)</f>
        <v>478.23927840000039</v>
      </c>
      <c r="CV175" s="13">
        <f t="shared" si="173"/>
        <v>107.46983969122122</v>
      </c>
      <c r="CW175" s="20">
        <f t="shared" si="174"/>
        <v>1020.110047342211</v>
      </c>
      <c r="CX175" s="59">
        <f t="shared" si="122"/>
        <v>1313.4433806755444</v>
      </c>
      <c r="CY175" s="59">
        <f ca="1">AVERAGE(OFFSET($CX$3,0,0,'Données projet'!$E$13+1,1))-AVERAGE(OFFSET($H$3,0,0,'Données projet'!$E$13+1,1))</f>
        <v>469.97161976912071</v>
      </c>
      <c r="CZ175" s="59">
        <f t="shared" si="150"/>
        <v>231.65013084759306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62.891030777412482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62.891030777412482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8.5459999999999976</v>
      </c>
      <c r="DO175" s="12">
        <f>IF('Données projet'!$A$166&gt;35,DO174+DN175-DW174,IF(A175&lt;'Données projet'!$A$166,$DL$205^A175,IF(A175='Données projet'!$A$166,'Données projet'!$B$166,DO174+DN175-DW174)))</f>
        <v>528.55800000000045</v>
      </c>
      <c r="DP175" s="17">
        <f>DO175*VLOOKUP('Données projet'!$B$14,Paramètres!$A$1:$I$89,3,0)*VLOOKUP('Données projet'!$B$14,Paramètres!$A$1:$I$89,5,0)</f>
        <v>511.22129760000047</v>
      </c>
      <c r="DQ175" s="13">
        <f t="shared" si="176"/>
        <v>113.99319409579488</v>
      </c>
      <c r="DR175" s="20">
        <f t="shared" si="177"/>
        <v>1088.9152397035102</v>
      </c>
      <c r="DS175" s="59">
        <f t="shared" si="125"/>
        <v>1382.2485730368435</v>
      </c>
      <c r="DT175" s="59">
        <f ca="1">AVERAGE(OFFSET($DS$3,0,0,'Données projet'!$E$14+1,1))-AVERAGE(OFFSET($H$3,0,0,'Données projet'!$E$14+1,1))</f>
        <v>506.9153247310901</v>
      </c>
      <c r="DU175" s="59">
        <f t="shared" si="152"/>
        <v>247.31254626788319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67.228343244820266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67.228343244820266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193.8828274189392</v>
      </c>
      <c r="T176" s="59">
        <f t="shared" si="142"/>
        <v>179.13381331066427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31.774803232479957</v>
      </c>
      <c r="AA176" s="21">
        <f>EXP(-LN(2)/25)*AA175+(1-EXP(-LN(2)/25))/(LN(2)/25)*Calculateur!V176*Calculateur!X176*VLOOKUP('Données projet'!$B$9,Paramètres!$A$1:$I$89,3,0)*0.475*44/12</f>
        <v>7.7828621171507226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39.557665349630682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-6.8212102632969618E-13</v>
      </c>
      <c r="AJ176" s="13">
        <f>AI176*VLOOKUP('Données projet'!$B$10,Paramètres!$A$1:$I$89,3,0)*VLOOKUP('Données projet'!$B$10,Paramètres!$A$1:$I$89,5,0)</f>
        <v>-4.0790837374515837E-13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228.36873053496748</v>
      </c>
      <c r="AO176" s="59">
        <f t="shared" si="144"/>
        <v>177.73676400313303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21.301521394599909</v>
      </c>
      <c r="AV176" s="21">
        <f>EXP(-LN(2)/25)*AV175+(1-EXP(-LN(2)/25))/(LN(2)/25)*Calculateur!AQ176*Calculateur!AS176*VLOOKUP('Données projet'!$B$10,Paramètres!$A$1:$I$89,3,0)*0.475*44/12</f>
        <v>5.022451037064581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26.32397243166449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544.62345600000049</v>
      </c>
      <c r="BF176" s="13">
        <f t="shared" si="167"/>
        <v>120.54988278104692</v>
      </c>
      <c r="BG176" s="20">
        <f t="shared" si="168"/>
        <v>1158.510231710324</v>
      </c>
      <c r="BH176" s="59">
        <f t="shared" si="116"/>
        <v>1451.8435650436572</v>
      </c>
      <c r="BI176" s="59">
        <f ca="1">AVERAGE(OFFSET($BH$3,0,0,'Données projet'!$E$11+1,1))-AVERAGE(OFFSET($H$3,0,0,'Données projet'!$E$11+1,1))</f>
        <v>534.59150243554586</v>
      </c>
      <c r="BJ176" s="59">
        <f t="shared" si="146"/>
        <v>259.04458689606491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69.099231750595749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69.099231750595749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2.8421709430404007E-14</v>
      </c>
      <c r="BZ176" s="13">
        <f>BY176*VLOOKUP('Données projet'!$B$12,Paramètres!$A$1:$I$89,3,0)*VLOOKUP('Données projet'!$B$12,Paramètres!$A$1:$I$89,5,0)</f>
        <v>2.4829205358400945E-14</v>
      </c>
      <c r="CA176" s="13">
        <f t="shared" si="170"/>
        <v>4.3867331143352915E-13</v>
      </c>
      <c r="CB176" s="20">
        <f t="shared" si="171"/>
        <v>8.0726688341261168E-13</v>
      </c>
      <c r="CC176" s="59">
        <f t="shared" si="119"/>
        <v>293.33333333333411</v>
      </c>
      <c r="CD176" s="59">
        <f ca="1">AVERAGE(OFFSET($CC$3,0,0,'Données projet'!$E$12+1,1))-AVERAGE(OFFSET($H$3,0,0,'Données projet'!$E$12+1,1))</f>
        <v>211.91720528436969</v>
      </c>
      <c r="CE176" s="59">
        <f t="shared" si="148"/>
        <v>218.88548486038957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12.284322809913531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12.284322809913531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8.5459999999999976</v>
      </c>
      <c r="CT176" s="12">
        <f>IF('Données projet'!$A$140&gt;35,CT175+CS176-DB175,IF(A176&lt;'Données projet'!$A$140,$CQ$205^A176,IF(A176='Données projet'!$A$140,'Données projet'!$B$140,CT175+CS176-DB175)))</f>
        <v>537.1040000000005</v>
      </c>
      <c r="CU176" s="17">
        <f>CT176*VLOOKUP('Données projet'!$B$13,Paramètres!$A$1:$I$89,3,0)*VLOOKUP('Données projet'!$B$13,Paramètres!$A$1:$I$89,5,0)</f>
        <v>485.97169920000039</v>
      </c>
      <c r="CV176" s="13">
        <f t="shared" si="173"/>
        <v>109.00377173434057</v>
      </c>
      <c r="CW176" s="20">
        <f t="shared" si="174"/>
        <v>1036.2489452106438</v>
      </c>
      <c r="CX176" s="59">
        <f t="shared" si="122"/>
        <v>1329.5822785439771</v>
      </c>
      <c r="CY176" s="59">
        <f ca="1">AVERAGE(OFFSET($CX$3,0,0,'Données projet'!$E$13+1,1))-AVERAGE(OFFSET($H$3,0,0,'Données projet'!$E$13+1,1))</f>
        <v>469.97161976912071</v>
      </c>
      <c r="CZ176" s="59">
        <f t="shared" si="150"/>
        <v>231.65013084759306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61.657776023608484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61.657776023608484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8.5459999999999976</v>
      </c>
      <c r="DO176" s="12">
        <f>IF('Données projet'!$A$166&gt;35,DO175+DN176-DW175,IF(A176&lt;'Données projet'!$A$166,$DL$205^A176,IF(A176='Données projet'!$A$166,'Données projet'!$B$166,DO175+DN176-DW175)))</f>
        <v>537.1040000000005</v>
      </c>
      <c r="DP176" s="17">
        <f>DO176*VLOOKUP('Données projet'!$B$14,Paramètres!$A$1:$I$89,3,0)*VLOOKUP('Données projet'!$B$14,Paramètres!$A$1:$I$89,5,0)</f>
        <v>519.48698880000052</v>
      </c>
      <c r="DQ176" s="13">
        <f t="shared" si="176"/>
        <v>115.62023488810887</v>
      </c>
      <c r="DR176" s="20">
        <f t="shared" si="177"/>
        <v>1106.1450812567903</v>
      </c>
      <c r="DS176" s="59">
        <f t="shared" si="125"/>
        <v>1399.4784145901235</v>
      </c>
      <c r="DT176" s="59">
        <f ca="1">AVERAGE(OFFSET($DS$3,0,0,'Données projet'!$E$14+1,1))-AVERAGE(OFFSET($H$3,0,0,'Données projet'!$E$14+1,1))</f>
        <v>506.9153247310901</v>
      </c>
      <c r="DU176" s="59">
        <f t="shared" si="152"/>
        <v>247.31254626788319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65.910036439029795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65.910036439029795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193.8828274189392</v>
      </c>
      <c r="T177" s="59">
        <f t="shared" si="142"/>
        <v>179.13381331066427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31.15171872180731</v>
      </c>
      <c r="AA177" s="21">
        <f>EXP(-LN(2)/25)*AA176+(1-EXP(-LN(2)/25))/(LN(2)/25)*Calculateur!V177*Calculateur!X177*VLOOKUP('Données projet'!$B$9,Paramètres!$A$1:$I$89,3,0)*0.475*44/12</f>
        <v>7.5700393432743054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38.721758065081616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-6.8212102632969618E-13</v>
      </c>
      <c r="AJ177" s="13">
        <f>AI177*VLOOKUP('Données projet'!$B$10,Paramètres!$A$1:$I$89,3,0)*VLOOKUP('Données projet'!$B$10,Paramètres!$A$1:$I$89,5,0)</f>
        <v>-4.0790837374515837E-13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228.36873053496748</v>
      </c>
      <c r="AO177" s="59">
        <f t="shared" si="144"/>
        <v>177.73676400313303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20.88381155269694</v>
      </c>
      <c r="AV177" s="21">
        <f>EXP(-LN(2)/25)*AV176+(1-EXP(-LN(2)/25))/(LN(2)/25)*Calculateur!AQ177*Calculateur!AS177*VLOOKUP('Données projet'!$B$10,Paramètres!$A$1:$I$89,3,0)*0.475*44/12</f>
        <v>4.8851118493368286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25.768923402033771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553.28910000000053</v>
      </c>
      <c r="BF177" s="13">
        <f t="shared" si="167"/>
        <v>122.24315587188718</v>
      </c>
      <c r="BG177" s="20">
        <f t="shared" si="168"/>
        <v>1176.5520123102044</v>
      </c>
      <c r="BH177" s="59">
        <f t="shared" si="116"/>
        <v>1469.8853456435377</v>
      </c>
      <c r="BI177" s="59">
        <f ca="1">AVERAGE(OFFSET($BH$3,0,0,'Données projet'!$E$11+1,1))-AVERAGE(OFFSET($H$3,0,0,'Données projet'!$E$11+1,1))</f>
        <v>534.59150243554586</v>
      </c>
      <c r="BJ177" s="59">
        <f t="shared" si="146"/>
        <v>259.04458689606491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129.85664910947281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129.85664910947281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2.8421709430404007E-14</v>
      </c>
      <c r="BZ177" s="13">
        <f>BY177*VLOOKUP('Données projet'!$B$12,Paramètres!$A$1:$I$89,3,0)*VLOOKUP('Données projet'!$B$12,Paramètres!$A$1:$I$89,5,0)</f>
        <v>2.4829205358400945E-14</v>
      </c>
      <c r="CA177" s="13">
        <f t="shared" si="170"/>
        <v>4.3867331143352915E-13</v>
      </c>
      <c r="CB177" s="20">
        <f t="shared" si="171"/>
        <v>8.0726688341261168E-13</v>
      </c>
      <c r="CC177" s="59">
        <f t="shared" si="119"/>
        <v>293.33333333333411</v>
      </c>
      <c r="CD177" s="59">
        <f ca="1">AVERAGE(OFFSET($CC$3,0,0,'Données projet'!$E$12+1,1))-AVERAGE(OFFSET($H$3,0,0,'Données projet'!$E$12+1,1))</f>
        <v>211.91720528436969</v>
      </c>
      <c r="CE177" s="59">
        <f t="shared" si="148"/>
        <v>218.88548486038957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12.043434732308199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12.043434732308199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545.65</v>
      </c>
      <c r="CR177" s="12">
        <f>VLOOKUP(A177,'Données projet'!$A$139:$I$159,9,0)</f>
        <v>8.5459999999999976</v>
      </c>
      <c r="CS177" s="12">
        <f t="array" ref="CS177">INDEX(CR:CR,MIN(IF(ISNUMBER(CR177:CR373),ROW(CR177:CR373),"")))</f>
        <v>8.5459999999999976</v>
      </c>
      <c r="CT177" s="12">
        <f>IF('Données projet'!$A$140&gt;35,CT176+CS177-DB176,IF(A177&lt;'Données projet'!$A$140,$CQ$205^A177,IF(A177='Données projet'!$A$140,'Données projet'!$B$140,CT176+CS177-DB176)))</f>
        <v>545.65000000000055</v>
      </c>
      <c r="CU177" s="17">
        <f>CT177*VLOOKUP('Données projet'!$B$13,Paramètres!$A$1:$I$89,3,0)*VLOOKUP('Données projet'!$B$13,Paramètres!$A$1:$I$89,5,0)</f>
        <v>493.7041200000005</v>
      </c>
      <c r="CV177" s="13">
        <f t="shared" si="173"/>
        <v>110.53486532995269</v>
      </c>
      <c r="CW177" s="20">
        <f t="shared" si="174"/>
        <v>1052.3828994496685</v>
      </c>
      <c r="CX177" s="59">
        <f t="shared" si="122"/>
        <v>1345.7162327830017</v>
      </c>
      <c r="CY177" s="59">
        <f ca="1">AVERAGE(OFFSET($CX$3,0,0,'Données projet'!$E$13+1,1))-AVERAGE(OFFSET($H$3,0,0,'Données projet'!$E$13+1,1))</f>
        <v>469.97161976912071</v>
      </c>
      <c r="CZ177" s="59">
        <f t="shared" si="150"/>
        <v>231.65013084759306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0.25800000000000001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115.87208689768337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115.87208689768337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>
        <f>VLOOKUP(A177,'Données projet'!$A$165:$I$185,2,0)</f>
        <v>545.65</v>
      </c>
      <c r="DM177" s="12">
        <f>VLOOKUP(A177,'Données projet'!$A$165:$I$185,9,0)</f>
        <v>8.5459999999999976</v>
      </c>
      <c r="DN177" s="12">
        <f t="array" ref="DN177">INDEX(DM:DM,MIN(IF(ISNUMBER(DM177:DM373),ROW(DM177:DM373),"")))</f>
        <v>8.5459999999999976</v>
      </c>
      <c r="DO177" s="12">
        <f>IF('Données projet'!$A$166&gt;35,DO176+DN177-DW176,IF(A177&lt;'Données projet'!$A$166,$DL$205^A177,IF(A177='Données projet'!$A$166,'Données projet'!$B$166,DO176+DN177-DW176)))</f>
        <v>545.65000000000055</v>
      </c>
      <c r="DP177" s="17">
        <f>DO177*VLOOKUP('Données projet'!$B$14,Paramètres!$A$1:$I$89,3,0)*VLOOKUP('Données projet'!$B$14,Paramètres!$A$1:$I$89,5,0)</f>
        <v>527.75268000000051</v>
      </c>
      <c r="DQ177" s="13">
        <f t="shared" si="176"/>
        <v>117.24426494086524</v>
      </c>
      <c r="DR177" s="20">
        <f t="shared" si="177"/>
        <v>1123.369679105341</v>
      </c>
      <c r="DS177" s="59">
        <f t="shared" si="125"/>
        <v>1416.7030124386743</v>
      </c>
      <c r="DT177" s="59">
        <f ca="1">AVERAGE(OFFSET($DS$3,0,0,'Données projet'!$E$14+1,1))-AVERAGE(OFFSET($H$3,0,0,'Données projet'!$E$14+1,1))</f>
        <v>506.9153247310901</v>
      </c>
      <c r="DU177" s="59">
        <f t="shared" si="152"/>
        <v>247.31254626788319</v>
      </c>
      <c r="DV177" s="15">
        <f>IF(ISNA(VLOOKUP(A177,'Données projet'!$A$165:$I$185,3,0)),0,VLOOKUP(A177,'Données projet'!$A$165:$I$185,3,0))</f>
        <v>15</v>
      </c>
      <c r="DW177" s="15">
        <f>IF(ISNA(VLOOKUP(A177,'Données projet'!$A$165:$I$185,4,0)),0,VLOOKUP(A177,'Données projet'!$A$165:$I$185,4,0))</f>
        <v>214.77</v>
      </c>
      <c r="DX177" s="16">
        <f>IF(ISNA(VLOOKUP(A177,'Données projet'!$A$165:$I$185,5,0)),0%,VLOOKUP(A177,'Données projet'!$A$165:$I$185,5,0)*VLOOKUP('Données projet'!$B$14,Paramètres!$A$1:$I$89,7,0))</f>
        <v>0.25800000000000001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123.8632653044202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123.8632653044202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193.8828274189392</v>
      </c>
      <c r="T178" s="59">
        <f t="shared" si="142"/>
        <v>179.13381331066427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30.540852518344927</v>
      </c>
      <c r="AA178" s="21">
        <f>EXP(-LN(2)/25)*AA177+(1-EXP(-LN(2)/25))/(LN(2)/25)*Calculateur!V178*Calculateur!X178*VLOOKUP('Données projet'!$B$9,Paramètres!$A$1:$I$89,3,0)*0.475*44/12</f>
        <v>7.3630362193414021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37.90388873768633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-6.8212102632969618E-13</v>
      </c>
      <c r="AJ178" s="13">
        <f>AI178*VLOOKUP('Données projet'!$B$10,Paramètres!$A$1:$I$89,3,0)*VLOOKUP('Données projet'!$B$10,Paramètres!$A$1:$I$89,5,0)</f>
        <v>-4.0790837374515837E-13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228.36873053496748</v>
      </c>
      <c r="AO178" s="59">
        <f t="shared" si="144"/>
        <v>177.73676400313303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20.474292746015841</v>
      </c>
      <c r="AV178" s="21">
        <f>EXP(-LN(2)/25)*AV177+(1-EXP(-LN(2)/25))/(LN(2)/25)*Calculateur!AQ178*Calculateur!AS178*VLOOKUP('Données projet'!$B$10,Paramètres!$A$1:$I$89,3,0)*0.475*44/12</f>
        <v>4.7515282089198463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25.225820954935688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340.97440000000057</v>
      </c>
      <c r="BF178" s="13">
        <f t="shared" si="167"/>
        <v>79.70123008824433</v>
      </c>
      <c r="BG178" s="20">
        <f t="shared" si="168"/>
        <v>732.67672240369313</v>
      </c>
      <c r="BH178" s="59">
        <f t="shared" si="116"/>
        <v>1026.0100557370265</v>
      </c>
      <c r="BI178" s="59">
        <f ca="1">AVERAGE(OFFSET($BH$3,0,0,'Données projet'!$E$11+1,1))-AVERAGE(OFFSET($H$3,0,0,'Données projet'!$E$11+1,1))</f>
        <v>534.59150243554586</v>
      </c>
      <c r="BJ178" s="59">
        <f t="shared" si="146"/>
        <v>259.04458689606491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127.31023942517119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127.31023942517119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2.8421709430404007E-14</v>
      </c>
      <c r="BZ178" s="13">
        <f>BY178*VLOOKUP('Données projet'!$B$12,Paramètres!$A$1:$I$89,3,0)*VLOOKUP('Données projet'!$B$12,Paramètres!$A$1:$I$89,5,0)</f>
        <v>2.4829205358400945E-14</v>
      </c>
      <c r="CA178" s="13">
        <f t="shared" si="170"/>
        <v>4.3867331143352915E-13</v>
      </c>
      <c r="CB178" s="20">
        <f t="shared" si="171"/>
        <v>8.0726688341261168E-13</v>
      </c>
      <c r="CC178" s="59">
        <f t="shared" si="119"/>
        <v>293.33333333333411</v>
      </c>
      <c r="CD178" s="59">
        <f ca="1">AVERAGE(OFFSET($CC$3,0,0,'Données projet'!$E$12+1,1))-AVERAGE(OFFSET($H$3,0,0,'Données projet'!$E$12+1,1))</f>
        <v>211.91720528436969</v>
      </c>
      <c r="CE178" s="59">
        <f t="shared" si="148"/>
        <v>218.88548486038957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11.807270322977487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11.807270322977487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5.3866666666666747</v>
      </c>
      <c r="CT178" s="12">
        <f>IF('Données projet'!$A$140&gt;35,CT177+CS178-DB177,IF(A178&lt;'Données projet'!$A$140,$CQ$205^A178,IF(A178='Données projet'!$A$140,'Données projet'!$B$140,CT177+CS178-DB177)))</f>
        <v>336.26666666666722</v>
      </c>
      <c r="CU178" s="17">
        <f>CT178*VLOOKUP('Données projet'!$B$13,Paramètres!$A$1:$I$89,3,0)*VLOOKUP('Données projet'!$B$13,Paramètres!$A$1:$I$89,5,0)</f>
        <v>304.2540800000005</v>
      </c>
      <c r="CV178" s="13">
        <f t="shared" si="173"/>
        <v>72.067549889405967</v>
      </c>
      <c r="CW178" s="20">
        <f t="shared" si="174"/>
        <v>655.42683872404962</v>
      </c>
      <c r="CX178" s="59">
        <f t="shared" si="122"/>
        <v>948.76017205738299</v>
      </c>
      <c r="CY178" s="59">
        <f ca="1">AVERAGE(OFFSET($CX$3,0,0,'Données projet'!$E$13+1,1))-AVERAGE(OFFSET($H$3,0,0,'Données projet'!$E$13+1,1))</f>
        <v>469.97161976912071</v>
      </c>
      <c r="CZ178" s="59">
        <f t="shared" si="150"/>
        <v>231.65013084759306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113.59990594861424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113.59990594861424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5.3866666666666747</v>
      </c>
      <c r="DO178" s="12">
        <f>IF('Données projet'!$A$166&gt;35,DO177+DN178-DW177,IF(A178&lt;'Données projet'!$A$166,$DL$205^A178,IF(A178='Données projet'!$A$166,'Données projet'!$B$166,DO177+DN178-DW177)))</f>
        <v>336.26666666666722</v>
      </c>
      <c r="DP178" s="17">
        <f>DO178*VLOOKUP('Données projet'!$B$14,Paramètres!$A$1:$I$89,3,0)*VLOOKUP('Données projet'!$B$14,Paramètres!$A$1:$I$89,5,0)</f>
        <v>325.23712000000052</v>
      </c>
      <c r="DQ178" s="13">
        <f t="shared" si="176"/>
        <v>76.442006670477085</v>
      </c>
      <c r="DR178" s="20">
        <f t="shared" si="177"/>
        <v>699.59114561774857</v>
      </c>
      <c r="DS178" s="59">
        <f t="shared" si="125"/>
        <v>992.92447895108194</v>
      </c>
      <c r="DT178" s="59">
        <f ca="1">AVERAGE(OFFSET($DS$3,0,0,'Données projet'!$E$14+1,1))-AVERAGE(OFFSET($H$3,0,0,'Données projet'!$E$14+1,1))</f>
        <v>506.9153247310901</v>
      </c>
      <c r="DU178" s="59">
        <f t="shared" si="152"/>
        <v>247.31254626788319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121.43438222093249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121.43438222093249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193.8828274189392</v>
      </c>
      <c r="T179" s="59">
        <f t="shared" si="142"/>
        <v>179.13381331066427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29.941965028540849</v>
      </c>
      <c r="AA179" s="21">
        <f>EXP(-LN(2)/25)*AA178+(1-EXP(-LN(2)/25))/(LN(2)/25)*Calculateur!V179*Calculateur!X179*VLOOKUP('Données projet'!$B$9,Paramètres!$A$1:$I$89,3,0)*0.475*44/12</f>
        <v>7.1616936067182655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37.103658635259116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-6.8212102632969618E-13</v>
      </c>
      <c r="AJ179" s="13">
        <f>AI179*VLOOKUP('Données projet'!$B$10,Paramètres!$A$1:$I$89,3,0)*VLOOKUP('Données projet'!$B$10,Paramètres!$A$1:$I$89,5,0)</f>
        <v>-4.0790837374515837E-13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228.36873053496748</v>
      </c>
      <c r="AO179" s="59">
        <f t="shared" si="144"/>
        <v>177.73676400313303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20.072804353351948</v>
      </c>
      <c r="AV179" s="21">
        <f>EXP(-LN(2)/25)*AV178+(1-EXP(-LN(2)/25))/(LN(2)/25)*Calculateur!AQ179*Calculateur!AS179*VLOOKUP('Données projet'!$B$10,Paramètres!$A$1:$I$89,3,0)*0.475*44/12</f>
        <v>4.6215974201749246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24.694401773526874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346.43648000000053</v>
      </c>
      <c r="BF179" s="13">
        <f t="shared" si="167"/>
        <v>80.828309002667666</v>
      </c>
      <c r="BG179" s="20">
        <f t="shared" si="168"/>
        <v>744.15284084631367</v>
      </c>
      <c r="BH179" s="59">
        <f t="shared" si="116"/>
        <v>1037.4861741796469</v>
      </c>
      <c r="BI179" s="59">
        <f ca="1">AVERAGE(OFFSET($BH$3,0,0,'Données projet'!$E$11+1,1))-AVERAGE(OFFSET($H$3,0,0,'Données projet'!$E$11+1,1))</f>
        <v>534.59150243554586</v>
      </c>
      <c r="BJ179" s="59">
        <f t="shared" si="146"/>
        <v>259.04458689606491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124.81376328162217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124.81376328162217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2.8421709430404007E-14</v>
      </c>
      <c r="BZ179" s="13">
        <f>BY179*VLOOKUP('Données projet'!$B$12,Paramètres!$A$1:$I$89,3,0)*VLOOKUP('Données projet'!$B$12,Paramètres!$A$1:$I$89,5,0)</f>
        <v>2.4829205358400945E-14</v>
      </c>
      <c r="CA179" s="13">
        <f t="shared" si="170"/>
        <v>4.3867331143352915E-13</v>
      </c>
      <c r="CB179" s="20">
        <f t="shared" si="171"/>
        <v>8.0726688341261168E-13</v>
      </c>
      <c r="CC179" s="59">
        <f t="shared" si="119"/>
        <v>293.33333333333411</v>
      </c>
      <c r="CD179" s="59">
        <f ca="1">AVERAGE(OFFSET($CC$3,0,0,'Données projet'!$E$12+1,1))-AVERAGE(OFFSET($H$3,0,0,'Données projet'!$E$12+1,1))</f>
        <v>211.91720528436969</v>
      </c>
      <c r="CE179" s="59">
        <f t="shared" si="148"/>
        <v>218.88548486038957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11.575736953667684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11.575736953667684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5.3866666666666747</v>
      </c>
      <c r="CT179" s="12">
        <f>IF('Données projet'!$A$140&gt;35,CT178+CS179-DB178,IF(A179&lt;'Données projet'!$A$140,$CQ$205^A179,IF(A179='Données projet'!$A$140,'Données projet'!$B$140,CT178+CS179-DB178)))</f>
        <v>341.65333333333388</v>
      </c>
      <c r="CU179" s="17">
        <f>CT179*VLOOKUP('Données projet'!$B$13,Paramètres!$A$1:$I$89,3,0)*VLOOKUP('Données projet'!$B$13,Paramètres!$A$1:$I$89,5,0)</f>
        <v>309.12793600000049</v>
      </c>
      <c r="CV179" s="13">
        <f t="shared" si="173"/>
        <v>73.086678650713282</v>
      </c>
      <c r="CW179" s="20">
        <f t="shared" si="174"/>
        <v>665.6904538499931</v>
      </c>
      <c r="CX179" s="59">
        <f t="shared" si="122"/>
        <v>959.02378718332648</v>
      </c>
      <c r="CY179" s="59">
        <f ca="1">AVERAGE(OFFSET($CX$3,0,0,'Données projet'!$E$13+1,1))-AVERAGE(OFFSET($H$3,0,0,'Données projet'!$E$13+1,1))</f>
        <v>469.97161976912071</v>
      </c>
      <c r="CZ179" s="59">
        <f t="shared" si="150"/>
        <v>231.65013084759306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111.37228108206281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111.37228108206281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5.3866666666666747</v>
      </c>
      <c r="DO179" s="12">
        <f>IF('Données projet'!$A$166&gt;35,DO178+DN179-DW178,IF(A179&lt;'Données projet'!$A$166,$DL$205^A179,IF(A179='Données projet'!$A$166,'Données projet'!$B$166,DO178+DN179-DW178)))</f>
        <v>341.65333333333388</v>
      </c>
      <c r="DP179" s="17">
        <f>DO179*VLOOKUP('Données projet'!$B$14,Paramètres!$A$1:$I$89,3,0)*VLOOKUP('Données projet'!$B$14,Paramètres!$A$1:$I$89,5,0)</f>
        <v>330.44710400000054</v>
      </c>
      <c r="DQ179" s="13">
        <f t="shared" si="176"/>
        <v>77.522995932488612</v>
      </c>
      <c r="DR179" s="20">
        <f t="shared" si="177"/>
        <v>710.54792404908528</v>
      </c>
      <c r="DS179" s="59">
        <f t="shared" si="125"/>
        <v>1003.8812573824187</v>
      </c>
      <c r="DT179" s="59">
        <f ca="1">AVERAGE(OFFSET($DS$3,0,0,'Données projet'!$E$14+1,1))-AVERAGE(OFFSET($H$3,0,0,'Données projet'!$E$14+1,1))</f>
        <v>506.9153247310901</v>
      </c>
      <c r="DU179" s="59">
        <f t="shared" si="152"/>
        <v>247.31254626788319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119.05312805323959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119.05312805323959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193.8828274189392</v>
      </c>
      <c r="T180" s="59">
        <f t="shared" si="142"/>
        <v>179.13381331066427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29.354821357126529</v>
      </c>
      <c r="AA180" s="21">
        <f>EXP(-LN(2)/25)*AA179+(1-EXP(-LN(2)/25))/(LN(2)/25)*Calculateur!V180*Calculateur!X180*VLOOKUP('Données projet'!$B$9,Paramètres!$A$1:$I$89,3,0)*0.475*44/12</f>
        <v>6.9658567184254556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36.320678075551982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-6.8212102632969618E-13</v>
      </c>
      <c r="AJ180" s="13">
        <f>AI180*VLOOKUP('Données projet'!$B$10,Paramètres!$A$1:$I$89,3,0)*VLOOKUP('Données projet'!$B$10,Paramètres!$A$1:$I$89,5,0)</f>
        <v>-4.0790837374515837E-13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228.36873053496748</v>
      </c>
      <c r="AO180" s="59">
        <f t="shared" si="144"/>
        <v>177.73676400313303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19.679188903184457</v>
      </c>
      <c r="AV180" s="21">
        <f>EXP(-LN(2)/25)*AV179+(1-EXP(-LN(2)/25))/(LN(2)/25)*Calculateur!AQ180*Calculateur!AS180*VLOOKUP('Données projet'!$B$10,Paramètres!$A$1:$I$89,3,0)*0.475*44/12</f>
        <v>4.4952195956809957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24.174408498865454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351.8985600000006</v>
      </c>
      <c r="BF180" s="13">
        <f t="shared" si="167"/>
        <v>81.953321289050805</v>
      </c>
      <c r="BG180" s="20">
        <f t="shared" si="168"/>
        <v>755.62535991176446</v>
      </c>
      <c r="BH180" s="59">
        <f t="shared" si="116"/>
        <v>1048.9586932450977</v>
      </c>
      <c r="BI180" s="59">
        <f ca="1">AVERAGE(OFFSET($BH$3,0,0,'Données projet'!$E$11+1,1))-AVERAGE(OFFSET($H$3,0,0,'Données projet'!$E$11+1,1))</f>
        <v>534.59150243554586</v>
      </c>
      <c r="BJ180" s="59">
        <f t="shared" si="146"/>
        <v>259.04458689606491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155.67968677975784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155.67968677975784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2.8421709430404007E-14</v>
      </c>
      <c r="BZ180" s="13">
        <f>BY180*VLOOKUP('Données projet'!$B$12,Paramètres!$A$1:$I$89,3,0)*VLOOKUP('Données projet'!$B$12,Paramètres!$A$1:$I$89,5,0)</f>
        <v>2.4829205358400945E-14</v>
      </c>
      <c r="CA180" s="13">
        <f t="shared" si="170"/>
        <v>4.3867331143352915E-13</v>
      </c>
      <c r="CB180" s="20">
        <f t="shared" si="171"/>
        <v>8.0726688341261168E-13</v>
      </c>
      <c r="CC180" s="59">
        <f t="shared" si="119"/>
        <v>293.33333333333411</v>
      </c>
      <c r="CD180" s="59">
        <f ca="1">AVERAGE(OFFSET($CC$3,0,0,'Données projet'!$E$12+1,1))-AVERAGE(OFFSET($H$3,0,0,'Données projet'!$E$12+1,1))</f>
        <v>211.91720528436969</v>
      </c>
      <c r="CE180" s="59">
        <f t="shared" si="148"/>
        <v>218.88548486038957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11.348743812508635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11.348743812508635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347.04</v>
      </c>
      <c r="CR180" s="12">
        <f>VLOOKUP(A180,'Données projet'!$A$139:$I$159,9,0)</f>
        <v>5.3866666666666747</v>
      </c>
      <c r="CS180" s="12">
        <f t="array" ref="CS180">INDEX(CR:CR,MIN(IF(ISNUMBER(CR180:CR376),ROW(CR180:CR376),"")))</f>
        <v>5.3866666666666747</v>
      </c>
      <c r="CT180" s="12">
        <f>IF('Données projet'!$A$140&gt;35,CT179+CS180-DB179,IF(A180&lt;'Données projet'!$A$140,$CQ$205^A180,IF(A180='Données projet'!$A$140,'Données projet'!$B$140,CT179+CS180-DB179)))</f>
        <v>347.04000000000053</v>
      </c>
      <c r="CU180" s="17">
        <f>CT180*VLOOKUP('Données projet'!$B$13,Paramètres!$A$1:$I$89,3,0)*VLOOKUP('Données projet'!$B$13,Paramètres!$A$1:$I$89,5,0)</f>
        <v>314.00179200000048</v>
      </c>
      <c r="CV180" s="13">
        <f t="shared" si="173"/>
        <v>74.103938722927282</v>
      </c>
      <c r="CW180" s="20">
        <f t="shared" si="174"/>
        <v>675.95081434243241</v>
      </c>
      <c r="CX180" s="59">
        <f t="shared" si="122"/>
        <v>969.28414767576578</v>
      </c>
      <c r="CY180" s="59">
        <f ca="1">AVERAGE(OFFSET($CX$3,0,0,'Données projet'!$E$13+1,1))-AVERAGE(OFFSET($H$3,0,0,'Données projet'!$E$13+1,1))</f>
        <v>469.97161976912071</v>
      </c>
      <c r="CZ180" s="59">
        <f t="shared" si="150"/>
        <v>231.65013084759306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0.25800000000000001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138.91418204963006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138.91418204963006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>
        <f>VLOOKUP(A180,'Données projet'!$A$165:$I$185,2,0)</f>
        <v>347.04</v>
      </c>
      <c r="DM180" s="12">
        <f>VLOOKUP(A180,'Données projet'!$A$165:$I$185,9,0)</f>
        <v>5.3866666666666747</v>
      </c>
      <c r="DN180" s="12">
        <f t="array" ref="DN180">INDEX(DM:DM,MIN(IF(ISNUMBER(DM180:DM376),ROW(DM180:DM376),"")))</f>
        <v>5.3866666666666747</v>
      </c>
      <c r="DO180" s="12">
        <f>IF('Données projet'!$A$166&gt;35,DO179+DN180-DW179,IF(A180&lt;'Données projet'!$A$166,$DL$205^A180,IF(A180='Données projet'!$A$166,'Données projet'!$B$166,DO179+DN180-DW179)))</f>
        <v>347.04000000000053</v>
      </c>
      <c r="DP180" s="17">
        <f>DO180*VLOOKUP('Données projet'!$B$14,Paramètres!$A$1:$I$89,3,0)*VLOOKUP('Données projet'!$B$14,Paramètres!$A$1:$I$89,5,0)</f>
        <v>335.6570880000005</v>
      </c>
      <c r="DQ180" s="13">
        <f t="shared" si="176"/>
        <v>78.602003077106744</v>
      </c>
      <c r="DR180" s="20">
        <f t="shared" si="177"/>
        <v>721.50125029262847</v>
      </c>
      <c r="DS180" s="59">
        <f t="shared" si="125"/>
        <v>1014.8345836259618</v>
      </c>
      <c r="DT180" s="59">
        <f ca="1">AVERAGE(OFFSET($DS$3,0,0,'Données projet'!$E$14+1,1))-AVERAGE(OFFSET($H$3,0,0,'Données projet'!$E$14+1,1))</f>
        <v>506.9153247310901</v>
      </c>
      <c r="DU180" s="59">
        <f t="shared" si="152"/>
        <v>247.31254626788319</v>
      </c>
      <c r="DV180" s="15">
        <f>IF(ISNA(VLOOKUP(A180,'Données projet'!$A$165:$I$185,3,0)),0,VLOOKUP(A180,'Données projet'!$A$165:$I$185,3,0))</f>
        <v>16</v>
      </c>
      <c r="DW180" s="15">
        <f>IF(ISNA(VLOOKUP(A180,'Données projet'!$A$165:$I$185,4,0)),0,VLOOKUP(A180,'Données projet'!$A$165:$I$185,4,0))</f>
        <v>115.19</v>
      </c>
      <c r="DX180" s="16">
        <f>IF(ISNA(VLOOKUP(A180,'Données projet'!$A$165:$I$185,5,0)),0%,VLOOKUP(A180,'Données projet'!$A$165:$I$185,5,0)*VLOOKUP('Données projet'!$B$14,Paramètres!$A$1:$I$89,7,0))</f>
        <v>0.25800000000000001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148.49447046684594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148.49447046684594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193.8828274189392</v>
      </c>
      <c r="T181" s="59">
        <f t="shared" si="142"/>
        <v>179.13381331066427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28.779191214986366</v>
      </c>
      <c r="AA181" s="21">
        <f>EXP(-LN(2)/25)*AA180+(1-EXP(-LN(2)/25))/(LN(2)/25)*Calculateur!V181*Calculateur!X181*VLOOKUP('Données projet'!$B$9,Paramètres!$A$1:$I$89,3,0)*0.475*44/12</f>
        <v>6.7753750001416275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35.554566215127991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-6.8212102632969618E-13</v>
      </c>
      <c r="AJ181" s="13">
        <f>AI181*VLOOKUP('Données projet'!$B$10,Paramètres!$A$1:$I$89,3,0)*VLOOKUP('Données projet'!$B$10,Paramètres!$A$1:$I$89,5,0)</f>
        <v>-4.0790837374515837E-13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228.36873053496748</v>
      </c>
      <c r="AO181" s="59">
        <f t="shared" si="144"/>
        <v>177.73676400313303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19.293292011913032</v>
      </c>
      <c r="AV181" s="21">
        <f>EXP(-LN(2)/25)*AV180+(1-EXP(-LN(2)/25))/(LN(2)/25)*Calculateur!AQ181*Calculateur!AS181*VLOOKUP('Données projet'!$B$10,Paramètres!$A$1:$I$89,3,0)*0.475*44/12</f>
        <v>4.3722975794437744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23.665589591356806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238.39816000000053</v>
      </c>
      <c r="BF181" s="13">
        <f t="shared" si="167"/>
        <v>58.09475259380514</v>
      </c>
      <c r="BG181" s="20">
        <f t="shared" si="168"/>
        <v>516.39182276754491</v>
      </c>
      <c r="BH181" s="59">
        <f t="shared" si="116"/>
        <v>809.72515610087817</v>
      </c>
      <c r="BI181" s="59">
        <f ca="1">AVERAGE(OFFSET($BH$3,0,0,'Données projet'!$E$11+1,1))-AVERAGE(OFFSET($H$3,0,0,'Données projet'!$E$11+1,1))</f>
        <v>534.59150243554586</v>
      </c>
      <c r="BJ181" s="59">
        <f t="shared" si="146"/>
        <v>259.04458689606491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152.62690307723969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152.62690307723969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2.8421709430404007E-14</v>
      </c>
      <c r="BZ181" s="13">
        <f>BY181*VLOOKUP('Données projet'!$B$12,Paramètres!$A$1:$I$89,3,0)*VLOOKUP('Données projet'!$B$12,Paramètres!$A$1:$I$89,5,0)</f>
        <v>2.4829205358400945E-14</v>
      </c>
      <c r="CA181" s="13">
        <f t="shared" si="170"/>
        <v>4.3867331143352915E-13</v>
      </c>
      <c r="CB181" s="20">
        <f t="shared" si="171"/>
        <v>8.0726688341261168E-13</v>
      </c>
      <c r="CC181" s="59">
        <f t="shared" si="119"/>
        <v>293.33333333333411</v>
      </c>
      <c r="CD181" s="59">
        <f ca="1">AVERAGE(OFFSET($CC$3,0,0,'Données projet'!$E$12+1,1))-AVERAGE(OFFSET($H$3,0,0,'Données projet'!$E$12+1,1))</f>
        <v>211.91720528436969</v>
      </c>
      <c r="CE181" s="59">
        <f t="shared" si="148"/>
        <v>218.88548486038957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11.126201868395571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11.126201868395571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3.2566666666666606</v>
      </c>
      <c r="CT181" s="12">
        <f>IF('Données projet'!$A$140&gt;35,CT180+CS181-DB180,IF(A181&lt;'Données projet'!$A$140,$CQ$205^A181,IF(A181='Données projet'!$A$140,'Données projet'!$B$140,CT180+CS181-DB180)))</f>
        <v>235.10666666666719</v>
      </c>
      <c r="CU181" s="17">
        <f>CT181*VLOOKUP('Données projet'!$B$13,Paramètres!$A$1:$I$89,3,0)*VLOOKUP('Données projet'!$B$13,Paramètres!$A$1:$I$89,5,0)</f>
        <v>212.72451200000049</v>
      </c>
      <c r="CV181" s="13">
        <f t="shared" si="173"/>
        <v>52.530512718953382</v>
      </c>
      <c r="CW181" s="20">
        <f t="shared" si="174"/>
        <v>461.98583471884461</v>
      </c>
      <c r="CX181" s="59">
        <f t="shared" si="122"/>
        <v>755.31916805217793</v>
      </c>
      <c r="CY181" s="59">
        <f ca="1">AVERAGE(OFFSET($CX$3,0,0,'Données projet'!$E$13+1,1))-AVERAGE(OFFSET($H$3,0,0,'Données projet'!$E$13+1,1))</f>
        <v>469.97161976912071</v>
      </c>
      <c r="CZ181" s="59">
        <f t="shared" si="150"/>
        <v>231.65013084759306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136.19015966892155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136.19015966892155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3.2566666666666606</v>
      </c>
      <c r="DO181" s="12">
        <f>IF('Données projet'!$A$166&gt;35,DO180+DN181-DW180,IF(A181&lt;'Données projet'!$A$166,$DL$205^A181,IF(A181='Données projet'!$A$166,'Données projet'!$B$166,DO180+DN181-DW180)))</f>
        <v>235.10666666666719</v>
      </c>
      <c r="DP181" s="17">
        <f>DO181*VLOOKUP('Données projet'!$B$14,Paramètres!$A$1:$I$89,3,0)*VLOOKUP('Données projet'!$B$14,Paramètres!$A$1:$I$89,5,0)</f>
        <v>227.39516800000052</v>
      </c>
      <c r="DQ181" s="13">
        <f t="shared" si="176"/>
        <v>55.719083135586125</v>
      </c>
      <c r="DR181" s="20">
        <f t="shared" si="177"/>
        <v>493.09065406114672</v>
      </c>
      <c r="DS181" s="59">
        <f t="shared" si="125"/>
        <v>786.42398739448004</v>
      </c>
      <c r="DT181" s="59">
        <f ca="1">AVERAGE(OFFSET($DS$3,0,0,'Données projet'!$E$14+1,1))-AVERAGE(OFFSET($H$3,0,0,'Données projet'!$E$14+1,1))</f>
        <v>506.9153247310901</v>
      </c>
      <c r="DU181" s="59">
        <f t="shared" si="152"/>
        <v>247.31254626788319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145.58258447367476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145.58258447367476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193.8828274189392</v>
      </c>
      <c r="T182" s="59">
        <f t="shared" si="142"/>
        <v>179.13381331066427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28.214848828833851</v>
      </c>
      <c r="AA182" s="21">
        <f>EXP(-LN(2)/25)*AA181+(1-EXP(-LN(2)/25))/(LN(2)/25)*Calculateur!V182*Calculateur!X182*VLOOKUP('Données projet'!$B$9,Paramètres!$A$1:$I$89,3,0)*0.475*44/12</f>
        <v>6.5901020144612685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34.804950843295117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-6.8212102632969618E-13</v>
      </c>
      <c r="AJ182" s="13">
        <f>AI182*VLOOKUP('Données projet'!$B$10,Paramètres!$A$1:$I$89,3,0)*VLOOKUP('Données projet'!$B$10,Paramètres!$A$1:$I$89,5,0)</f>
        <v>-4.0790837374515837E-13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228.36873053496748</v>
      </c>
      <c r="AO182" s="59">
        <f t="shared" si="144"/>
        <v>177.73676400313303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18.914962323305577</v>
      </c>
      <c r="AV182" s="21">
        <f>EXP(-LN(2)/25)*AV181+(1-EXP(-LN(2)/25))/(LN(2)/25)*Calculateur!AQ182*Calculateur!AS182*VLOOKUP('Données projet'!$B$10,Paramètres!$A$1:$I$89,3,0)*0.475*44/12</f>
        <v>4.2527368722047481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23.167699195510323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241.70042000000055</v>
      </c>
      <c r="BF182" s="13">
        <f t="shared" si="167"/>
        <v>58.805233664472574</v>
      </c>
      <c r="BG182" s="20">
        <f t="shared" si="168"/>
        <v>523.38068013229065</v>
      </c>
      <c r="BH182" s="59">
        <f t="shared" si="116"/>
        <v>816.71401346562402</v>
      </c>
      <c r="BI182" s="59">
        <f ca="1">AVERAGE(OFFSET($BH$3,0,0,'Données projet'!$E$11+1,1))-AVERAGE(OFFSET($H$3,0,0,'Données projet'!$E$11+1,1))</f>
        <v>534.59150243554586</v>
      </c>
      <c r="BJ182" s="59">
        <f t="shared" si="146"/>
        <v>259.04458689606491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149.6339826011137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149.6339826011137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2.8421709430404007E-14</v>
      </c>
      <c r="BZ182" s="13">
        <f>BY182*VLOOKUP('Données projet'!$B$12,Paramètres!$A$1:$I$89,3,0)*VLOOKUP('Données projet'!$B$12,Paramètres!$A$1:$I$89,5,0)</f>
        <v>2.4829205358400945E-14</v>
      </c>
      <c r="CA182" s="13">
        <f t="shared" si="170"/>
        <v>4.3867331143352915E-13</v>
      </c>
      <c r="CB182" s="20">
        <f t="shared" si="171"/>
        <v>8.0726688341261168E-13</v>
      </c>
      <c r="CC182" s="59">
        <f t="shared" si="119"/>
        <v>293.33333333333411</v>
      </c>
      <c r="CD182" s="59">
        <f ca="1">AVERAGE(OFFSET($CC$3,0,0,'Données projet'!$E$12+1,1))-AVERAGE(OFFSET($H$3,0,0,'Données projet'!$E$12+1,1))</f>
        <v>211.91720528436969</v>
      </c>
      <c r="CE182" s="59">
        <f t="shared" si="148"/>
        <v>218.88548486038957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10.908023836069381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10.908023836069381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3.2566666666666606</v>
      </c>
      <c r="CT182" s="12">
        <f>IF('Données projet'!$A$140&gt;35,CT181+CS182-DB181,IF(A182&lt;'Données projet'!$A$140,$CQ$205^A182,IF(A182='Données projet'!$A$140,'Données projet'!$B$140,CT181+CS182-DB181)))</f>
        <v>238.36333333333386</v>
      </c>
      <c r="CU182" s="17">
        <f>CT182*VLOOKUP('Données projet'!$B$13,Paramètres!$A$1:$I$89,3,0)*VLOOKUP('Données projet'!$B$13,Paramètres!$A$1:$I$89,5,0)</f>
        <v>215.67114400000045</v>
      </c>
      <c r="CV182" s="13">
        <f t="shared" si="173"/>
        <v>53.172944836363733</v>
      </c>
      <c r="CW182" s="20">
        <f t="shared" si="174"/>
        <v>468.23678805666754</v>
      </c>
      <c r="CX182" s="59">
        <f t="shared" si="122"/>
        <v>761.57012139000085</v>
      </c>
      <c r="CY182" s="59">
        <f ca="1">AVERAGE(OFFSET($CX$3,0,0,'Données projet'!$E$13+1,1))-AVERAGE(OFFSET($H$3,0,0,'Données projet'!$E$13+1,1))</f>
        <v>469.97161976912071</v>
      </c>
      <c r="CZ182" s="59">
        <f t="shared" si="150"/>
        <v>231.65013084759306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133.51955370560913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133.51955370560913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3.2566666666666606</v>
      </c>
      <c r="DO182" s="12">
        <f>IF('Données projet'!$A$166&gt;35,DO181+DN182-DW181,IF(A182&lt;'Données projet'!$A$166,$DL$205^A182,IF(A182='Données projet'!$A$166,'Données projet'!$B$166,DO181+DN182-DW181)))</f>
        <v>238.36333333333386</v>
      </c>
      <c r="DP182" s="17">
        <f>DO182*VLOOKUP('Données projet'!$B$14,Paramètres!$A$1:$I$89,3,0)*VLOOKUP('Données projet'!$B$14,Paramètres!$A$1:$I$89,5,0)</f>
        <v>230.54501600000052</v>
      </c>
      <c r="DQ182" s="13">
        <f t="shared" si="176"/>
        <v>56.400510494775887</v>
      </c>
      <c r="DR182" s="20">
        <f t="shared" si="177"/>
        <v>499.76345864506885</v>
      </c>
      <c r="DS182" s="59">
        <f t="shared" si="125"/>
        <v>793.09679197840217</v>
      </c>
      <c r="DT182" s="59">
        <f ca="1">AVERAGE(OFFSET($DS$3,0,0,'Données projet'!$E$14+1,1))-AVERAGE(OFFSET($H$3,0,0,'Données projet'!$E$14+1,1))</f>
        <v>506.9153247310901</v>
      </c>
      <c r="DU182" s="59">
        <f t="shared" si="152"/>
        <v>247.31254626788319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142.7277987887546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142.7277987887546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193.8828274189392</v>
      </c>
      <c r="T183" s="59">
        <f t="shared" si="142"/>
        <v>179.13381331066427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27.661572852658921</v>
      </c>
      <c r="AA183" s="21">
        <f>EXP(-LN(2)/25)*AA182+(1-EXP(-LN(2)/25))/(LN(2)/25)*Calculateur!V183*Calculateur!X183*VLOOKUP('Données projet'!$B$9,Paramètres!$A$1:$I$89,3,0)*0.475*44/12</f>
        <v>6.4098953283174218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34.071468180976339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-6.8212102632969618E-13</v>
      </c>
      <c r="AJ183" s="13">
        <f>AI183*VLOOKUP('Données projet'!$B$10,Paramètres!$A$1:$I$89,3,0)*VLOOKUP('Données projet'!$B$10,Paramètres!$A$1:$I$89,5,0)</f>
        <v>-4.0790837374515837E-13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228.36873053496748</v>
      </c>
      <c r="AO183" s="59">
        <f t="shared" si="144"/>
        <v>177.73676400313303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18.544051449133388</v>
      </c>
      <c r="AV183" s="21">
        <f>EXP(-LN(2)/25)*AV182+(1-EXP(-LN(2)/25))/(LN(2)/25)*Calculateur!AQ183*Calculateur!AS183*VLOOKUP('Données projet'!$B$10,Paramètres!$A$1:$I$89,3,0)*0.475*44/12</f>
        <v>4.1364455587925972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22.680497007925986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245.00268000000054</v>
      </c>
      <c r="BF183" s="13">
        <f t="shared" si="167"/>
        <v>59.514585697688133</v>
      </c>
      <c r="BG183" s="20">
        <f t="shared" si="168"/>
        <v>530.36757109014115</v>
      </c>
      <c r="BH183" s="59">
        <f t="shared" si="116"/>
        <v>823.70090442347441</v>
      </c>
      <c r="BI183" s="59">
        <f ca="1">AVERAGE(OFFSET($BH$3,0,0,'Données projet'!$E$11+1,1))-AVERAGE(OFFSET($H$3,0,0,'Données projet'!$E$11+1,1))</f>
        <v>534.59150243554586</v>
      </c>
      <c r="BJ183" s="59">
        <f t="shared" si="146"/>
        <v>259.04458689606491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169.17671098185198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169.17671098185198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2.8421709430404007E-14</v>
      </c>
      <c r="BZ183" s="13">
        <f>BY183*VLOOKUP('Données projet'!$B$12,Paramètres!$A$1:$I$89,3,0)*VLOOKUP('Données projet'!$B$12,Paramètres!$A$1:$I$89,5,0)</f>
        <v>2.4829205358400945E-14</v>
      </c>
      <c r="CA183" s="13">
        <f t="shared" si="170"/>
        <v>4.3867331143352915E-13</v>
      </c>
      <c r="CB183" s="20">
        <f t="shared" si="171"/>
        <v>8.0726688341261168E-13</v>
      </c>
      <c r="CC183" s="59">
        <f t="shared" si="119"/>
        <v>293.33333333333411</v>
      </c>
      <c r="CD183" s="59">
        <f ca="1">AVERAGE(OFFSET($CC$3,0,0,'Données projet'!$E$12+1,1))-AVERAGE(OFFSET($H$3,0,0,'Données projet'!$E$12+1,1))</f>
        <v>211.91720528436969</v>
      </c>
      <c r="CE183" s="59">
        <f t="shared" si="148"/>
        <v>218.88548486038957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10.694124141881648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10.694124141881648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241.62</v>
      </c>
      <c r="CR183" s="12">
        <f>VLOOKUP(A183,'Données projet'!$A$139:$I$159,9,0)</f>
        <v>3.2566666666666606</v>
      </c>
      <c r="CS183" s="12">
        <f t="array" ref="CS183">INDEX(CR:CR,MIN(IF(ISNUMBER(CR183:CR379),ROW(CR183:CR379),"")))</f>
        <v>3.2566666666666606</v>
      </c>
      <c r="CT183" s="12">
        <f>IF('Données projet'!$A$140&gt;35,CT182+CS183-DB182,IF(A183&lt;'Données projet'!$A$140,$CQ$205^A183,IF(A183='Données projet'!$A$140,'Données projet'!$B$140,CT182+CS183-DB182)))</f>
        <v>241.62000000000052</v>
      </c>
      <c r="CU183" s="17">
        <f>CT183*VLOOKUP('Données projet'!$B$13,Paramètres!$A$1:$I$89,3,0)*VLOOKUP('Données projet'!$B$13,Paramètres!$A$1:$I$89,5,0)</f>
        <v>218.61777600000045</v>
      </c>
      <c r="CV183" s="13">
        <f t="shared" si="173"/>
        <v>53.814356054061541</v>
      </c>
      <c r="CW183" s="20">
        <f t="shared" si="174"/>
        <v>474.48596332749122</v>
      </c>
      <c r="CX183" s="59">
        <f t="shared" si="122"/>
        <v>767.81929666082453</v>
      </c>
      <c r="CY183" s="59">
        <f ca="1">AVERAGE(OFFSET($CX$3,0,0,'Données projet'!$E$13+1,1))-AVERAGE(OFFSET($H$3,0,0,'Données projet'!$E$13+1,1))</f>
        <v>469.97161976912071</v>
      </c>
      <c r="CZ183" s="59">
        <f t="shared" si="150"/>
        <v>231.65013084759306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0.25800000000000001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150.95768056842175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150.95768056842175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241.62</v>
      </c>
      <c r="DM183" s="12">
        <f>VLOOKUP(A183,'Données projet'!$A$165:$I$185,9,0)</f>
        <v>3.2566666666666606</v>
      </c>
      <c r="DN183" s="12">
        <f t="array" ref="DN183">INDEX(DM:DM,MIN(IF(ISNUMBER(DM183:DM379),ROW(DM183:DM379),"")))</f>
        <v>3.2566666666666606</v>
      </c>
      <c r="DO183" s="12">
        <f>IF('Données projet'!$A$166&gt;35,DO182+DN183-DW182,IF(A183&lt;'Données projet'!$A$166,$DL$205^A183,IF(A183='Données projet'!$A$166,'Données projet'!$B$166,DO182+DN183-DW182)))</f>
        <v>241.62000000000052</v>
      </c>
      <c r="DP183" s="17">
        <f>DO183*VLOOKUP('Données projet'!$B$14,Paramètres!$A$1:$I$89,3,0)*VLOOKUP('Données projet'!$B$14,Paramètres!$A$1:$I$89,5,0)</f>
        <v>233.69486400000051</v>
      </c>
      <c r="DQ183" s="13">
        <f t="shared" si="176"/>
        <v>57.080854986256675</v>
      </c>
      <c r="DR183" s="20">
        <f t="shared" si="177"/>
        <v>506.43437723439791</v>
      </c>
      <c r="DS183" s="59">
        <f t="shared" si="125"/>
        <v>799.76771056773123</v>
      </c>
      <c r="DT183" s="59">
        <f ca="1">AVERAGE(OFFSET($DS$3,0,0,'Données projet'!$E$14+1,1))-AVERAGE(OFFSET($H$3,0,0,'Données projet'!$E$14+1,1))</f>
        <v>506.9153247310901</v>
      </c>
      <c r="DU183" s="59">
        <f t="shared" si="152"/>
        <v>247.31254626788319</v>
      </c>
      <c r="DV183" s="15">
        <f>IF(ISNA(VLOOKUP(A183,'Données projet'!$A$165:$I$185,3,0)),0,VLOOKUP(A183,'Données projet'!$A$165:$I$185,3,0))</f>
        <v>17</v>
      </c>
      <c r="DW183" s="15">
        <f>IF(ISNA(VLOOKUP(A183,'Données projet'!$A$165:$I$185,4,0)),0,VLOOKUP(A183,'Données projet'!$A$165:$I$185,4,0))</f>
        <v>77.72</v>
      </c>
      <c r="DX183" s="16">
        <f>IF(ISNA(VLOOKUP(A183,'Données projet'!$A$165:$I$185,5,0)),0%,VLOOKUP(A183,'Données projet'!$A$165:$I$185,5,0)*VLOOKUP('Données projet'!$B$14,Paramètres!$A$1:$I$89,7,0))</f>
        <v>0.25800000000000001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161.36855509038188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161.36855509038188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193.8828274189392</v>
      </c>
      <c r="T184" s="59">
        <f t="shared" si="142"/>
        <v>179.13381331066427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27.119146280911757</v>
      </c>
      <c r="AA184" s="21">
        <f>EXP(-LN(2)/25)*AA183+(1-EXP(-LN(2)/25))/(LN(2)/25)*Calculateur!V184*Calculateur!X184*VLOOKUP('Données projet'!$B$9,Paramètres!$A$1:$I$89,3,0)*0.475*44/12</f>
        <v>6.2346164034828364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33.353762684394596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-6.8212102632969618E-13</v>
      </c>
      <c r="AJ184" s="13">
        <f>AI184*VLOOKUP('Données projet'!$B$10,Paramètres!$A$1:$I$89,3,0)*VLOOKUP('Données projet'!$B$10,Paramètres!$A$1:$I$89,5,0)</f>
        <v>-4.0790837374515837E-13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228.36873053496748</v>
      </c>
      <c r="AO184" s="59">
        <f t="shared" si="144"/>
        <v>177.73676400313303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18.180413910970422</v>
      </c>
      <c r="AV184" s="21">
        <f>EXP(-LN(2)/25)*AV183+(1-EXP(-LN(2)/25))/(LN(2)/25)*Calculateur!AQ184*Calculateur!AS184*VLOOKUP('Données projet'!$B$10,Paramètres!$A$1:$I$89,3,0)*0.475*44/12</f>
        <v>4.0233342374611958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22.203748148431618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168.17528000000053</v>
      </c>
      <c r="BF184" s="13">
        <f t="shared" si="167"/>
        <v>42.681090680670735</v>
      </c>
      <c r="BG184" s="20">
        <f t="shared" si="168"/>
        <v>367.24151226883578</v>
      </c>
      <c r="BH184" s="59">
        <f t="shared" si="116"/>
        <v>660.57484560216903</v>
      </c>
      <c r="BI184" s="59">
        <f ca="1">AVERAGE(OFFSET($BH$3,0,0,'Données projet'!$E$11+1,1))-AVERAGE(OFFSET($H$3,0,0,'Données projet'!$E$11+1,1))</f>
        <v>534.59150243554586</v>
      </c>
      <c r="BJ184" s="59">
        <f t="shared" si="146"/>
        <v>259.04458689606491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165.85925886710262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165.85925886710262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2.8421709430404007E-14</v>
      </c>
      <c r="BZ184" s="13">
        <f>BY184*VLOOKUP('Données projet'!$B$12,Paramètres!$A$1:$I$89,3,0)*VLOOKUP('Données projet'!$B$12,Paramètres!$A$1:$I$89,5,0)</f>
        <v>2.4829205358400945E-14</v>
      </c>
      <c r="CA184" s="13">
        <f t="shared" si="170"/>
        <v>4.3867331143352915E-13</v>
      </c>
      <c r="CB184" s="20">
        <f t="shared" si="171"/>
        <v>8.0726688341261168E-13</v>
      </c>
      <c r="CC184" s="59">
        <f t="shared" si="119"/>
        <v>293.33333333333411</v>
      </c>
      <c r="CD184" s="59">
        <f ca="1">AVERAGE(OFFSET($CC$3,0,0,'Données projet'!$E$12+1,1))-AVERAGE(OFFSET($H$3,0,0,'Données projet'!$E$12+1,1))</f>
        <v>211.91720528436969</v>
      </c>
      <c r="CE184" s="59">
        <f t="shared" si="148"/>
        <v>218.88548486038957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10.484418890231005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10.484418890231005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1.9533333333333285</v>
      </c>
      <c r="CT184" s="12">
        <f>IF('Données projet'!$A$140&gt;35,CT183+CS184-DB183,IF(A184&lt;'Données projet'!$A$140,$CQ$205^A184,IF(A184='Données projet'!$A$140,'Données projet'!$B$140,CT183+CS184-DB183)))</f>
        <v>165.85333333333384</v>
      </c>
      <c r="CU184" s="17">
        <f>CT184*VLOOKUP('Données projet'!$B$13,Paramètres!$A$1:$I$89,3,0)*VLOOKUP('Données projet'!$B$13,Paramètres!$A$1:$I$89,5,0)</f>
        <v>150.06409600000046</v>
      </c>
      <c r="CV184" s="13">
        <f t="shared" si="173"/>
        <v>38.593151304664545</v>
      </c>
      <c r="CW184" s="20">
        <f t="shared" si="174"/>
        <v>328.57803905562486</v>
      </c>
      <c r="CX184" s="59">
        <f t="shared" si="122"/>
        <v>621.91137238895817</v>
      </c>
      <c r="CY184" s="59">
        <f ca="1">AVERAGE(OFFSET($CX$3,0,0,'Données projet'!$E$13+1,1))-AVERAGE(OFFSET($H$3,0,0,'Données projet'!$E$13+1,1))</f>
        <v>469.97161976912071</v>
      </c>
      <c r="CZ184" s="59">
        <f t="shared" si="150"/>
        <v>231.65013084759306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147.99749252756848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147.99749252756848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1.9533333333333285</v>
      </c>
      <c r="DO184" s="12">
        <f>IF('Données projet'!$A$166&gt;35,DO183+DN184-DW183,IF(A184&lt;'Données projet'!$A$166,$DL$205^A184,IF(A184='Données projet'!$A$166,'Données projet'!$B$166,DO183+DN184-DW183)))</f>
        <v>165.85333333333384</v>
      </c>
      <c r="DP184" s="17">
        <f>DO184*VLOOKUP('Données projet'!$B$14,Paramètres!$A$1:$I$89,3,0)*VLOOKUP('Données projet'!$B$14,Paramètres!$A$1:$I$89,5,0)</f>
        <v>160.41334400000048</v>
      </c>
      <c r="DQ184" s="13">
        <f t="shared" si="176"/>
        <v>40.935732295508117</v>
      </c>
      <c r="DR184" s="20">
        <f t="shared" si="177"/>
        <v>350.68297454801086</v>
      </c>
      <c r="DS184" s="59">
        <f t="shared" si="125"/>
        <v>644.01630788134412</v>
      </c>
      <c r="DT184" s="59">
        <f ca="1">AVERAGE(OFFSET($DS$3,0,0,'Données projet'!$E$14+1,1))-AVERAGE(OFFSET($H$3,0,0,'Données projet'!$E$14+1,1))</f>
        <v>506.9153247310901</v>
      </c>
      <c r="DU184" s="59">
        <f t="shared" si="152"/>
        <v>247.31254626788319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158.20421615015943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158.20421615015943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193.8828274189392</v>
      </c>
      <c r="T185" s="59">
        <f t="shared" si="142"/>
        <v>179.13381331066427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26.587356363389016</v>
      </c>
      <c r="AA185" s="21">
        <f>EXP(-LN(2)/25)*AA184+(1-EXP(-LN(2)/25))/(LN(2)/25)*Calculateur!V185*Calculateur!X185*VLOOKUP('Données projet'!$B$9,Paramètres!$A$1:$I$89,3,0)*0.475*44/12</f>
        <v>6.064130490065371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32.651486853454387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-6.8212102632969618E-13</v>
      </c>
      <c r="AJ185" s="13">
        <f>AI185*VLOOKUP('Données projet'!$B$10,Paramètres!$A$1:$I$89,3,0)*VLOOKUP('Données projet'!$B$10,Paramètres!$A$1:$I$89,5,0)</f>
        <v>-4.0790837374515837E-13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228.36873053496748</v>
      </c>
      <c r="AO185" s="59">
        <f t="shared" si="144"/>
        <v>177.73676400313303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17.823907083133836</v>
      </c>
      <c r="AV185" s="21">
        <f>EXP(-LN(2)/25)*AV184+(1-EXP(-LN(2)/25))/(LN(2)/25)*Calculateur!AQ185*Calculateur!AS185*VLOOKUP('Données projet'!$B$10,Paramètres!$A$1:$I$89,3,0)*0.475*44/12</f>
        <v>3.9133159511598672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21.737223034293702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170.1559600000005</v>
      </c>
      <c r="BF185" s="13">
        <f t="shared" si="167"/>
        <v>43.124951572816009</v>
      </c>
      <c r="BG185" s="20">
        <f t="shared" si="168"/>
        <v>371.46425432265534</v>
      </c>
      <c r="BH185" s="59">
        <f t="shared" si="116"/>
        <v>664.79758765598865</v>
      </c>
      <c r="BI185" s="59">
        <f ca="1">AVERAGE(OFFSET($BH$3,0,0,'Données projet'!$E$11+1,1))-AVERAGE(OFFSET($H$3,0,0,'Données projet'!$E$11+1,1))</f>
        <v>534.59150243554586</v>
      </c>
      <c r="BJ185" s="59">
        <f t="shared" si="146"/>
        <v>259.04458689606491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162.60685996487751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162.60685996487751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2.8421709430404007E-14</v>
      </c>
      <c r="BZ185" s="13">
        <f>BY185*VLOOKUP('Données projet'!$B$12,Paramètres!$A$1:$I$89,3,0)*VLOOKUP('Données projet'!$B$12,Paramètres!$A$1:$I$89,5,0)</f>
        <v>2.4829205358400945E-14</v>
      </c>
      <c r="CA185" s="13">
        <f t="shared" si="170"/>
        <v>4.3867331143352915E-13</v>
      </c>
      <c r="CB185" s="20">
        <f t="shared" si="171"/>
        <v>8.0726688341261168E-13</v>
      </c>
      <c r="CC185" s="59">
        <f t="shared" si="119"/>
        <v>293.33333333333411</v>
      </c>
      <c r="CD185" s="59">
        <f ca="1">AVERAGE(OFFSET($CC$3,0,0,'Données projet'!$E$12+1,1))-AVERAGE(OFFSET($H$3,0,0,'Données projet'!$E$12+1,1))</f>
        <v>211.91720528436969</v>
      </c>
      <c r="CE185" s="59">
        <f t="shared" si="148"/>
        <v>218.88548486038957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10.278825830657658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10.278825830657658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1.9533333333333285</v>
      </c>
      <c r="CT185" s="12">
        <f>IF('Données projet'!$A$140&gt;35,CT184+CS185-DB184,IF(A185&lt;'Données projet'!$A$140,$CQ$205^A185,IF(A185='Données projet'!$A$140,'Données projet'!$B$140,CT184+CS185-DB184)))</f>
        <v>167.80666666666716</v>
      </c>
      <c r="CU185" s="17">
        <f>CT185*VLOOKUP('Données projet'!$B$13,Paramètres!$A$1:$I$89,3,0)*VLOOKUP('Données projet'!$B$13,Paramètres!$A$1:$I$89,5,0)</f>
        <v>151.83147200000045</v>
      </c>
      <c r="CV185" s="13">
        <f t="shared" si="173"/>
        <v>38.994499777620597</v>
      </c>
      <c r="CW185" s="20">
        <f t="shared" si="174"/>
        <v>332.35523417935661</v>
      </c>
      <c r="CX185" s="59">
        <f t="shared" si="122"/>
        <v>625.68856751268993</v>
      </c>
      <c r="CY185" s="59">
        <f ca="1">AVERAGE(OFFSET($CX$3,0,0,'Données projet'!$E$13+1,1))-AVERAGE(OFFSET($H$3,0,0,'Données projet'!$E$13+1,1))</f>
        <v>469.97161976912071</v>
      </c>
      <c r="CZ185" s="59">
        <f t="shared" si="150"/>
        <v>231.65013084759306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145.09535196865994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145.09535196865994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1.9533333333333285</v>
      </c>
      <c r="DO185" s="12">
        <f>IF('Données projet'!$A$166&gt;35,DO184+DN185-DW184,IF(A185&lt;'Données projet'!$A$166,$DL$205^A185,IF(A185='Données projet'!$A$166,'Données projet'!$B$166,DO184+DN185-DW184)))</f>
        <v>167.80666666666716</v>
      </c>
      <c r="DP185" s="17">
        <f>DO185*VLOOKUP('Données projet'!$B$14,Paramètres!$A$1:$I$89,3,0)*VLOOKUP('Données projet'!$B$14,Paramètres!$A$1:$I$89,5,0)</f>
        <v>162.30260800000048</v>
      </c>
      <c r="DQ185" s="13">
        <f t="shared" si="176"/>
        <v>41.361442378534058</v>
      </c>
      <c r="DR185" s="20">
        <f t="shared" si="177"/>
        <v>354.71488774261428</v>
      </c>
      <c r="DS185" s="59">
        <f t="shared" si="125"/>
        <v>648.04822107594759</v>
      </c>
      <c r="DT185" s="59">
        <f ca="1">AVERAGE(OFFSET($DS$3,0,0,'Données projet'!$E$14+1,1))-AVERAGE(OFFSET($H$3,0,0,'Données projet'!$E$14+1,1))</f>
        <v>506.9153247310901</v>
      </c>
      <c r="DU185" s="59">
        <f t="shared" si="152"/>
        <v>247.31254626788319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155.10192796649855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155.10192796649855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193.8828274189392</v>
      </c>
      <c r="T186" s="59">
        <f t="shared" si="142"/>
        <v>179.13381331066427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26.065994521789076</v>
      </c>
      <c r="AA186" s="21">
        <f>EXP(-LN(2)/25)*AA185+(1-EXP(-LN(2)/25))/(LN(2)/25)*Calculateur!V186*Calculateur!X186*VLOOKUP('Données projet'!$B$9,Paramètres!$A$1:$I$89,3,0)*0.475*44/12</f>
        <v>5.898306522915771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31.964301044704847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-6.8212102632969618E-13</v>
      </c>
      <c r="AJ186" s="13">
        <f>AI186*VLOOKUP('Données projet'!$B$10,Paramètres!$A$1:$I$89,3,0)*VLOOKUP('Données projet'!$B$10,Paramètres!$A$1:$I$89,5,0)</f>
        <v>-4.0790837374515837E-13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228.36873053496748</v>
      </c>
      <c r="AO186" s="59">
        <f t="shared" si="144"/>
        <v>177.73676400313303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17.474391136743431</v>
      </c>
      <c r="AV186" s="21">
        <f>EXP(-LN(2)/25)*AV185+(1-EXP(-LN(2)/25))/(LN(2)/25)*Calculateur!AQ186*Calculateur!AS186*VLOOKUP('Données projet'!$B$10,Paramètres!$A$1:$I$89,3,0)*0.475*44/12</f>
        <v>3.8063061206830588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21.280697257426489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172.13664000000048</v>
      </c>
      <c r="BF186" s="13">
        <f t="shared" si="167"/>
        <v>43.568211452887901</v>
      </c>
      <c r="BG186" s="20">
        <f t="shared" si="168"/>
        <v>375.68594961378062</v>
      </c>
      <c r="BH186" s="59">
        <f t="shared" si="116"/>
        <v>669.01928294711388</v>
      </c>
      <c r="BI186" s="59">
        <f ca="1">AVERAGE(OFFSET($BH$3,0,0,'Données projet'!$E$11+1,1))-AVERAGE(OFFSET($H$3,0,0,'Données projet'!$E$11+1,1))</f>
        <v>534.59150243554586</v>
      </c>
      <c r="BJ186" s="59">
        <f t="shared" si="146"/>
        <v>259.04458689606491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208.51356346345793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208.51356346345793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2.8421709430404007E-14</v>
      </c>
      <c r="BZ186" s="13">
        <f>BY186*VLOOKUP('Données projet'!$B$12,Paramètres!$A$1:$I$89,3,0)*VLOOKUP('Données projet'!$B$12,Paramètres!$A$1:$I$89,5,0)</f>
        <v>2.4829205358400945E-14</v>
      </c>
      <c r="CA186" s="13">
        <f t="shared" si="170"/>
        <v>4.3867331143352915E-13</v>
      </c>
      <c r="CB186" s="20">
        <f t="shared" si="171"/>
        <v>8.0726688341261168E-13</v>
      </c>
      <c r="CC186" s="59">
        <f t="shared" si="119"/>
        <v>293.33333333333411</v>
      </c>
      <c r="CD186" s="59">
        <f ca="1">AVERAGE(OFFSET($CC$3,0,0,'Données projet'!$E$12+1,1))-AVERAGE(OFFSET($H$3,0,0,'Données projet'!$E$12+1,1))</f>
        <v>211.91720528436969</v>
      </c>
      <c r="CE186" s="59">
        <f t="shared" si="148"/>
        <v>218.88548486038957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10.07726432558316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10.07726432558316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169.76</v>
      </c>
      <c r="CR186" s="12">
        <f>VLOOKUP(A186,'Données projet'!$A$139:$I$159,9,0)</f>
        <v>1.9533333333333285</v>
      </c>
      <c r="CS186" s="12">
        <f t="array" ref="CS186">INDEX(CR:CR,MIN(IF(ISNUMBER(CR186:CR382),ROW(CR186:CR382),"")))</f>
        <v>1.9533333333333285</v>
      </c>
      <c r="CT186" s="12">
        <f>IF('Données projet'!$A$140&gt;35,CT185+CS186-DB185,IF(A186&lt;'Données projet'!$A$140,$CQ$205^A186,IF(A186='Données projet'!$A$140,'Données projet'!$B$140,CT185+CS186-DB185)))</f>
        <v>169.76000000000047</v>
      </c>
      <c r="CU186" s="17">
        <f>CT186*VLOOKUP('Données projet'!$B$13,Paramètres!$A$1:$I$89,3,0)*VLOOKUP('Données projet'!$B$13,Paramètres!$A$1:$I$89,5,0)</f>
        <v>153.5988480000004</v>
      </c>
      <c r="CV186" s="13">
        <f t="shared" si="173"/>
        <v>39.395304802658316</v>
      </c>
      <c r="CW186" s="20">
        <f t="shared" si="174"/>
        <v>336.13148279796388</v>
      </c>
      <c r="CX186" s="59">
        <f t="shared" si="122"/>
        <v>629.4648161312972</v>
      </c>
      <c r="CY186" s="59">
        <f ca="1">AVERAGE(OFFSET($CX$3,0,0,'Données projet'!$E$13+1,1))-AVERAGE(OFFSET($H$3,0,0,'Données projet'!$E$13+1,1))</f>
        <v>469.97161976912071</v>
      </c>
      <c r="CZ186" s="59">
        <f t="shared" si="150"/>
        <v>231.65013084759306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0.25800000000000001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186.05825662893167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186.05825662893167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>
        <f>VLOOKUP(A186,'Données projet'!$A$165:$I$185,2,0)</f>
        <v>169.76</v>
      </c>
      <c r="DM186" s="12">
        <f>VLOOKUP(A186,'Données projet'!$A$165:$I$185,9,0)</f>
        <v>1.9533333333333285</v>
      </c>
      <c r="DN186" s="12">
        <f t="array" ref="DN186">INDEX(DM:DM,MIN(IF(ISNUMBER(DM186:DM382),ROW(DM186:DM382),"")))</f>
        <v>1.9533333333333285</v>
      </c>
      <c r="DO186" s="12">
        <f>IF('Données projet'!$A$166&gt;35,DO185+DN186-DW185,IF(A186&lt;'Données projet'!$A$166,$DL$205^A186,IF(A186='Données projet'!$A$166,'Données projet'!$B$166,DO185+DN186-DW185)))</f>
        <v>169.76000000000047</v>
      </c>
      <c r="DP186" s="17">
        <f>DO186*VLOOKUP('Données projet'!$B$14,Paramètres!$A$1:$I$89,3,0)*VLOOKUP('Données projet'!$B$14,Paramètres!$A$1:$I$89,5,0)</f>
        <v>164.19187200000047</v>
      </c>
      <c r="DQ186" s="13">
        <f t="shared" si="176"/>
        <v>41.786576026680912</v>
      </c>
      <c r="DR186" s="20">
        <f t="shared" si="177"/>
        <v>358.7457969798034</v>
      </c>
      <c r="DS186" s="59">
        <f t="shared" si="125"/>
        <v>652.07913031313672</v>
      </c>
      <c r="DT186" s="59">
        <f ca="1">AVERAGE(OFFSET($DS$3,0,0,'Données projet'!$E$14+1,1))-AVERAGE(OFFSET($H$3,0,0,'Données projet'!$E$14+1,1))</f>
        <v>506.9153247310901</v>
      </c>
      <c r="DU186" s="59">
        <f t="shared" si="152"/>
        <v>247.31254626788319</v>
      </c>
      <c r="DV186" s="15">
        <f>IF(ISNA(VLOOKUP(A186,'Données projet'!$A$165:$I$185,3,0)),0,VLOOKUP(A186,'Données projet'!$A$165:$I$185,3,0))</f>
        <v>18</v>
      </c>
      <c r="DW186" s="15">
        <f>IF(ISNA(VLOOKUP(A186,'Données projet'!$A$165:$I$185,4,0)),0,VLOOKUP(A186,'Données projet'!$A$165:$I$185,4,0))</f>
        <v>169.76</v>
      </c>
      <c r="DX186" s="16">
        <f>IF(ISNA(VLOOKUP(A186,'Données projet'!$A$165:$I$185,5,0)),0%,VLOOKUP(A186,'Données projet'!$A$165:$I$185,5,0)*VLOOKUP('Données projet'!$B$14,Paramètres!$A$1:$I$89,7,0))</f>
        <v>0.25800000000000001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198.88986053437523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198.88986053437523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193.8828274189392</v>
      </c>
      <c r="T187" s="59">
        <f t="shared" si="142"/>
        <v>179.13381331066427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25.554856267903585</v>
      </c>
      <c r="AA187" s="21">
        <f>EXP(-LN(2)/25)*AA186+(1-EXP(-LN(2)/25))/(LN(2)/25)*Calculateur!V187*Calculateur!X187*VLOOKUP('Données projet'!$B$9,Paramètres!$A$1:$I$89,3,0)*0.475*44/12</f>
        <v>5.7370170208681799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31.291873288771765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-6.8212102632969618E-13</v>
      </c>
      <c r="AJ187" s="13">
        <f>AI187*VLOOKUP('Données projet'!$B$10,Paramètres!$A$1:$I$89,3,0)*VLOOKUP('Données projet'!$B$10,Paramètres!$A$1:$I$89,5,0)</f>
        <v>-4.0790837374515837E-13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228.36873053496748</v>
      </c>
      <c r="AO187" s="59">
        <f t="shared" si="144"/>
        <v>177.73676400313303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17.131728984878063</v>
      </c>
      <c r="AV187" s="21">
        <f>EXP(-LN(2)/25)*AV186+(1-EXP(-LN(2)/25))/(LN(2)/25)*Calculateur!AQ187*Calculateur!AS187*VLOOKUP('Données projet'!$B$10,Paramètres!$A$1:$I$89,3,0)*0.475*44/12</f>
        <v>3.7022224796480412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20.833951464526102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4.8993342716130437E-13</v>
      </c>
      <c r="BF187" s="13">
        <f t="shared" si="167"/>
        <v>6.1172634040517391E-12</v>
      </c>
      <c r="BG187" s="20">
        <f t="shared" si="168"/>
        <v>1.1507534481029384E-11</v>
      </c>
      <c r="BH187" s="59">
        <f t="shared" si="116"/>
        <v>293.3333333333448</v>
      </c>
      <c r="BI187" s="59">
        <f ca="1">AVERAGE(OFFSET($BH$3,0,0,'Données projet'!$E$11+1,1))-AVERAGE(OFFSET($H$3,0,0,'Données projet'!$E$11+1,1))</f>
        <v>534.59150243554586</v>
      </c>
      <c r="BJ187" s="59">
        <f t="shared" si="146"/>
        <v>259.04458689606491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204.42473966465516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204.42473966465516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2.8421709430404007E-14</v>
      </c>
      <c r="BZ187" s="13">
        <f>BY187*VLOOKUP('Données projet'!$B$12,Paramètres!$A$1:$I$89,3,0)*VLOOKUP('Données projet'!$B$12,Paramètres!$A$1:$I$89,5,0)</f>
        <v>2.4829205358400945E-14</v>
      </c>
      <c r="CA187" s="13">
        <f t="shared" si="170"/>
        <v>4.3867331143352915E-13</v>
      </c>
      <c r="CB187" s="20">
        <f t="shared" si="171"/>
        <v>8.0726688341261168E-13</v>
      </c>
      <c r="CC187" s="59">
        <f t="shared" si="119"/>
        <v>293.33333333333411</v>
      </c>
      <c r="CD187" s="59">
        <f ca="1">AVERAGE(OFFSET($CC$3,0,0,'Données projet'!$E$12+1,1))-AVERAGE(OFFSET($H$3,0,0,'Données projet'!$E$12+1,1))</f>
        <v>211.91720528436969</v>
      </c>
      <c r="CE187" s="59">
        <f t="shared" si="148"/>
        <v>218.88548486038957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9.8796553186827936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9.8796553186827936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4.8316906031686813E-13</v>
      </c>
      <c r="CU187" s="17">
        <f>CT187*VLOOKUP('Données projet'!$B$13,Paramètres!$A$1:$I$89,3,0)*VLOOKUP('Données projet'!$B$13,Paramètres!$A$1:$I$89,5,0)</f>
        <v>4.3717136577470225E-13</v>
      </c>
      <c r="CV187" s="13">
        <f t="shared" si="173"/>
        <v>5.5313598682231701E-12</v>
      </c>
      <c r="CW187" s="20">
        <f t="shared" si="174"/>
        <v>1.039519189921296E-11</v>
      </c>
      <c r="CX187" s="59">
        <f t="shared" si="122"/>
        <v>293.33333333334372</v>
      </c>
      <c r="CY187" s="59">
        <f ca="1">AVERAGE(OFFSET($CX$3,0,0,'Données projet'!$E$13+1,1))-AVERAGE(OFFSET($H$3,0,0,'Données projet'!$E$13+1,1))</f>
        <v>469.97161976912071</v>
      </c>
      <c r="CZ187" s="59">
        <f t="shared" si="150"/>
        <v>231.65013084759306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182.40976770076921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182.40976770076921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4.8316906031686813E-13</v>
      </c>
      <c r="DP187" s="17">
        <f>DO187*VLOOKUP('Données projet'!$B$14,Paramètres!$A$1:$I$89,3,0)*VLOOKUP('Données projet'!$B$14,Paramètres!$A$1:$I$89,5,0)</f>
        <v>4.6732111513847483E-13</v>
      </c>
      <c r="DQ187" s="13">
        <f t="shared" si="176"/>
        <v>5.8671100737071438E-12</v>
      </c>
      <c r="DR187" s="20">
        <f t="shared" si="177"/>
        <v>1.1032467653906121E-11</v>
      </c>
      <c r="DS187" s="59">
        <f t="shared" si="125"/>
        <v>293.33333333334434</v>
      </c>
      <c r="DT187" s="59">
        <f ca="1">AVERAGE(OFFSET($DS$3,0,0,'Données projet'!$E$14+1,1))-AVERAGE(OFFSET($H$3,0,0,'Données projet'!$E$14+1,1))</f>
        <v>506.9153247310901</v>
      </c>
      <c r="DU187" s="59">
        <f t="shared" si="152"/>
        <v>247.31254626788319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194.9897516801326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194.9897516801326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193.8828274189392</v>
      </c>
      <c r="T188" s="59">
        <f t="shared" si="142"/>
        <v>179.13381331066427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25.053741123413239</v>
      </c>
      <c r="AA188" s="21">
        <f>EXP(-LN(2)/25)*AA187+(1-EXP(-LN(2)/25))/(LN(2)/25)*Calculateur!V188*Calculateur!X188*VLOOKUP('Données projet'!$B$9,Paramètres!$A$1:$I$89,3,0)*0.475*44/12</f>
        <v>5.5801379887359266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30.633879112149167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-6.8212102632969618E-13</v>
      </c>
      <c r="AJ188" s="13">
        <f>AI188*VLOOKUP('Données projet'!$B$10,Paramètres!$A$1:$I$89,3,0)*VLOOKUP('Données projet'!$B$10,Paramètres!$A$1:$I$89,5,0)</f>
        <v>-4.0790837374515837E-13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228.36873053496748</v>
      </c>
      <c r="AO188" s="59">
        <f t="shared" si="144"/>
        <v>177.73676400313303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16.795786228807501</v>
      </c>
      <c r="AV188" s="21">
        <f>EXP(-LN(2)/25)*AV187+(1-EXP(-LN(2)/25))/(LN(2)/25)*Calculateur!AQ188*Calculateur!AS188*VLOOKUP('Données projet'!$B$10,Paramètres!$A$1:$I$89,3,0)*0.475*44/12</f>
        <v>3.6009850112506467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20.396771240058147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4.8993342716130437E-13</v>
      </c>
      <c r="BF188" s="13">
        <f t="shared" si="167"/>
        <v>6.1172634040517391E-12</v>
      </c>
      <c r="BG188" s="20">
        <f t="shared" si="168"/>
        <v>1.1507534481029384E-11</v>
      </c>
      <c r="BH188" s="59">
        <f t="shared" si="116"/>
        <v>293.3333333333448</v>
      </c>
      <c r="BI188" s="59">
        <f ca="1">AVERAGE(OFFSET($BH$3,0,0,'Données projet'!$E$11+1,1))-AVERAGE(OFFSET($H$3,0,0,'Données projet'!$E$11+1,1))</f>
        <v>534.59150243554586</v>
      </c>
      <c r="BJ188" s="59">
        <f t="shared" si="146"/>
        <v>259.04458689606491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200.41609520661066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200.41609520661066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2.8421709430404007E-14</v>
      </c>
      <c r="BZ188" s="13">
        <f>BY188*VLOOKUP('Données projet'!$B$12,Paramètres!$A$1:$I$89,3,0)*VLOOKUP('Données projet'!$B$12,Paramètres!$A$1:$I$89,5,0)</f>
        <v>2.4829205358400945E-14</v>
      </c>
      <c r="CA188" s="13">
        <f t="shared" si="170"/>
        <v>4.3867331143352915E-13</v>
      </c>
      <c r="CB188" s="20">
        <f t="shared" si="171"/>
        <v>8.0726688341261168E-13</v>
      </c>
      <c r="CC188" s="59">
        <f t="shared" si="119"/>
        <v>293.33333333333411</v>
      </c>
      <c r="CD188" s="59">
        <f ca="1">AVERAGE(OFFSET($CC$3,0,0,'Données projet'!$E$12+1,1))-AVERAGE(OFFSET($H$3,0,0,'Données projet'!$E$12+1,1))</f>
        <v>211.91720528436969</v>
      </c>
      <c r="CE188" s="59">
        <f t="shared" si="148"/>
        <v>218.88548486038957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9.6859213038781515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9.6859213038781515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4.8316906031686813E-13</v>
      </c>
      <c r="CU188" s="17">
        <f>CT188*VLOOKUP('Données projet'!$B$13,Paramètres!$A$1:$I$89,3,0)*VLOOKUP('Données projet'!$B$13,Paramètres!$A$1:$I$89,5,0)</f>
        <v>4.3717136577470225E-13</v>
      </c>
      <c r="CV188" s="13">
        <f t="shared" si="173"/>
        <v>5.5313598682231701E-12</v>
      </c>
      <c r="CW188" s="20">
        <f t="shared" si="174"/>
        <v>1.039519189921296E-11</v>
      </c>
      <c r="CX188" s="59">
        <f t="shared" si="122"/>
        <v>293.33333333334372</v>
      </c>
      <c r="CY188" s="59">
        <f ca="1">AVERAGE(OFFSET($CX$3,0,0,'Données projet'!$E$13+1,1))-AVERAGE(OFFSET($H$3,0,0,'Données projet'!$E$13+1,1))</f>
        <v>469.97161976912071</v>
      </c>
      <c r="CZ188" s="59">
        <f t="shared" si="150"/>
        <v>231.65013084759306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178.83282341512952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178.83282341512952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4.8316906031686813E-13</v>
      </c>
      <c r="DP188" s="17">
        <f>DO188*VLOOKUP('Données projet'!$B$14,Paramètres!$A$1:$I$89,3,0)*VLOOKUP('Données projet'!$B$14,Paramètres!$A$1:$I$89,5,0)</f>
        <v>4.6732111513847483E-13</v>
      </c>
      <c r="DQ188" s="13">
        <f t="shared" si="176"/>
        <v>5.8671100737071438E-12</v>
      </c>
      <c r="DR188" s="20">
        <f t="shared" si="177"/>
        <v>1.1032467653906121E-11</v>
      </c>
      <c r="DS188" s="59">
        <f t="shared" si="125"/>
        <v>293.33333333334434</v>
      </c>
      <c r="DT188" s="59">
        <f ca="1">AVERAGE(OFFSET($DS$3,0,0,'Données projet'!$E$14+1,1))-AVERAGE(OFFSET($H$3,0,0,'Données projet'!$E$14+1,1))</f>
        <v>506.9153247310901</v>
      </c>
      <c r="DU188" s="59">
        <f t="shared" si="152"/>
        <v>247.31254626788319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191.16612158169016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191.16612158169016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193.8828274189392</v>
      </c>
      <c r="T189" s="59">
        <f t="shared" si="142"/>
        <v>179.13381331066427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24.562452541256292</v>
      </c>
      <c r="AA189" s="21">
        <f>EXP(-LN(2)/25)*AA188+(1-EXP(-LN(2)/25))/(LN(2)/25)*Calculateur!V189*Calculateur!X189*VLOOKUP('Données projet'!$B$9,Paramètres!$A$1:$I$89,3,0)*0.475*44/12</f>
        <v>5.4275488219872399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29.990001363243532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-6.8212102632969618E-13</v>
      </c>
      <c r="AJ189" s="13">
        <f>AI189*VLOOKUP('Données projet'!$B$10,Paramètres!$A$1:$I$89,3,0)*VLOOKUP('Données projet'!$B$10,Paramètres!$A$1:$I$89,5,0)</f>
        <v>-4.0790837374515837E-13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228.36873053496748</v>
      </c>
      <c r="AO189" s="59">
        <f t="shared" si="144"/>
        <v>177.73676400313303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16.466431105278634</v>
      </c>
      <c r="AV189" s="21">
        <f>EXP(-LN(2)/25)*AV188+(1-EXP(-LN(2)/25))/(LN(2)/25)*Calculateur!AQ189*Calculateur!AS189*VLOOKUP('Données projet'!$B$10,Paramètres!$A$1:$I$89,3,0)*0.475*44/12</f>
        <v>3.5025158867504262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19.968946992029061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4.8993342716130437E-13</v>
      </c>
      <c r="BF189" s="13">
        <f t="shared" si="167"/>
        <v>6.1172634040517391E-12</v>
      </c>
      <c r="BG189" s="20">
        <f t="shared" si="168"/>
        <v>1.1507534481029384E-11</v>
      </c>
      <c r="BH189" s="59">
        <f t="shared" si="116"/>
        <v>293.3333333333448</v>
      </c>
      <c r="BI189" s="59">
        <f ca="1">AVERAGE(OFFSET($BH$3,0,0,'Données projet'!$E$11+1,1))-AVERAGE(OFFSET($H$3,0,0,'Données projet'!$E$11+1,1))</f>
        <v>534.59150243554586</v>
      </c>
      <c r="BJ189" s="59">
        <f t="shared" si="146"/>
        <v>259.04458689606491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196.48605782135672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196.48605782135672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2.8421709430404007E-14</v>
      </c>
      <c r="BZ189" s="13">
        <f>BY189*VLOOKUP('Données projet'!$B$12,Paramètres!$A$1:$I$89,3,0)*VLOOKUP('Données projet'!$B$12,Paramètres!$A$1:$I$89,5,0)</f>
        <v>2.4829205358400945E-14</v>
      </c>
      <c r="CA189" s="13">
        <f t="shared" si="170"/>
        <v>4.3867331143352915E-13</v>
      </c>
      <c r="CB189" s="20">
        <f t="shared" si="171"/>
        <v>8.0726688341261168E-13</v>
      </c>
      <c r="CC189" s="59">
        <f t="shared" si="119"/>
        <v>293.33333333333411</v>
      </c>
      <c r="CD189" s="59">
        <f ca="1">AVERAGE(OFFSET($CC$3,0,0,'Données projet'!$E$12+1,1))-AVERAGE(OFFSET($H$3,0,0,'Données projet'!$E$12+1,1))</f>
        <v>211.91720528436969</v>
      </c>
      <c r="CE189" s="59">
        <f t="shared" si="148"/>
        <v>218.88548486038957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9.4959862949377474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9.4959862949377474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4.8316906031686813E-13</v>
      </c>
      <c r="CU189" s="17">
        <f>CT189*VLOOKUP('Données projet'!$B$13,Paramètres!$A$1:$I$89,3,0)*VLOOKUP('Données projet'!$B$13,Paramètres!$A$1:$I$89,5,0)</f>
        <v>4.3717136577470225E-13</v>
      </c>
      <c r="CV189" s="13">
        <f t="shared" si="173"/>
        <v>5.5313598682231701E-12</v>
      </c>
      <c r="CW189" s="20">
        <f t="shared" si="174"/>
        <v>1.039519189921296E-11</v>
      </c>
      <c r="CX189" s="59">
        <f t="shared" si="122"/>
        <v>293.33333333334372</v>
      </c>
      <c r="CY189" s="59">
        <f ca="1">AVERAGE(OFFSET($CX$3,0,0,'Données projet'!$E$13+1,1))-AVERAGE(OFFSET($H$3,0,0,'Données projet'!$E$13+1,1))</f>
        <v>469.97161976912071</v>
      </c>
      <c r="CZ189" s="59">
        <f t="shared" si="150"/>
        <v>231.65013084759306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175.32602082521063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175.32602082521063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4.8316906031686813E-13</v>
      </c>
      <c r="DP189" s="17">
        <f>DO189*VLOOKUP('Données projet'!$B$14,Paramètres!$A$1:$I$89,3,0)*VLOOKUP('Données projet'!$B$14,Paramètres!$A$1:$I$89,5,0)</f>
        <v>4.6732111513847483E-13</v>
      </c>
      <c r="DQ189" s="13">
        <f t="shared" si="176"/>
        <v>5.8671100737071438E-12</v>
      </c>
      <c r="DR189" s="20">
        <f t="shared" si="177"/>
        <v>1.1032467653906121E-11</v>
      </c>
      <c r="DS189" s="59">
        <f t="shared" si="125"/>
        <v>293.33333333334434</v>
      </c>
      <c r="DT189" s="59">
        <f ca="1">AVERAGE(OFFSET($DS$3,0,0,'Données projet'!$E$14+1,1))-AVERAGE(OFFSET($H$3,0,0,'Données projet'!$E$14+1,1))</f>
        <v>506.9153247310901</v>
      </c>
      <c r="DU189" s="59">
        <f t="shared" si="152"/>
        <v>247.31254626788319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187.41747053729412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187.41747053729412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193.8828274189392</v>
      </c>
      <c r="T190" s="59">
        <f t="shared" si="142"/>
        <v>179.13381331066427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24.080797828538994</v>
      </c>
      <c r="AA190" s="21">
        <f>EXP(-LN(2)/25)*AA189+(1-EXP(-LN(2)/25))/(LN(2)/25)*Calculateur!V190*Calculateur!X190*VLOOKUP('Données projet'!$B$9,Paramètres!$A$1:$I$89,3,0)*0.475*44/12</f>
        <v>5.2791322140276113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29.359930042566607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-6.8212102632969618E-13</v>
      </c>
      <c r="AJ190" s="13">
        <f>AI190*VLOOKUP('Données projet'!$B$10,Paramètres!$A$1:$I$89,3,0)*VLOOKUP('Données projet'!$B$10,Paramètres!$A$1:$I$89,5,0)</f>
        <v>-4.0790837374515837E-13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228.36873053496748</v>
      </c>
      <c r="AO190" s="59">
        <f t="shared" si="144"/>
        <v>177.73676400313303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16.143534434835377</v>
      </c>
      <c r="AV190" s="21">
        <f>EXP(-LN(2)/25)*AV189+(1-EXP(-LN(2)/25))/(LN(2)/25)*Calculateur!AQ190*Calculateur!AS190*VLOOKUP('Données projet'!$B$10,Paramètres!$A$1:$I$89,3,0)*0.475*44/12</f>
        <v>3.4067394056379303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19.550273840473309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4.8993342716130437E-13</v>
      </c>
      <c r="BF190" s="13">
        <f t="shared" si="167"/>
        <v>6.1172634040517391E-12</v>
      </c>
      <c r="BG190" s="20">
        <f t="shared" si="168"/>
        <v>1.1507534481029384E-11</v>
      </c>
      <c r="BH190" s="59">
        <f t="shared" si="116"/>
        <v>293.3333333333448</v>
      </c>
      <c r="BI190" s="59">
        <f ca="1">AVERAGE(OFFSET($BH$3,0,0,'Données projet'!$E$11+1,1))-AVERAGE(OFFSET($H$3,0,0,'Données projet'!$E$11+1,1))</f>
        <v>534.59150243554586</v>
      </c>
      <c r="BJ190" s="59">
        <f t="shared" si="146"/>
        <v>259.04458689606491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192.63308607214151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192.63308607214151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2.8421709430404007E-14</v>
      </c>
      <c r="BZ190" s="13">
        <f>BY190*VLOOKUP('Données projet'!$B$12,Paramètres!$A$1:$I$89,3,0)*VLOOKUP('Données projet'!$B$12,Paramètres!$A$1:$I$89,5,0)</f>
        <v>2.4829205358400945E-14</v>
      </c>
      <c r="CA190" s="13">
        <f t="shared" si="170"/>
        <v>4.3867331143352915E-13</v>
      </c>
      <c r="CB190" s="20">
        <f t="shared" si="171"/>
        <v>8.0726688341261168E-13</v>
      </c>
      <c r="CC190" s="59">
        <f t="shared" si="119"/>
        <v>293.33333333333411</v>
      </c>
      <c r="CD190" s="59">
        <f ca="1">AVERAGE(OFFSET($CC$3,0,0,'Données projet'!$E$12+1,1))-AVERAGE(OFFSET($H$3,0,0,'Données projet'!$E$12+1,1))</f>
        <v>211.91720528436969</v>
      </c>
      <c r="CE190" s="59">
        <f t="shared" si="148"/>
        <v>218.88548486038957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9.3097757956737475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9.3097757956737475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4.8316906031686813E-13</v>
      </c>
      <c r="CU190" s="17">
        <f>CT190*VLOOKUP('Données projet'!$B$13,Paramètres!$A$1:$I$89,3,0)*VLOOKUP('Données projet'!$B$13,Paramètres!$A$1:$I$89,5,0)</f>
        <v>4.3717136577470225E-13</v>
      </c>
      <c r="CV190" s="13">
        <f t="shared" si="173"/>
        <v>5.5313598682231701E-12</v>
      </c>
      <c r="CW190" s="20">
        <f t="shared" si="174"/>
        <v>1.039519189921296E-11</v>
      </c>
      <c r="CX190" s="59">
        <f t="shared" si="122"/>
        <v>293.33333333334372</v>
      </c>
      <c r="CY190" s="59">
        <f ca="1">AVERAGE(OFFSET($CX$3,0,0,'Données projet'!$E$13+1,1))-AVERAGE(OFFSET($H$3,0,0,'Données projet'!$E$13+1,1))</f>
        <v>469.97161976912071</v>
      </c>
      <c r="CZ190" s="59">
        <f t="shared" si="150"/>
        <v>231.65013084759306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171.88798449514167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171.88798449514167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4.8316906031686813E-13</v>
      </c>
      <c r="DP190" s="17">
        <f>DO190*VLOOKUP('Données projet'!$B$14,Paramètres!$A$1:$I$89,3,0)*VLOOKUP('Données projet'!$B$14,Paramètres!$A$1:$I$89,5,0)</f>
        <v>4.6732111513847483E-13</v>
      </c>
      <c r="DQ190" s="13">
        <f t="shared" si="176"/>
        <v>5.8671100737071438E-12</v>
      </c>
      <c r="DR190" s="20">
        <f t="shared" si="177"/>
        <v>1.1032467653906121E-11</v>
      </c>
      <c r="DS190" s="59">
        <f t="shared" si="125"/>
        <v>293.33333333334434</v>
      </c>
      <c r="DT190" s="59">
        <f ca="1">AVERAGE(OFFSET($DS$3,0,0,'Données projet'!$E$14+1,1))-AVERAGE(OFFSET($H$3,0,0,'Données projet'!$E$14+1,1))</f>
        <v>506.9153247310901</v>
      </c>
      <c r="DU190" s="59">
        <f t="shared" si="152"/>
        <v>247.31254626788319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183.7423282534273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183.7423282534273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193.8828274189392</v>
      </c>
      <c r="T191" s="59">
        <f t="shared" si="142"/>
        <v>179.13381331066427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23.608588070957715</v>
      </c>
      <c r="AA191" s="21">
        <f>EXP(-LN(2)/25)*AA190+(1-EXP(-LN(2)/25))/(LN(2)/25)*Calculateur!V191*Calculateur!X191*VLOOKUP('Données projet'!$B$9,Paramètres!$A$1:$I$89,3,0)*0.475*44/12</f>
        <v>5.1347740660175285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28.743362136975243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-6.8212102632969618E-13</v>
      </c>
      <c r="AJ191" s="13">
        <f>AI191*VLOOKUP('Données projet'!$B$10,Paramètres!$A$1:$I$89,3,0)*VLOOKUP('Données projet'!$B$10,Paramètres!$A$1:$I$89,5,0)</f>
        <v>-4.0790837374515837E-13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228.36873053496748</v>
      </c>
      <c r="AO191" s="59">
        <f t="shared" si="144"/>
        <v>177.73676400313303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15.826969571151992</v>
      </c>
      <c r="AV191" s="21">
        <f>EXP(-LN(2)/25)*AV190+(1-EXP(-LN(2)/25))/(LN(2)/25)*Calculateur!AQ191*Calculateur!AS191*VLOOKUP('Données projet'!$B$10,Paramètres!$A$1:$I$89,3,0)*0.475*44/12</f>
        <v>3.3135819374381219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19.140551508590114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4.8993342716130437E-13</v>
      </c>
      <c r="BF191" s="13">
        <f t="shared" si="167"/>
        <v>6.1172634040517391E-12</v>
      </c>
      <c r="BG191" s="20">
        <f t="shared" si="168"/>
        <v>1.1507534481029384E-11</v>
      </c>
      <c r="BH191" s="59">
        <f t="shared" si="116"/>
        <v>293.3333333333448</v>
      </c>
      <c r="BI191" s="59">
        <f ca="1">AVERAGE(OFFSET($BH$3,0,0,'Données projet'!$E$11+1,1))-AVERAGE(OFFSET($H$3,0,0,'Données projet'!$E$11+1,1))</f>
        <v>534.59150243554586</v>
      </c>
      <c r="BJ191" s="59">
        <f t="shared" si="146"/>
        <v>259.04458689606491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188.85566874884771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188.85566874884771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2.8421709430404007E-14</v>
      </c>
      <c r="BZ191" s="13">
        <f>BY191*VLOOKUP('Données projet'!$B$12,Paramètres!$A$1:$I$89,3,0)*VLOOKUP('Données projet'!$B$12,Paramètres!$A$1:$I$89,5,0)</f>
        <v>2.4829205358400945E-14</v>
      </c>
      <c r="CA191" s="13">
        <f t="shared" si="170"/>
        <v>4.3867331143352915E-13</v>
      </c>
      <c r="CB191" s="20">
        <f t="shared" si="171"/>
        <v>8.0726688341261168E-13</v>
      </c>
      <c r="CC191" s="59">
        <f t="shared" si="119"/>
        <v>293.33333333333411</v>
      </c>
      <c r="CD191" s="59">
        <f ca="1">AVERAGE(OFFSET($CC$3,0,0,'Données projet'!$E$12+1,1))-AVERAGE(OFFSET($H$3,0,0,'Données projet'!$E$12+1,1))</f>
        <v>211.91720528436969</v>
      </c>
      <c r="CE191" s="59">
        <f t="shared" si="148"/>
        <v>218.88548486038957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9.1272167707231251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9.1272167707231251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4.8316906031686813E-13</v>
      </c>
      <c r="CU191" s="17">
        <f>CT191*VLOOKUP('Données projet'!$B$13,Paramètres!$A$1:$I$89,3,0)*VLOOKUP('Données projet'!$B$13,Paramètres!$A$1:$I$89,5,0)</f>
        <v>4.3717136577470225E-13</v>
      </c>
      <c r="CV191" s="13">
        <f t="shared" si="173"/>
        <v>5.5313598682231701E-12</v>
      </c>
      <c r="CW191" s="20">
        <f t="shared" si="174"/>
        <v>1.039519189921296E-11</v>
      </c>
      <c r="CX191" s="59">
        <f t="shared" si="122"/>
        <v>293.33333333334372</v>
      </c>
      <c r="CY191" s="59">
        <f ca="1">AVERAGE(OFFSET($CX$3,0,0,'Données projet'!$E$13+1,1))-AVERAGE(OFFSET($H$3,0,0,'Données projet'!$E$13+1,1))</f>
        <v>469.97161976912071</v>
      </c>
      <c r="CZ191" s="59">
        <f t="shared" si="150"/>
        <v>231.65013084759306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168.51736596051026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168.51736596051026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4.8316906031686813E-13</v>
      </c>
      <c r="DP191" s="17">
        <f>DO191*VLOOKUP('Données projet'!$B$14,Paramètres!$A$1:$I$89,3,0)*VLOOKUP('Données projet'!$B$14,Paramètres!$A$1:$I$89,5,0)</f>
        <v>4.6732111513847483E-13</v>
      </c>
      <c r="DQ191" s="13">
        <f t="shared" si="176"/>
        <v>5.8671100737071438E-12</v>
      </c>
      <c r="DR191" s="20">
        <f t="shared" si="177"/>
        <v>1.1032467653906121E-11</v>
      </c>
      <c r="DS191" s="59">
        <f t="shared" si="125"/>
        <v>293.33333333334434</v>
      </c>
      <c r="DT191" s="59">
        <f ca="1">AVERAGE(OFFSET($DS$3,0,0,'Données projet'!$E$14+1,1))-AVERAGE(OFFSET($H$3,0,0,'Données projet'!$E$14+1,1))</f>
        <v>506.9153247310901</v>
      </c>
      <c r="DU191" s="59">
        <f t="shared" si="152"/>
        <v>247.31254626788319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180.13925326813165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180.13925326813165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193.8828274189392</v>
      </c>
      <c r="T192" s="59">
        <f t="shared" si="142"/>
        <v>179.13381331066427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23.145638058703096</v>
      </c>
      <c r="AA192" s="21">
        <f>EXP(-LN(2)/25)*AA191+(1-EXP(-LN(2)/25))/(LN(2)/25)*Calculateur!V192*Calculateur!X192*VLOOKUP('Données projet'!$B$9,Paramètres!$A$1:$I$89,3,0)*0.475*44/12</f>
        <v>4.9943633991562466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28.140001457859341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-6.8212102632969618E-13</v>
      </c>
      <c r="AJ192" s="13">
        <f>AI192*VLOOKUP('Données projet'!$B$10,Paramètres!$A$1:$I$89,3,0)*VLOOKUP('Données projet'!$B$10,Paramètres!$A$1:$I$89,5,0)</f>
        <v>-4.0790837374515837E-13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228.36873053496748</v>
      </c>
      <c r="AO192" s="59">
        <f t="shared" si="144"/>
        <v>177.73676400313303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15.516612351359935</v>
      </c>
      <c r="AV192" s="21">
        <f>EXP(-LN(2)/25)*AV191+(1-EXP(-LN(2)/25))/(LN(2)/25)*Calculateur!AQ192*Calculateur!AS192*VLOOKUP('Données projet'!$B$10,Paramètres!$A$1:$I$89,3,0)*0.475*44/12</f>
        <v>3.2229718651051757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18.739584216465111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4.8993342716130437E-13</v>
      </c>
      <c r="BF192" s="13">
        <f t="shared" si="167"/>
        <v>6.1172634040517391E-12</v>
      </c>
      <c r="BG192" s="20">
        <f t="shared" si="168"/>
        <v>1.1507534481029384E-11</v>
      </c>
      <c r="BH192" s="59">
        <f t="shared" si="116"/>
        <v>293.3333333333448</v>
      </c>
      <c r="BI192" s="59">
        <f ca="1">AVERAGE(OFFSET($BH$3,0,0,'Données projet'!$E$11+1,1))-AVERAGE(OFFSET($H$3,0,0,'Données projet'!$E$11+1,1))</f>
        <v>534.59150243554586</v>
      </c>
      <c r="BJ192" s="59">
        <f t="shared" si="146"/>
        <v>259.04458689606491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185.15232427526661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185.15232427526661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2.8421709430404007E-14</v>
      </c>
      <c r="BZ192" s="13">
        <f>BY192*VLOOKUP('Données projet'!$B$12,Paramètres!$A$1:$I$89,3,0)*VLOOKUP('Données projet'!$B$12,Paramètres!$A$1:$I$89,5,0)</f>
        <v>2.4829205358400945E-14</v>
      </c>
      <c r="CA192" s="13">
        <f t="shared" si="170"/>
        <v>4.3867331143352915E-13</v>
      </c>
      <c r="CB192" s="20">
        <f t="shared" si="171"/>
        <v>8.0726688341261168E-13</v>
      </c>
      <c r="CC192" s="59">
        <f t="shared" si="119"/>
        <v>293.33333333333411</v>
      </c>
      <c r="CD192" s="59">
        <f ca="1">AVERAGE(OFFSET($CC$3,0,0,'Données projet'!$E$12+1,1))-AVERAGE(OFFSET($H$3,0,0,'Données projet'!$E$12+1,1))</f>
        <v>211.91720528436969</v>
      </c>
      <c r="CE192" s="59">
        <f t="shared" si="148"/>
        <v>218.88548486038957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8.9482376169017748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8.9482376169017748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4.8316906031686813E-13</v>
      </c>
      <c r="CU192" s="17">
        <f>CT192*VLOOKUP('Données projet'!$B$13,Paramètres!$A$1:$I$89,3,0)*VLOOKUP('Données projet'!$B$13,Paramètres!$A$1:$I$89,5,0)</f>
        <v>4.3717136577470225E-13</v>
      </c>
      <c r="CV192" s="13">
        <f t="shared" si="173"/>
        <v>5.5313598682231701E-12</v>
      </c>
      <c r="CW192" s="20">
        <f t="shared" si="174"/>
        <v>1.039519189921296E-11</v>
      </c>
      <c r="CX192" s="59">
        <f t="shared" si="122"/>
        <v>293.33333333334372</v>
      </c>
      <c r="CY192" s="59">
        <f ca="1">AVERAGE(OFFSET($CX$3,0,0,'Données projet'!$E$13+1,1))-AVERAGE(OFFSET($H$3,0,0,'Données projet'!$E$13+1,1))</f>
        <v>469.97161976912071</v>
      </c>
      <c r="CZ192" s="59">
        <f t="shared" si="150"/>
        <v>231.65013084759306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165.21284319946867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165.21284319946867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4.8316906031686813E-13</v>
      </c>
      <c r="DP192" s="17">
        <f>DO192*VLOOKUP('Données projet'!$B$14,Paramètres!$A$1:$I$89,3,0)*VLOOKUP('Données projet'!$B$14,Paramètres!$A$1:$I$89,5,0)</f>
        <v>4.6732111513847483E-13</v>
      </c>
      <c r="DQ192" s="13">
        <f t="shared" si="176"/>
        <v>5.8671100737071438E-12</v>
      </c>
      <c r="DR192" s="20">
        <f t="shared" si="177"/>
        <v>1.1032467653906121E-11</v>
      </c>
      <c r="DS192" s="59">
        <f t="shared" si="125"/>
        <v>293.33333333334434</v>
      </c>
      <c r="DT192" s="59">
        <f ca="1">AVERAGE(OFFSET($DS$3,0,0,'Données projet'!$E$14+1,1))-AVERAGE(OFFSET($H$3,0,0,'Données projet'!$E$14+1,1))</f>
        <v>506.9153247310901</v>
      </c>
      <c r="DU192" s="59">
        <f t="shared" si="152"/>
        <v>247.31254626788319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176.60683238563891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176.60683238563891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193.8828274189392</v>
      </c>
      <c r="T193" s="59">
        <f t="shared" si="142"/>
        <v>179.13381331066427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22.691766213817161</v>
      </c>
      <c r="AA193" s="21">
        <f>EXP(-LN(2)/25)*AA192+(1-EXP(-LN(2)/25))/(LN(2)/25)*Calculateur!V193*Calculateur!X193*VLOOKUP('Données projet'!$B$9,Paramètres!$A$1:$I$89,3,0)*0.475*44/12</f>
        <v>4.8577922693641629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27.549558483181322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-6.8212102632969618E-13</v>
      </c>
      <c r="AJ193" s="13">
        <f>AI193*VLOOKUP('Données projet'!$B$10,Paramètres!$A$1:$I$89,3,0)*VLOOKUP('Données projet'!$B$10,Paramètres!$A$1:$I$89,5,0)</f>
        <v>-4.0790837374515837E-13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228.36873053496748</v>
      </c>
      <c r="AO193" s="59">
        <f t="shared" si="144"/>
        <v>177.73676400313303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15.212341047348788</v>
      </c>
      <c r="AV193" s="21">
        <f>EXP(-LN(2)/25)*AV192+(1-EXP(-LN(2)/25))/(LN(2)/25)*Calculateur!AQ193*Calculateur!AS193*VLOOKUP('Données projet'!$B$10,Paramètres!$A$1:$I$89,3,0)*0.475*44/12</f>
        <v>3.1348395299651504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18.347180577313939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4.8993342716130437E-13</v>
      </c>
      <c r="BF193" s="13">
        <f t="shared" si="167"/>
        <v>6.1172634040517391E-12</v>
      </c>
      <c r="BG193" s="20">
        <f t="shared" si="168"/>
        <v>1.1507534481029384E-11</v>
      </c>
      <c r="BH193" s="59">
        <f t="shared" si="116"/>
        <v>293.3333333333448</v>
      </c>
      <c r="BI193" s="59">
        <f ca="1">AVERAGE(OFFSET($BH$3,0,0,'Données projet'!$E$11+1,1))-AVERAGE(OFFSET($H$3,0,0,'Données projet'!$E$11+1,1))</f>
        <v>534.59150243554586</v>
      </c>
      <c r="BJ193" s="59">
        <f t="shared" si="146"/>
        <v>259.04458689606491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181.52160012799536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181.52160012799536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2.8421709430404007E-14</v>
      </c>
      <c r="BZ193" s="13">
        <f>BY193*VLOOKUP('Données projet'!$B$12,Paramètres!$A$1:$I$89,3,0)*VLOOKUP('Données projet'!$B$12,Paramètres!$A$1:$I$89,5,0)</f>
        <v>2.4829205358400945E-14</v>
      </c>
      <c r="CA193" s="13">
        <f t="shared" si="170"/>
        <v>4.3867331143352915E-13</v>
      </c>
      <c r="CB193" s="20">
        <f t="shared" si="171"/>
        <v>8.0726688341261168E-13</v>
      </c>
      <c r="CC193" s="59">
        <f t="shared" si="119"/>
        <v>293.33333333333411</v>
      </c>
      <c r="CD193" s="59">
        <f ca="1">AVERAGE(OFFSET($CC$3,0,0,'Données projet'!$E$12+1,1))-AVERAGE(OFFSET($H$3,0,0,'Données projet'!$E$12+1,1))</f>
        <v>211.91720528436969</v>
      </c>
      <c r="CE193" s="59">
        <f t="shared" si="148"/>
        <v>218.88548486038957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8.772768135120355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8.772768135120355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4.8316906031686813E-13</v>
      </c>
      <c r="CU193" s="17">
        <f>CT193*VLOOKUP('Données projet'!$B$13,Paramètres!$A$1:$I$89,3,0)*VLOOKUP('Données projet'!$B$13,Paramètres!$A$1:$I$89,5,0)</f>
        <v>4.3717136577470225E-13</v>
      </c>
      <c r="CV193" s="13">
        <f t="shared" si="173"/>
        <v>5.5313598682231701E-12</v>
      </c>
      <c r="CW193" s="20">
        <f t="shared" si="174"/>
        <v>1.039519189921296E-11</v>
      </c>
      <c r="CX193" s="59">
        <f t="shared" si="122"/>
        <v>293.33333333334372</v>
      </c>
      <c r="CY193" s="59">
        <f ca="1">AVERAGE(OFFSET($CX$3,0,0,'Données projet'!$E$13+1,1))-AVERAGE(OFFSET($H$3,0,0,'Données projet'!$E$13+1,1))</f>
        <v>469.97161976912071</v>
      </c>
      <c r="CZ193" s="59">
        <f t="shared" si="150"/>
        <v>231.65013084759306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161.97312011421124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161.97312011421124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4.8316906031686813E-13</v>
      </c>
      <c r="DP193" s="17">
        <f>DO193*VLOOKUP('Données projet'!$B$14,Paramètres!$A$1:$I$89,3,0)*VLOOKUP('Données projet'!$B$14,Paramètres!$A$1:$I$89,5,0)</f>
        <v>4.6732111513847483E-13</v>
      </c>
      <c r="DQ193" s="13">
        <f t="shared" si="176"/>
        <v>5.8671100737071438E-12</v>
      </c>
      <c r="DR193" s="20">
        <f t="shared" si="177"/>
        <v>1.1032467653906121E-11</v>
      </c>
      <c r="DS193" s="59">
        <f t="shared" si="125"/>
        <v>293.33333333334434</v>
      </c>
      <c r="DT193" s="59">
        <f ca="1">AVERAGE(OFFSET($DS$3,0,0,'Données projet'!$E$14+1,1))-AVERAGE(OFFSET($H$3,0,0,'Données projet'!$E$14+1,1))</f>
        <v>506.9153247310901</v>
      </c>
      <c r="DU193" s="59">
        <f t="shared" si="152"/>
        <v>247.31254626788319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173.14368012208786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173.14368012208786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193.8828274189392</v>
      </c>
      <c r="T194" s="59">
        <f t="shared" si="142"/>
        <v>179.13381331066427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22.246794518974951</v>
      </c>
      <c r="AA194" s="21">
        <f>EXP(-LN(2)/25)*AA193+(1-EXP(-LN(2)/25))/(LN(2)/25)*Calculateur!V194*Calculateur!X194*VLOOKUP('Données projet'!$B$9,Paramètres!$A$1:$I$89,3,0)*0.475*44/12</f>
        <v>4.724955684298207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26.97175020327316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-6.8212102632969618E-13</v>
      </c>
      <c r="AJ194" s="13">
        <f>AI194*VLOOKUP('Données projet'!$B$10,Paramètres!$A$1:$I$89,3,0)*VLOOKUP('Données projet'!$B$10,Paramètres!$A$1:$I$89,5,0)</f>
        <v>-4.0790837374515837E-13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228.36873053496748</v>
      </c>
      <c r="AO194" s="59">
        <f t="shared" si="144"/>
        <v>177.73676400313303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14.914036318022131</v>
      </c>
      <c r="AV194" s="21">
        <f>EXP(-LN(2)/25)*AV193+(1-EXP(-LN(2)/25))/(LN(2)/25)*Calculateur!AQ194*Calculateur!AS194*VLOOKUP('Données projet'!$B$10,Paramètres!$A$1:$I$89,3,0)*0.475*44/12</f>
        <v>3.0491171781642072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17.963153496186337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4.8993342716130437E-13</v>
      </c>
      <c r="BF194" s="13">
        <f t="shared" si="167"/>
        <v>6.1172634040517391E-12</v>
      </c>
      <c r="BG194" s="20">
        <f t="shared" si="168"/>
        <v>1.1507534481029384E-11</v>
      </c>
      <c r="BH194" s="59">
        <f t="shared" si="116"/>
        <v>293.3333333333448</v>
      </c>
      <c r="BI194" s="59">
        <f ca="1">AVERAGE(OFFSET($BH$3,0,0,'Données projet'!$E$11+1,1))-AVERAGE(OFFSET($H$3,0,0,'Données projet'!$E$11+1,1))</f>
        <v>534.59150243554586</v>
      </c>
      <c r="BJ194" s="59">
        <f t="shared" si="146"/>
        <v>259.04458689606491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177.96207226672902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177.96207226672902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2.8421709430404007E-14</v>
      </c>
      <c r="BZ194" s="13">
        <f>BY194*VLOOKUP('Données projet'!$B$12,Paramètres!$A$1:$I$89,3,0)*VLOOKUP('Données projet'!$B$12,Paramètres!$A$1:$I$89,5,0)</f>
        <v>2.4829205358400945E-14</v>
      </c>
      <c r="CA194" s="13">
        <f t="shared" si="170"/>
        <v>4.3867331143352915E-13</v>
      </c>
      <c r="CB194" s="20">
        <f t="shared" si="171"/>
        <v>8.0726688341261168E-13</v>
      </c>
      <c r="CC194" s="59">
        <f t="shared" si="119"/>
        <v>293.33333333333411</v>
      </c>
      <c r="CD194" s="59">
        <f ca="1">AVERAGE(OFFSET($CC$3,0,0,'Données projet'!$E$12+1,1))-AVERAGE(OFFSET($H$3,0,0,'Données projet'!$E$12+1,1))</f>
        <v>211.91720528436969</v>
      </c>
      <c r="CE194" s="59">
        <f t="shared" si="148"/>
        <v>218.88548486038957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8.6007395028508533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8.6007395028508533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4.8316906031686813E-13</v>
      </c>
      <c r="CU194" s="17">
        <f>CT194*VLOOKUP('Données projet'!$B$13,Paramètres!$A$1:$I$89,3,0)*VLOOKUP('Données projet'!$B$13,Paramètres!$A$1:$I$89,5,0)</f>
        <v>4.3717136577470225E-13</v>
      </c>
      <c r="CV194" s="13">
        <f t="shared" si="173"/>
        <v>5.5313598682231701E-12</v>
      </c>
      <c r="CW194" s="20">
        <f t="shared" si="174"/>
        <v>1.039519189921296E-11</v>
      </c>
      <c r="CX194" s="59">
        <f t="shared" si="122"/>
        <v>293.33333333334372</v>
      </c>
      <c r="CY194" s="59">
        <f ca="1">AVERAGE(OFFSET($CX$3,0,0,'Données projet'!$E$13+1,1))-AVERAGE(OFFSET($H$3,0,0,'Données projet'!$E$13+1,1))</f>
        <v>469.97161976912071</v>
      </c>
      <c r="CZ194" s="59">
        <f t="shared" si="150"/>
        <v>231.65013084759306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158.79692602261974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158.79692602261974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4.8316906031686813E-13</v>
      </c>
      <c r="DP194" s="17">
        <f>DO194*VLOOKUP('Données projet'!$B$14,Paramètres!$A$1:$I$89,3,0)*VLOOKUP('Données projet'!$B$14,Paramètres!$A$1:$I$89,5,0)</f>
        <v>4.6732111513847483E-13</v>
      </c>
      <c r="DQ194" s="13">
        <f t="shared" si="176"/>
        <v>5.8671100737071438E-12</v>
      </c>
      <c r="DR194" s="20">
        <f t="shared" si="177"/>
        <v>1.1032467653906121E-11</v>
      </c>
      <c r="DS194" s="59">
        <f t="shared" si="125"/>
        <v>293.33333333334434</v>
      </c>
      <c r="DT194" s="59">
        <f ca="1">AVERAGE(OFFSET($DS$3,0,0,'Données projet'!$E$14+1,1))-AVERAGE(OFFSET($H$3,0,0,'Données projet'!$E$14+1,1))</f>
        <v>506.9153247310901</v>
      </c>
      <c r="DU194" s="59">
        <f t="shared" si="152"/>
        <v>247.31254626788319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169.74843816211074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169.74843816211074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193.8828274189392</v>
      </c>
      <c r="T195" s="59">
        <f t="shared" si="142"/>
        <v>179.13381331066427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21.810548447662661</v>
      </c>
      <c r="AA195" s="21">
        <f>EXP(-LN(2)/25)*AA194+(1-EXP(-LN(2)/25))/(LN(2)/25)*Calculateur!V195*Calculateur!X195*VLOOKUP('Données projet'!$B$9,Paramètres!$A$1:$I$89,3,0)*0.475*44/12</f>
        <v>4.5957515226364523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26.406299970299113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-6.8212102632969618E-13</v>
      </c>
      <c r="AJ195" s="13">
        <f>AI195*VLOOKUP('Données projet'!$B$10,Paramètres!$A$1:$I$89,3,0)*VLOOKUP('Données projet'!$B$10,Paramètres!$A$1:$I$89,5,0)</f>
        <v>-4.0790837374515837E-13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228.36873053496748</v>
      </c>
      <c r="AO195" s="59">
        <f t="shared" si="144"/>
        <v>177.73676400313303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14.621581162489649</v>
      </c>
      <c r="AV195" s="21">
        <f>EXP(-LN(2)/25)*AV194+(1-EXP(-LN(2)/25))/(LN(2)/25)*Calculateur!AQ195*Calculateur!AS195*VLOOKUP('Données projet'!$B$10,Paramètres!$A$1:$I$89,3,0)*0.475*44/12</f>
        <v>2.9657389085812036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17.587320071070852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4.8993342716130437E-13</v>
      </c>
      <c r="BF195" s="13">
        <f t="shared" si="167"/>
        <v>6.1172634040517391E-12</v>
      </c>
      <c r="BG195" s="20">
        <f t="shared" si="168"/>
        <v>1.1507534481029384E-11</v>
      </c>
      <c r="BH195" s="59">
        <f t="shared" si="116"/>
        <v>293.3333333333448</v>
      </c>
      <c r="BI195" s="59">
        <f ca="1">AVERAGE(OFFSET($BH$3,0,0,'Données projet'!$E$11+1,1))-AVERAGE(OFFSET($H$3,0,0,'Données projet'!$E$11+1,1))</f>
        <v>534.59150243554586</v>
      </c>
      <c r="BJ195" s="59">
        <f t="shared" si="146"/>
        <v>259.04458689606491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174.47234457572452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174.47234457572452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2.8421709430404007E-14</v>
      </c>
      <c r="BZ195" s="13">
        <f>BY195*VLOOKUP('Données projet'!$B$12,Paramètres!$A$1:$I$89,3,0)*VLOOKUP('Données projet'!$B$12,Paramètres!$A$1:$I$89,5,0)</f>
        <v>2.4829205358400945E-14</v>
      </c>
      <c r="CA195" s="13">
        <f t="shared" si="170"/>
        <v>4.3867331143352915E-13</v>
      </c>
      <c r="CB195" s="20">
        <f t="shared" si="171"/>
        <v>8.0726688341261168E-13</v>
      </c>
      <c r="CC195" s="59">
        <f t="shared" si="119"/>
        <v>293.33333333333411</v>
      </c>
      <c r="CD195" s="59">
        <f ca="1">AVERAGE(OFFSET($CC$3,0,0,'Données projet'!$E$12+1,1))-AVERAGE(OFFSET($H$3,0,0,'Données projet'!$E$12+1,1))</f>
        <v>211.91720528436969</v>
      </c>
      <c r="CE195" s="59">
        <f t="shared" si="148"/>
        <v>218.88548486038957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8.4320842471330515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8.4320842471330515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4.8316906031686813E-13</v>
      </c>
      <c r="CU195" s="17">
        <f>CT195*VLOOKUP('Données projet'!$B$13,Paramètres!$A$1:$I$89,3,0)*VLOOKUP('Données projet'!$B$13,Paramètres!$A$1:$I$89,5,0)</f>
        <v>4.3717136577470225E-13</v>
      </c>
      <c r="CV195" s="13">
        <f t="shared" si="173"/>
        <v>5.5313598682231701E-12</v>
      </c>
      <c r="CW195" s="20">
        <f t="shared" si="174"/>
        <v>1.039519189921296E-11</v>
      </c>
      <c r="CX195" s="59">
        <f t="shared" si="122"/>
        <v>293.33333333334372</v>
      </c>
      <c r="CY195" s="59">
        <f ca="1">AVERAGE(OFFSET($CX$3,0,0,'Données projet'!$E$13+1,1))-AVERAGE(OFFSET($H$3,0,0,'Données projet'!$E$13+1,1))</f>
        <v>469.97161976912071</v>
      </c>
      <c r="CZ195" s="59">
        <f t="shared" si="150"/>
        <v>231.65013084759306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155.68301515987724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155.68301515987724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4.8316906031686813E-13</v>
      </c>
      <c r="DP195" s="17">
        <f>DO195*VLOOKUP('Données projet'!$B$14,Paramètres!$A$1:$I$89,3,0)*VLOOKUP('Données projet'!$B$14,Paramètres!$A$1:$I$89,5,0)</f>
        <v>4.6732111513847483E-13</v>
      </c>
      <c r="DQ195" s="13">
        <f t="shared" si="176"/>
        <v>5.8671100737071438E-12</v>
      </c>
      <c r="DR195" s="20">
        <f t="shared" si="177"/>
        <v>1.1032467653906121E-11</v>
      </c>
      <c r="DS195" s="59">
        <f t="shared" si="125"/>
        <v>293.33333333334434</v>
      </c>
      <c r="DT195" s="59">
        <f ca="1">AVERAGE(OFFSET($DS$3,0,0,'Données projet'!$E$14+1,1))-AVERAGE(OFFSET($H$3,0,0,'Données projet'!$E$14+1,1))</f>
        <v>506.9153247310901</v>
      </c>
      <c r="DU195" s="59">
        <f t="shared" si="152"/>
        <v>247.31254626788319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166.41977482607567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166.41977482607567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193.8828274189392</v>
      </c>
      <c r="T196" s="59">
        <f t="shared" si="142"/>
        <v>179.13381331066427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21.382856895724977</v>
      </c>
      <c r="AA196" s="21">
        <f>EXP(-LN(2)/25)*AA195+(1-EXP(-LN(2)/25))/(LN(2)/25)*Calculateur!V196*Calculateur!X196*VLOOKUP('Données projet'!$B$9,Paramètres!$A$1:$I$89,3,0)*0.475*44/12</f>
        <v>4.4700804555698896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25.852937351294866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-6.8212102632969618E-13</v>
      </c>
      <c r="AJ196" s="13">
        <f>AI196*VLOOKUP('Données projet'!$B$10,Paramètres!$A$1:$I$89,3,0)*VLOOKUP('Données projet'!$B$10,Paramètres!$A$1:$I$89,5,0)</f>
        <v>-4.0790837374515837E-13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228.36873053496748</v>
      </c>
      <c r="AO196" s="59">
        <f t="shared" si="144"/>
        <v>177.73676400313303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14.33486087417713</v>
      </c>
      <c r="AV196" s="21">
        <f>EXP(-LN(2)/25)*AV195+(1-EXP(-LN(2)/25))/(LN(2)/25)*Calculateur!AQ196*Calculateur!AS196*VLOOKUP('Données projet'!$B$10,Paramètres!$A$1:$I$89,3,0)*0.475*44/12</f>
        <v>2.8846406221646195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17.219501496341749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4.8993342716130437E-13</v>
      </c>
      <c r="BF196" s="13">
        <f t="shared" si="167"/>
        <v>6.1172634040517391E-12</v>
      </c>
      <c r="BG196" s="20">
        <f t="shared" si="168"/>
        <v>1.1507534481029384E-11</v>
      </c>
      <c r="BH196" s="59">
        <f t="shared" ref="BH196:BH203" si="194">BG196+(AY196+AZ196)*44/12</f>
        <v>293.3333333333448</v>
      </c>
      <c r="BI196" s="59">
        <f ca="1">AVERAGE(OFFSET($BH$3,0,0,'Données projet'!$E$11+1,1))-AVERAGE(OFFSET($H$3,0,0,'Données projet'!$E$11+1,1))</f>
        <v>534.59150243554586</v>
      </c>
      <c r="BJ196" s="59">
        <f t="shared" si="146"/>
        <v>259.04458689606491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171.05104831621688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171.05104831621688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2.8421709430404007E-14</v>
      </c>
      <c r="BZ196" s="13">
        <f>BY196*VLOOKUP('Données projet'!$B$12,Paramètres!$A$1:$I$89,3,0)*VLOOKUP('Données projet'!$B$12,Paramètres!$A$1:$I$89,5,0)</f>
        <v>2.4829205358400945E-14</v>
      </c>
      <c r="CA196" s="13">
        <f t="shared" si="170"/>
        <v>4.3867331143352915E-13</v>
      </c>
      <c r="CB196" s="20">
        <f t="shared" si="171"/>
        <v>8.0726688341261168E-13</v>
      </c>
      <c r="CC196" s="59">
        <f t="shared" ref="CC196:CC203" si="195">CB196+(BT196+BU196)*44/12</f>
        <v>293.33333333333411</v>
      </c>
      <c r="CD196" s="59">
        <f ca="1">AVERAGE(OFFSET($CC$3,0,0,'Données projet'!$E$12+1,1))-AVERAGE(OFFSET($H$3,0,0,'Données projet'!$E$12+1,1))</f>
        <v>211.91720528436969</v>
      </c>
      <c r="CE196" s="59">
        <f t="shared" si="148"/>
        <v>218.88548486038957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8.2667362181103279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8.2667362181103279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4.8316906031686813E-13</v>
      </c>
      <c r="CU196" s="17">
        <f>CT196*VLOOKUP('Données projet'!$B$13,Paramètres!$A$1:$I$89,3,0)*VLOOKUP('Données projet'!$B$13,Paramètres!$A$1:$I$89,5,0)</f>
        <v>4.3717136577470225E-13</v>
      </c>
      <c r="CV196" s="13">
        <f t="shared" si="173"/>
        <v>5.5313598682231701E-12</v>
      </c>
      <c r="CW196" s="20">
        <f t="shared" si="174"/>
        <v>1.039519189921296E-11</v>
      </c>
      <c r="CX196" s="59">
        <f t="shared" ref="CX196:CX203" si="196">CW196+(CO196+CP196)*44/12</f>
        <v>293.33333333334372</v>
      </c>
      <c r="CY196" s="59">
        <f ca="1">AVERAGE(OFFSET($CX$3,0,0,'Données projet'!$E$13+1,1))-AVERAGE(OFFSET($H$3,0,0,'Données projet'!$E$13+1,1))</f>
        <v>469.97161976912071</v>
      </c>
      <c r="CZ196" s="59">
        <f t="shared" si="150"/>
        <v>231.65013084759306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152.63016618985506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152.63016618985506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4.8316906031686813E-13</v>
      </c>
      <c r="DP196" s="17">
        <f>DO196*VLOOKUP('Données projet'!$B$14,Paramètres!$A$1:$I$89,3,0)*VLOOKUP('Données projet'!$B$14,Paramètres!$A$1:$I$89,5,0)</f>
        <v>4.6732111513847483E-13</v>
      </c>
      <c r="DQ196" s="13">
        <f t="shared" si="176"/>
        <v>5.8671100737071438E-12</v>
      </c>
      <c r="DR196" s="20">
        <f t="shared" si="177"/>
        <v>1.1032467653906121E-11</v>
      </c>
      <c r="DS196" s="59">
        <f t="shared" ref="DS196:DS203" si="197">DR196+(DJ196+DK196)*44/12</f>
        <v>293.33333333334434</v>
      </c>
      <c r="DT196" s="59">
        <f ca="1">AVERAGE(OFFSET($DS$3,0,0,'Données projet'!$E$14+1,1))-AVERAGE(OFFSET($H$3,0,0,'Données projet'!$E$14+1,1))</f>
        <v>506.9153247310901</v>
      </c>
      <c r="DU196" s="59">
        <f t="shared" si="152"/>
        <v>247.31254626788319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163.15638454777607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163.15638454777607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193.8828274189392</v>
      </c>
      <c r="T197" s="59">
        <f t="shared" ref="T197:T203" si="204">$T$3</f>
        <v>179.13381331066427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20.9635521142547</v>
      </c>
      <c r="AA197" s="21">
        <f>EXP(-LN(2)/25)*AA196+(1-EXP(-LN(2)/25))/(LN(2)/25)*Calculateur!V197*Calculateur!X197*VLOOKUP('Données projet'!$B$9,Paramètres!$A$1:$I$89,3,0)*0.475*44/12</f>
        <v>4.3478458704410166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25.311397984695716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-6.8212102632969618E-13</v>
      </c>
      <c r="AJ197" s="13">
        <f>AI197*VLOOKUP('Données projet'!$B$10,Paramètres!$A$1:$I$89,3,0)*VLOOKUP('Données projet'!$B$10,Paramètres!$A$1:$I$89,5,0)</f>
        <v>-4.0790837374515837E-13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228.36873053496748</v>
      </c>
      <c r="AO197" s="59">
        <f t="shared" ref="AO197:AO203" si="205">$AO$3</f>
        <v>177.73676400313303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14.05376299583631</v>
      </c>
      <c r="AV197" s="21">
        <f>EXP(-LN(2)/25)*AV196+(1-EXP(-LN(2)/25))/(LN(2)/25)*Calculateur!AQ197*Calculateur!AS197*VLOOKUP('Données projet'!$B$10,Paramètres!$A$1:$I$89,3,0)*0.475*44/12</f>
        <v>2.8057599726548705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16.859522968491181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4.8993342716130437E-13</v>
      </c>
      <c r="BF197" s="13">
        <f t="shared" si="167"/>
        <v>6.1172634040517391E-12</v>
      </c>
      <c r="BG197" s="20">
        <f t="shared" si="168"/>
        <v>1.1507534481029384E-11</v>
      </c>
      <c r="BH197" s="59">
        <f t="shared" si="194"/>
        <v>293.3333333333448</v>
      </c>
      <c r="BI197" s="59">
        <f ca="1">AVERAGE(OFFSET($BH$3,0,0,'Données projet'!$E$11+1,1))-AVERAGE(OFFSET($H$3,0,0,'Données projet'!$E$11+1,1))</f>
        <v>534.59150243554586</v>
      </c>
      <c r="BJ197" s="59">
        <f t="shared" ref="BJ197:BJ203" si="206">$BJ$3</f>
        <v>259.04458689606491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167.69684158957352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167.69684158957352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2.8421709430404007E-14</v>
      </c>
      <c r="BZ197" s="13">
        <f>BY197*VLOOKUP('Données projet'!$B$12,Paramètres!$A$1:$I$89,3,0)*VLOOKUP('Données projet'!$B$12,Paramètres!$A$1:$I$89,5,0)</f>
        <v>2.4829205358400945E-14</v>
      </c>
      <c r="CA197" s="13">
        <f t="shared" si="170"/>
        <v>4.3867331143352915E-13</v>
      </c>
      <c r="CB197" s="20">
        <f t="shared" si="171"/>
        <v>8.0726688341261168E-13</v>
      </c>
      <c r="CC197" s="59">
        <f t="shared" si="195"/>
        <v>293.33333333333411</v>
      </c>
      <c r="CD197" s="59">
        <f ca="1">AVERAGE(OFFSET($CC$3,0,0,'Données projet'!$E$12+1,1))-AVERAGE(OFFSET($H$3,0,0,'Données projet'!$E$12+1,1))</f>
        <v>211.91720528436969</v>
      </c>
      <c r="CE197" s="59">
        <f t="shared" ref="CE197:CE203" si="207">$CE$3</f>
        <v>218.88548486038957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8.1046305630844007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8.1046305630844007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4.8316906031686813E-13</v>
      </c>
      <c r="CU197" s="17">
        <f>CT197*VLOOKUP('Données projet'!$B$13,Paramètres!$A$1:$I$89,3,0)*VLOOKUP('Données projet'!$B$13,Paramètres!$A$1:$I$89,5,0)</f>
        <v>4.3717136577470225E-13</v>
      </c>
      <c r="CV197" s="13">
        <f t="shared" si="173"/>
        <v>5.5313598682231701E-12</v>
      </c>
      <c r="CW197" s="20">
        <f t="shared" si="174"/>
        <v>1.039519189921296E-11</v>
      </c>
      <c r="CX197" s="59">
        <f t="shared" si="196"/>
        <v>293.33333333334372</v>
      </c>
      <c r="CY197" s="59">
        <f ca="1">AVERAGE(OFFSET($CX$3,0,0,'Données projet'!$E$13+1,1))-AVERAGE(OFFSET($H$3,0,0,'Données projet'!$E$13+1,1))</f>
        <v>469.97161976912071</v>
      </c>
      <c r="CZ197" s="59">
        <f t="shared" ref="CZ197:CZ203" si="208">$CZ$3</f>
        <v>231.65013084759306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149.637181726081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149.637181726081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4.8316906031686813E-13</v>
      </c>
      <c r="DP197" s="17">
        <f>DO197*VLOOKUP('Données projet'!$B$14,Paramètres!$A$1:$I$89,3,0)*VLOOKUP('Données projet'!$B$14,Paramètres!$A$1:$I$89,5,0)</f>
        <v>4.6732111513847483E-13</v>
      </c>
      <c r="DQ197" s="13">
        <f t="shared" si="176"/>
        <v>5.8671100737071438E-12</v>
      </c>
      <c r="DR197" s="20">
        <f t="shared" si="177"/>
        <v>1.1032467653906121E-11</v>
      </c>
      <c r="DS197" s="59">
        <f t="shared" si="197"/>
        <v>293.33333333334434</v>
      </c>
      <c r="DT197" s="59">
        <f ca="1">AVERAGE(OFFSET($DS$3,0,0,'Données projet'!$E$14+1,1))-AVERAGE(OFFSET($H$3,0,0,'Données projet'!$E$14+1,1))</f>
        <v>506.9153247310901</v>
      </c>
      <c r="DU197" s="59">
        <f t="shared" ref="DU197:DU203" si="209">$DU$3</f>
        <v>247.31254626788319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159.95698736236241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159.95698736236241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193.8828274189392</v>
      </c>
      <c r="T198" s="59">
        <f t="shared" si="204"/>
        <v>179.13381331066427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20.552469643798393</v>
      </c>
      <c r="AA198" s="21">
        <f>EXP(-LN(2)/25)*AA197+(1-EXP(-LN(2)/25))/(LN(2)/25)*Calculateur!V198*Calculateur!X198*VLOOKUP('Données projet'!$B$9,Paramètres!$A$1:$I$89,3,0)*0.475*44/12</f>
        <v>4.2289537964705302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24.781423440268924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-6.8212102632969618E-13</v>
      </c>
      <c r="AJ198" s="13">
        <f>AI198*VLOOKUP('Données projet'!$B$10,Paramètres!$A$1:$I$89,3,0)*VLOOKUP('Données projet'!$B$10,Paramètres!$A$1:$I$89,5,0)</f>
        <v>-4.0790837374515837E-13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228.36873053496748</v>
      </c>
      <c r="AO198" s="59">
        <f t="shared" si="205"/>
        <v>177.73676400313303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13.778177275436978</v>
      </c>
      <c r="AV198" s="21">
        <f>EXP(-LN(2)/25)*AV197+(1-EXP(-LN(2)/25))/(LN(2)/25)*Calculateur!AQ198*Calculateur!AS198*VLOOKUP('Données projet'!$B$10,Paramètres!$A$1:$I$89,3,0)*0.475*44/12</f>
        <v>2.7290363186541189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16.507213594091098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4.8993342716130437E-13</v>
      </c>
      <c r="BF198" s="13">
        <f t="shared" si="167"/>
        <v>6.1172634040517391E-12</v>
      </c>
      <c r="BG198" s="20">
        <f t="shared" si="168"/>
        <v>1.1507534481029384E-11</v>
      </c>
      <c r="BH198" s="59">
        <f t="shared" si="194"/>
        <v>293.3333333333448</v>
      </c>
      <c r="BI198" s="59">
        <f ca="1">AVERAGE(OFFSET($BH$3,0,0,'Données projet'!$E$11+1,1))-AVERAGE(OFFSET($H$3,0,0,'Données projet'!$E$11+1,1))</f>
        <v>534.59150243554586</v>
      </c>
      <c r="BJ198" s="59">
        <f t="shared" si="206"/>
        <v>259.04458689606491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164.40840881097554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164.40840881097554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2.8421709430404007E-14</v>
      </c>
      <c r="BZ198" s="13">
        <f>BY198*VLOOKUP('Données projet'!$B$12,Paramètres!$A$1:$I$89,3,0)*VLOOKUP('Données projet'!$B$12,Paramètres!$A$1:$I$89,5,0)</f>
        <v>2.4829205358400945E-14</v>
      </c>
      <c r="CA198" s="13">
        <f t="shared" si="170"/>
        <v>4.3867331143352915E-13</v>
      </c>
      <c r="CB198" s="20">
        <f t="shared" si="171"/>
        <v>8.0726688341261168E-13</v>
      </c>
      <c r="CC198" s="59">
        <f t="shared" si="195"/>
        <v>293.33333333333411</v>
      </c>
      <c r="CD198" s="59">
        <f ca="1">AVERAGE(OFFSET($CC$3,0,0,'Données projet'!$E$12+1,1))-AVERAGE(OFFSET($H$3,0,0,'Données projet'!$E$12+1,1))</f>
        <v>211.91720528436969</v>
      </c>
      <c r="CE198" s="59">
        <f t="shared" si="207"/>
        <v>218.88548486038957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7.9457037010788447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7.9457037010788447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4.8316906031686813E-13</v>
      </c>
      <c r="CU198" s="17">
        <f>CT198*VLOOKUP('Données projet'!$B$13,Paramètres!$A$1:$I$89,3,0)*VLOOKUP('Données projet'!$B$13,Paramètres!$A$1:$I$89,5,0)</f>
        <v>4.3717136577470225E-13</v>
      </c>
      <c r="CV198" s="13">
        <f t="shared" si="173"/>
        <v>5.5313598682231701E-12</v>
      </c>
      <c r="CW198" s="20">
        <f t="shared" si="174"/>
        <v>1.039519189921296E-11</v>
      </c>
      <c r="CX198" s="59">
        <f t="shared" si="196"/>
        <v>293.33333333334372</v>
      </c>
      <c r="CY198" s="59">
        <f ca="1">AVERAGE(OFFSET($CX$3,0,0,'Données projet'!$E$13+1,1))-AVERAGE(OFFSET($H$3,0,0,'Données projet'!$E$13+1,1))</f>
        <v>469.97161976912071</v>
      </c>
      <c r="CZ198" s="59">
        <f t="shared" si="208"/>
        <v>231.65013084759306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146.70288786210128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146.70288786210128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4.8316906031686813E-13</v>
      </c>
      <c r="DP198" s="17">
        <f>DO198*VLOOKUP('Données projet'!$B$14,Paramètres!$A$1:$I$89,3,0)*VLOOKUP('Données projet'!$B$14,Paramètres!$A$1:$I$89,5,0)</f>
        <v>4.6732111513847483E-13</v>
      </c>
      <c r="DQ198" s="13">
        <f t="shared" si="176"/>
        <v>5.8671100737071438E-12</v>
      </c>
      <c r="DR198" s="20">
        <f t="shared" si="177"/>
        <v>1.1032467653906121E-11</v>
      </c>
      <c r="DS198" s="59">
        <f t="shared" si="197"/>
        <v>293.33333333334434</v>
      </c>
      <c r="DT198" s="59">
        <f ca="1">AVERAGE(OFFSET($DS$3,0,0,'Données projet'!$E$14+1,1))-AVERAGE(OFFSET($H$3,0,0,'Données projet'!$E$14+1,1))</f>
        <v>506.9153247310901</v>
      </c>
      <c r="DU198" s="59">
        <f t="shared" si="209"/>
        <v>247.31254626788319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156.82032840431512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156.82032840431512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193.8828274189392</v>
      </c>
      <c r="T199" s="59">
        <f t="shared" si="204"/>
        <v>179.13381331066427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20.149448249852185</v>
      </c>
      <c r="AA199" s="21">
        <f>EXP(-LN(2)/25)*AA198+(1-EXP(-LN(2)/25))/(LN(2)/25)*Calculateur!V199*Calculateur!X199*VLOOKUP('Données projet'!$B$9,Paramètres!$A$1:$I$89,3,0)*0.475*44/12</f>
        <v>4.113312832515029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24.262761082367213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-6.8212102632969618E-13</v>
      </c>
      <c r="AJ199" s="13">
        <f>AI199*VLOOKUP('Données projet'!$B$10,Paramètres!$A$1:$I$89,3,0)*VLOOKUP('Données projet'!$B$10,Paramètres!$A$1:$I$89,5,0)</f>
        <v>-4.0790837374515837E-13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228.36873053496748</v>
      </c>
      <c r="AO199" s="59">
        <f t="shared" si="205"/>
        <v>177.73676400313303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13.507995622923984</v>
      </c>
      <c r="AV199" s="21">
        <f>EXP(-LN(2)/25)*AV198+(1-EXP(-LN(2)/25))/(LN(2)/25)*Calculateur!AQ199*Calculateur!AS199*VLOOKUP('Données projet'!$B$10,Paramètres!$A$1:$I$89,3,0)*0.475*44/12</f>
        <v>2.6544106770067395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16.162406299930723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4.8993342716130437E-13</v>
      </c>
      <c r="BF199" s="13">
        <f t="shared" si="167"/>
        <v>6.1172634040517391E-12</v>
      </c>
      <c r="BG199" s="20">
        <f t="shared" si="168"/>
        <v>1.1507534481029384E-11</v>
      </c>
      <c r="BH199" s="59">
        <f t="shared" si="194"/>
        <v>293.3333333333448</v>
      </c>
      <c r="BI199" s="59">
        <f ca="1">AVERAGE(OFFSET($BH$3,0,0,'Données projet'!$E$11+1,1))-AVERAGE(OFFSET($H$3,0,0,'Données projet'!$E$11+1,1))</f>
        <v>534.59150243554586</v>
      </c>
      <c r="BJ199" s="59">
        <f t="shared" si="206"/>
        <v>259.04458689606491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161.18446019341994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161.18446019341994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2.8421709430404007E-14</v>
      </c>
      <c r="BZ199" s="13">
        <f>BY199*VLOOKUP('Données projet'!$B$12,Paramètres!$A$1:$I$89,3,0)*VLOOKUP('Données projet'!$B$12,Paramètres!$A$1:$I$89,5,0)</f>
        <v>2.4829205358400945E-14</v>
      </c>
      <c r="CA199" s="13">
        <f t="shared" si="170"/>
        <v>4.3867331143352915E-13</v>
      </c>
      <c r="CB199" s="20">
        <f t="shared" si="171"/>
        <v>8.0726688341261168E-13</v>
      </c>
      <c r="CC199" s="59">
        <f t="shared" si="195"/>
        <v>293.33333333333411</v>
      </c>
      <c r="CD199" s="59">
        <f ca="1">AVERAGE(OFFSET($CC$3,0,0,'Données projet'!$E$12+1,1))-AVERAGE(OFFSET($H$3,0,0,'Données projet'!$E$12+1,1))</f>
        <v>211.91720528436969</v>
      </c>
      <c r="CE199" s="59">
        <f t="shared" si="207"/>
        <v>218.88548486038957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7.7898932979014042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7.7898932979014042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4.8316906031686813E-13</v>
      </c>
      <c r="CU199" s="17">
        <f>CT199*VLOOKUP('Données projet'!$B$13,Paramètres!$A$1:$I$89,3,0)*VLOOKUP('Données projet'!$B$13,Paramètres!$A$1:$I$89,5,0)</f>
        <v>4.3717136577470225E-13</v>
      </c>
      <c r="CV199" s="13">
        <f t="shared" si="173"/>
        <v>5.5313598682231701E-12</v>
      </c>
      <c r="CW199" s="20">
        <f t="shared" si="174"/>
        <v>1.039519189921296E-11</v>
      </c>
      <c r="CX199" s="59">
        <f t="shared" si="196"/>
        <v>293.33333333334372</v>
      </c>
      <c r="CY199" s="59">
        <f ca="1">AVERAGE(OFFSET($CX$3,0,0,'Données projet'!$E$13+1,1))-AVERAGE(OFFSET($H$3,0,0,'Données projet'!$E$13+1,1))</f>
        <v>469.97161976912071</v>
      </c>
      <c r="CZ199" s="59">
        <f t="shared" si="208"/>
        <v>231.65013084759306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143.82613371105165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143.82613371105165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4.8316906031686813E-13</v>
      </c>
      <c r="DP199" s="17">
        <f>DO199*VLOOKUP('Données projet'!$B$14,Paramètres!$A$1:$I$89,3,0)*VLOOKUP('Données projet'!$B$14,Paramètres!$A$1:$I$89,5,0)</f>
        <v>4.6732111513847483E-13</v>
      </c>
      <c r="DQ199" s="13">
        <f t="shared" si="176"/>
        <v>5.8671100737071438E-12</v>
      </c>
      <c r="DR199" s="20">
        <f t="shared" si="177"/>
        <v>1.1032467653906121E-11</v>
      </c>
      <c r="DS199" s="59">
        <f t="shared" si="197"/>
        <v>293.33333333334434</v>
      </c>
      <c r="DT199" s="59">
        <f ca="1">AVERAGE(OFFSET($DS$3,0,0,'Données projet'!$E$14+1,1))-AVERAGE(OFFSET($H$3,0,0,'Données projet'!$E$14+1,1))</f>
        <v>506.9153247310901</v>
      </c>
      <c r="DU199" s="59">
        <f t="shared" si="209"/>
        <v>247.31254626788319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153.74517741526208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153.74517741526208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193.8828274189392</v>
      </c>
      <c r="T200" s="59">
        <f t="shared" si="204"/>
        <v>179.13381331066427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19.754329859622484</v>
      </c>
      <c r="AA200" s="21">
        <f>EXP(-LN(2)/25)*AA199+(1-EXP(-LN(2)/25))/(LN(2)/25)*Calculateur!V200*Calculateur!X200*VLOOKUP('Données projet'!$B$9,Paramètres!$A$1:$I$89,3,0)*0.475*44/12</f>
        <v>4.0008340768001851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23.755163936422669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-6.8212102632969618E-13</v>
      </c>
      <c r="AJ200" s="13">
        <f>AI200*VLOOKUP('Données projet'!$B$10,Paramètres!$A$1:$I$89,3,0)*VLOOKUP('Données projet'!$B$10,Paramètres!$A$1:$I$89,5,0)</f>
        <v>-4.0790837374515837E-13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228.36873053496748</v>
      </c>
      <c r="AO200" s="59">
        <f t="shared" si="205"/>
        <v>177.73676400313303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13.243112067822235</v>
      </c>
      <c r="AV200" s="21">
        <f>EXP(-LN(2)/25)*AV199+(1-EXP(-LN(2)/25))/(LN(2)/25)*Calculateur!AQ200*Calculateur!AS200*VLOOKUP('Données projet'!$B$10,Paramètres!$A$1:$I$89,3,0)*0.475*44/12</f>
        <v>2.5818256774545993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15.824937745276834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4.8993342716130437E-13</v>
      </c>
      <c r="BF200" s="13">
        <f t="shared" si="167"/>
        <v>6.1172634040517391E-12</v>
      </c>
      <c r="BG200" s="20">
        <f t="shared" si="168"/>
        <v>1.1507534481029384E-11</v>
      </c>
      <c r="BH200" s="59">
        <f t="shared" si="194"/>
        <v>293.3333333333448</v>
      </c>
      <c r="BI200" s="59">
        <f ca="1">AVERAGE(OFFSET($BH$3,0,0,'Données projet'!$E$11+1,1))-AVERAGE(OFFSET($H$3,0,0,'Données projet'!$E$11+1,1))</f>
        <v>534.59150243554586</v>
      </c>
      <c r="BJ200" s="59">
        <f t="shared" si="206"/>
        <v>259.04458689606491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158.0237312418401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158.0237312418401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2.8421709430404007E-14</v>
      </c>
      <c r="BZ200" s="13">
        <f>BY200*VLOOKUP('Données projet'!$B$12,Paramètres!$A$1:$I$89,3,0)*VLOOKUP('Données projet'!$B$12,Paramètres!$A$1:$I$89,5,0)</f>
        <v>2.4829205358400945E-14</v>
      </c>
      <c r="CA200" s="13">
        <f t="shared" si="170"/>
        <v>4.3867331143352915E-13</v>
      </c>
      <c r="CB200" s="20">
        <f t="shared" si="171"/>
        <v>8.0726688341261168E-13</v>
      </c>
      <c r="CC200" s="59">
        <f t="shared" si="195"/>
        <v>293.33333333333411</v>
      </c>
      <c r="CD200" s="59">
        <f ca="1">AVERAGE(OFFSET($CC$3,0,0,'Données projet'!$E$12+1,1))-AVERAGE(OFFSET($H$3,0,0,'Données projet'!$E$12+1,1))</f>
        <v>211.91720528436969</v>
      </c>
      <c r="CE200" s="59">
        <f t="shared" si="207"/>
        <v>218.88548486038957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7.6371382416953111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7.6371382416953111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4.8316906031686813E-13</v>
      </c>
      <c r="CU200" s="17">
        <f>CT200*VLOOKUP('Données projet'!$B$13,Paramètres!$A$1:$I$89,3,0)*VLOOKUP('Données projet'!$B$13,Paramètres!$A$1:$I$89,5,0)</f>
        <v>4.3717136577470225E-13</v>
      </c>
      <c r="CV200" s="13">
        <f t="shared" si="173"/>
        <v>5.5313598682231701E-12</v>
      </c>
      <c r="CW200" s="20">
        <f t="shared" si="174"/>
        <v>1.039519189921296E-11</v>
      </c>
      <c r="CX200" s="59">
        <f t="shared" si="196"/>
        <v>293.33333333334372</v>
      </c>
      <c r="CY200" s="59">
        <f ca="1">AVERAGE(OFFSET($CX$3,0,0,'Données projet'!$E$13+1,1))-AVERAGE(OFFSET($H$3,0,0,'Données projet'!$E$13+1,1))</f>
        <v>469.97161976912071</v>
      </c>
      <c r="CZ200" s="59">
        <f t="shared" si="208"/>
        <v>231.65013084759306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141.00579095425735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141.00579095425735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4.8316906031686813E-13</v>
      </c>
      <c r="DP200" s="17">
        <f>DO200*VLOOKUP('Données projet'!$B$14,Paramètres!$A$1:$I$89,3,0)*VLOOKUP('Données projet'!$B$14,Paramètres!$A$1:$I$89,5,0)</f>
        <v>4.6732111513847483E-13</v>
      </c>
      <c r="DQ200" s="13">
        <f t="shared" si="176"/>
        <v>5.8671100737071438E-12</v>
      </c>
      <c r="DR200" s="20">
        <f t="shared" si="177"/>
        <v>1.1032467653906121E-11</v>
      </c>
      <c r="DS200" s="59">
        <f t="shared" si="197"/>
        <v>293.33333333334434</v>
      </c>
      <c r="DT200" s="59">
        <f ca="1">AVERAGE(OFFSET($DS$3,0,0,'Données projet'!$E$14+1,1))-AVERAGE(OFFSET($H$3,0,0,'Données projet'!$E$14+1,1))</f>
        <v>506.9153247310901</v>
      </c>
      <c r="DU200" s="59">
        <f t="shared" si="209"/>
        <v>247.31254626788319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150.73032826144748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150.73032826144748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193.8828274189392</v>
      </c>
      <c r="T201" s="59">
        <f t="shared" si="204"/>
        <v>179.13381331066427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19.366959500026766</v>
      </c>
      <c r="AA201" s="21">
        <f>EXP(-LN(2)/25)*AA200+(1-EXP(-LN(2)/25))/(LN(2)/25)*Calculateur!V201*Calculateur!X201*VLOOKUP('Données projet'!$B$9,Paramètres!$A$1:$I$89,3,0)*0.475*44/12</f>
        <v>3.891431058575364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23.25839055860213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-6.8212102632969618E-13</v>
      </c>
      <c r="AJ201" s="13">
        <f>AI201*VLOOKUP('Données projet'!$B$10,Paramètres!$A$1:$I$89,3,0)*VLOOKUP('Données projet'!$B$10,Paramètres!$A$1:$I$89,5,0)</f>
        <v>-4.0790837374515837E-13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228.36873053496748</v>
      </c>
      <c r="AO201" s="59">
        <f t="shared" si="205"/>
        <v>177.73676400313303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12.983422717673015</v>
      </c>
      <c r="AV201" s="21">
        <f>EXP(-LN(2)/25)*AV200+(1-EXP(-LN(2)/25))/(LN(2)/25)*Calculateur!AQ201*Calculateur!AS201*VLOOKUP('Données projet'!$B$10,Paramètres!$A$1:$I$89,3,0)*0.475*44/12</f>
        <v>2.5112255185322918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15.494648236205308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4.8993342716130437E-13</v>
      </c>
      <c r="BF201" s="13">
        <f t="shared" si="167"/>
        <v>6.1172634040517391E-12</v>
      </c>
      <c r="BG201" s="20">
        <f t="shared" si="168"/>
        <v>1.1507534481029384E-11</v>
      </c>
      <c r="BH201" s="59">
        <f t="shared" si="194"/>
        <v>293.3333333333448</v>
      </c>
      <c r="BI201" s="59">
        <f ca="1">AVERAGE(OFFSET($BH$3,0,0,'Données projet'!$E$11+1,1))-AVERAGE(OFFSET($H$3,0,0,'Données projet'!$E$11+1,1))</f>
        <v>534.59150243554586</v>
      </c>
      <c r="BJ201" s="59">
        <f t="shared" si="206"/>
        <v>259.04458689606491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154.92498225714644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154.92498225714644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2.8421709430404007E-14</v>
      </c>
      <c r="BZ201" s="13">
        <f>BY201*VLOOKUP('Données projet'!$B$12,Paramètres!$A$1:$I$89,3,0)*VLOOKUP('Données projet'!$B$12,Paramètres!$A$1:$I$89,5,0)</f>
        <v>2.4829205358400945E-14</v>
      </c>
      <c r="CA201" s="13">
        <f t="shared" si="170"/>
        <v>4.3867331143352915E-13</v>
      </c>
      <c r="CB201" s="20">
        <f t="shared" si="171"/>
        <v>8.0726688341261168E-13</v>
      </c>
      <c r="CC201" s="59">
        <f t="shared" si="195"/>
        <v>293.33333333333411</v>
      </c>
      <c r="CD201" s="59">
        <f ca="1">AVERAGE(OFFSET($CC$3,0,0,'Données projet'!$E$12+1,1))-AVERAGE(OFFSET($H$3,0,0,'Données projet'!$E$12+1,1))</f>
        <v>211.91720528436969</v>
      </c>
      <c r="CE201" s="59">
        <f t="shared" si="207"/>
        <v>218.88548486038957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7.4873786189700349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7.4873786189700349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4.8316906031686813E-13</v>
      </c>
      <c r="CU201" s="17">
        <f>CT201*VLOOKUP('Données projet'!$B$13,Paramètres!$A$1:$I$89,3,0)*VLOOKUP('Données projet'!$B$13,Paramètres!$A$1:$I$89,5,0)</f>
        <v>4.3717136577470225E-13</v>
      </c>
      <c r="CV201" s="13">
        <f t="shared" si="173"/>
        <v>5.5313598682231701E-12</v>
      </c>
      <c r="CW201" s="20">
        <f t="shared" si="174"/>
        <v>1.039519189921296E-11</v>
      </c>
      <c r="CX201" s="59">
        <f t="shared" si="196"/>
        <v>293.33333333334372</v>
      </c>
      <c r="CY201" s="59">
        <f ca="1">AVERAGE(OFFSET($CX$3,0,0,'Données projet'!$E$13+1,1))-AVERAGE(OFFSET($H$3,0,0,'Données projet'!$E$13+1,1))</f>
        <v>469.97161976912071</v>
      </c>
      <c r="CZ201" s="59">
        <f t="shared" si="208"/>
        <v>231.65013084759306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138.24075339868455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138.24075339868455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4.8316906031686813E-13</v>
      </c>
      <c r="DP201" s="17">
        <f>DO201*VLOOKUP('Données projet'!$B$14,Paramètres!$A$1:$I$89,3,0)*VLOOKUP('Données projet'!$B$14,Paramètres!$A$1:$I$89,5,0)</f>
        <v>4.6732111513847483E-13</v>
      </c>
      <c r="DQ201" s="13">
        <f t="shared" si="176"/>
        <v>5.8671100737071438E-12</v>
      </c>
      <c r="DR201" s="20">
        <f t="shared" si="177"/>
        <v>1.1032467653906121E-11</v>
      </c>
      <c r="DS201" s="59">
        <f t="shared" si="197"/>
        <v>293.33333333334434</v>
      </c>
      <c r="DT201" s="59">
        <f ca="1">AVERAGE(OFFSET($DS$3,0,0,'Données projet'!$E$14+1,1))-AVERAGE(OFFSET($H$3,0,0,'Données projet'!$E$14+1,1))</f>
        <v>506.9153247310901</v>
      </c>
      <c r="DU201" s="59">
        <f t="shared" si="209"/>
        <v>247.31254626788319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147.77459846066276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147.77459846066276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193.8828274189392</v>
      </c>
      <c r="T202" s="59">
        <f t="shared" si="204"/>
        <v>179.13381331066427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18.987185236910133</v>
      </c>
      <c r="AA202" s="21">
        <f>EXP(-LN(2)/25)*AA201+(1-EXP(-LN(2)/25))/(LN(2)/25)*Calculateur!V202*Calculateur!X202*VLOOKUP('Données projet'!$B$9,Paramètres!$A$1:$I$89,3,0)*0.475*44/12</f>
        <v>3.7850196716371554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22.772204908547288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-6.8212102632969618E-13</v>
      </c>
      <c r="AJ202" s="13">
        <f>AI202*VLOOKUP('Données projet'!$B$10,Paramètres!$A$1:$I$89,3,0)*VLOOKUP('Données projet'!$B$10,Paramètres!$A$1:$I$89,5,0)</f>
        <v>-4.0790837374515837E-13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228.36873053496748</v>
      </c>
      <c r="AO202" s="59">
        <f t="shared" si="205"/>
        <v>177.73676400313303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12.728825717285359</v>
      </c>
      <c r="AV202" s="21">
        <f>EXP(-LN(2)/25)*AV201+(1-EXP(-LN(2)/25))/(LN(2)/25)*Calculateur!AQ202*Calculateur!AS202*VLOOKUP('Données projet'!$B$10,Paramètres!$A$1:$I$89,3,0)*0.475*44/12</f>
        <v>2.4425559246684156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15.171381641953774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4.8993342716130437E-13</v>
      </c>
      <c r="BF202" s="13">
        <f t="shared" si="167"/>
        <v>6.1172634040517391E-12</v>
      </c>
      <c r="BG202" s="20">
        <f t="shared" si="168"/>
        <v>1.1507534481029384E-11</v>
      </c>
      <c r="BH202" s="59">
        <f t="shared" si="194"/>
        <v>293.3333333333448</v>
      </c>
      <c r="BI202" s="59">
        <f ca="1">AVERAGE(OFFSET($BH$3,0,0,'Données projet'!$E$11+1,1))-AVERAGE(OFFSET($H$3,0,0,'Données projet'!$E$11+1,1))</f>
        <v>534.59150243554586</v>
      </c>
      <c r="BJ202" s="59">
        <f t="shared" si="206"/>
        <v>259.04458689606491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151.88699784999238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151.88699784999238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2.8421709430404007E-14</v>
      </c>
      <c r="BZ202" s="13">
        <f>BY202*VLOOKUP('Données projet'!$B$12,Paramètres!$A$1:$I$89,3,0)*VLOOKUP('Données projet'!$B$12,Paramètres!$A$1:$I$89,5,0)</f>
        <v>2.4829205358400945E-14</v>
      </c>
      <c r="CA202" s="13">
        <f t="shared" si="170"/>
        <v>4.3867331143352915E-13</v>
      </c>
      <c r="CB202" s="20">
        <f t="shared" si="171"/>
        <v>8.0726688341261168E-13</v>
      </c>
      <c r="CC202" s="59">
        <f t="shared" si="195"/>
        <v>293.33333333333411</v>
      </c>
      <c r="CD202" s="59">
        <f ca="1">AVERAGE(OFFSET($CC$3,0,0,'Données projet'!$E$12+1,1))-AVERAGE(OFFSET($H$3,0,0,'Données projet'!$E$12+1,1))</f>
        <v>211.91720528436969</v>
      </c>
      <c r="CE202" s="59">
        <f t="shared" si="207"/>
        <v>218.88548486038957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7.3405556911020513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7.3405556911020513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4.8316906031686813E-13</v>
      </c>
      <c r="CU202" s="17">
        <f>CT202*VLOOKUP('Données projet'!$B$13,Paramètres!$A$1:$I$89,3,0)*VLOOKUP('Données projet'!$B$13,Paramètres!$A$1:$I$89,5,0)</f>
        <v>4.3717136577470225E-13</v>
      </c>
      <c r="CV202" s="13">
        <f t="shared" si="173"/>
        <v>5.5313598682231701E-12</v>
      </c>
      <c r="CW202" s="20">
        <f t="shared" si="174"/>
        <v>1.039519189921296E-11</v>
      </c>
      <c r="CX202" s="59">
        <f t="shared" si="196"/>
        <v>293.33333333334372</v>
      </c>
      <c r="CY202" s="59">
        <f ca="1">AVERAGE(OFFSET($CX$3,0,0,'Données projet'!$E$13+1,1))-AVERAGE(OFFSET($H$3,0,0,'Données projet'!$E$13+1,1))</f>
        <v>469.97161976912071</v>
      </c>
      <c r="CZ202" s="59">
        <f t="shared" si="208"/>
        <v>231.65013084759306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135.52993654307016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135.52993654307016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4.8316906031686813E-13</v>
      </c>
      <c r="DP202" s="17">
        <f>DO202*VLOOKUP('Données projet'!$B$14,Paramètres!$A$1:$I$89,3,0)*VLOOKUP('Données projet'!$B$14,Paramètres!$A$1:$I$89,5,0)</f>
        <v>4.6732111513847483E-13</v>
      </c>
      <c r="DQ202" s="13">
        <f t="shared" si="176"/>
        <v>5.8671100737071438E-12</v>
      </c>
      <c r="DR202" s="20">
        <f t="shared" si="177"/>
        <v>1.1032467653906121E-11</v>
      </c>
      <c r="DS202" s="59">
        <f t="shared" si="197"/>
        <v>293.33333333334434</v>
      </c>
      <c r="DT202" s="59">
        <f ca="1">AVERAGE(OFFSET($DS$3,0,0,'Données projet'!$E$14+1,1))-AVERAGE(OFFSET($H$3,0,0,'Données projet'!$E$14+1,1))</f>
        <v>506.9153247310901</v>
      </c>
      <c r="DU202" s="59">
        <f t="shared" si="209"/>
        <v>247.31254626788319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144.87682871845428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144.87682871845428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193.8828274189392</v>
      </c>
      <c r="T203" s="59">
        <f t="shared" si="204"/>
        <v>179.13381331066427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18.614858115453785</v>
      </c>
      <c r="AA203" s="21">
        <f>EXP(-LN(2)/25)*AA202+(1-EXP(-LN(2)/25))/(LN(2)/25)*Calculateur!V203*Calculateur!X203*VLOOKUP('Données projet'!$B$9,Paramètres!$A$1:$I$89,3,0)*0.475*44/12</f>
        <v>3.6815181096707037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22.29637622512449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-6.8212102632969618E-13</v>
      </c>
      <c r="AJ203" s="13">
        <f>AI203*VLOOKUP('Données projet'!$B$10,Paramètres!$A$1:$I$89,3,0)*VLOOKUP('Données projet'!$B$10,Paramètres!$A$1:$I$89,5,0)</f>
        <v>-4.0790837374515837E-13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228.36873053496748</v>
      </c>
      <c r="AO203" s="59">
        <f t="shared" si="205"/>
        <v>177.73676400313303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12.479221208786466</v>
      </c>
      <c r="AV203" s="21">
        <f>EXP(-LN(2)/25)*AV202+(1-EXP(-LN(2)/25))/(LN(2)/25)*Calculateur!AQ203*Calculateur!AS203*VLOOKUP('Données projet'!$B$10,Paramètres!$A$1:$I$89,3,0)*0.475*44/12</f>
        <v>2.3757641044599245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14.854985313246392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4.8993342716130437E-13</v>
      </c>
      <c r="BF203" s="13">
        <f t="shared" si="167"/>
        <v>6.1172634040517391E-12</v>
      </c>
      <c r="BG203" s="20">
        <f t="shared" si="168"/>
        <v>1.1507534481029384E-11</v>
      </c>
      <c r="BH203" s="59">
        <f t="shared" si="194"/>
        <v>293.3333333333448</v>
      </c>
      <c r="BI203" s="59">
        <f ca="1">AVERAGE(OFFSET($BH$3,0,0,'Données projet'!$E$11+1,1))-AVERAGE(OFFSET($H$3,0,0,'Données projet'!$E$11+1,1))</f>
        <v>534.59150243554586</v>
      </c>
      <c r="BJ203" s="59">
        <f t="shared" si="206"/>
        <v>259.04458689606491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148.90858646407509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148.90858646407509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2.8421709430404007E-14</v>
      </c>
      <c r="BZ203" s="13">
        <f>BY203*VLOOKUP('Données projet'!$B$12,Paramètres!$A$1:$I$89,3,0)*VLOOKUP('Données projet'!$B$12,Paramètres!$A$1:$I$89,5,0)</f>
        <v>2.4829205358400945E-14</v>
      </c>
      <c r="CA203" s="13">
        <f t="shared" si="170"/>
        <v>4.3867331143352915E-13</v>
      </c>
      <c r="CB203" s="20">
        <f t="shared" si="171"/>
        <v>8.0726688341261168E-13</v>
      </c>
      <c r="CC203" s="59">
        <f t="shared" si="195"/>
        <v>293.33333333333411</v>
      </c>
      <c r="CD203" s="59">
        <f ca="1">AVERAGE(OFFSET($CC$3,0,0,'Données projet'!$E$12+1,1))-AVERAGE(OFFSET($H$3,0,0,'Données projet'!$E$12+1,1))</f>
        <v>211.91720528436969</v>
      </c>
      <c r="CE203" s="59">
        <f t="shared" si="207"/>
        <v>218.88548486038957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7.1966118712964153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7.1966118712964153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4.8316906031686813E-13</v>
      </c>
      <c r="CU203" s="17">
        <f>CT203*VLOOKUP('Données projet'!$B$13,Paramètres!$A$1:$I$89,3,0)*VLOOKUP('Données projet'!$B$13,Paramètres!$A$1:$I$89,5,0)</f>
        <v>4.3717136577470225E-13</v>
      </c>
      <c r="CV203" s="13">
        <f t="shared" si="173"/>
        <v>5.5313598682231701E-12</v>
      </c>
      <c r="CW203" s="20">
        <f t="shared" si="174"/>
        <v>1.039519189921296E-11</v>
      </c>
      <c r="CX203" s="59">
        <f t="shared" si="196"/>
        <v>293.33333333334372</v>
      </c>
      <c r="CY203" s="59">
        <f ca="1">AVERAGE(OFFSET($CX$3,0,0,'Données projet'!$E$13+1,1))-AVERAGE(OFFSET($H$3,0,0,'Données projet'!$E$13+1,1))</f>
        <v>469.97161976912071</v>
      </c>
      <c r="CZ203" s="59">
        <f t="shared" si="208"/>
        <v>231.65013084759306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132.87227715255935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132.87227715255935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4.8316906031686813E-13</v>
      </c>
      <c r="DP203" s="17">
        <f>DO203*VLOOKUP('Données projet'!$B$14,Paramètres!$A$1:$I$89,3,0)*VLOOKUP('Données projet'!$B$14,Paramètres!$A$1:$I$89,5,0)</f>
        <v>4.6732111513847483E-13</v>
      </c>
      <c r="DQ203" s="13">
        <f t="shared" si="176"/>
        <v>5.8671100737071438E-12</v>
      </c>
      <c r="DR203" s="20">
        <f t="shared" si="177"/>
        <v>1.1032467653906121E-11</v>
      </c>
      <c r="DS203" s="59">
        <f t="shared" si="197"/>
        <v>293.33333333334434</v>
      </c>
      <c r="DT203" s="59">
        <f ca="1">AVERAGE(OFFSET($DS$3,0,0,'Données projet'!$E$14+1,1))-AVERAGE(OFFSET($H$3,0,0,'Données projet'!$E$14+1,1))</f>
        <v>506.9153247310901</v>
      </c>
      <c r="DU203" s="59">
        <f t="shared" si="209"/>
        <v>247.31254626788319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142.03588247342549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142.03588247342549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104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104</v>
      </c>
      <c r="BA204" s="81" t="s">
        <v>104</v>
      </c>
      <c r="BV204" s="81" t="s">
        <v>104</v>
      </c>
      <c r="CQ204" s="81" t="s">
        <v>104</v>
      </c>
      <c r="DL204" s="81" t="s">
        <v>104</v>
      </c>
      <c r="EG204" s="81" t="s">
        <v>104</v>
      </c>
      <c r="FB204" s="81" t="s">
        <v>104</v>
      </c>
      <c r="FW204" s="81" t="s">
        <v>104</v>
      </c>
      <c r="GR204" s="81" t="s">
        <v>104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1.1254079121910827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1.2104960804879272</v>
      </c>
      <c r="BA205" s="82">
        <f>EXP(LN('Données projet'!B88)/'Données projet'!A88)</f>
        <v>1.1289835501862808</v>
      </c>
      <c r="BV205" s="82">
        <f>EXP(LN('Données projet'!B114)/'Données projet'!A114)</f>
        <v>1.1577536725165907</v>
      </c>
      <c r="CQ205" s="82">
        <f>EXP(LN('Données projet'!B140)/'Données projet'!A140)</f>
        <v>1.1289835501862808</v>
      </c>
      <c r="DL205" s="82">
        <f>EXP(LN('Données projet'!B166)/'Données projet'!A166)</f>
        <v>1.1289835501862808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554687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5546875" style="4" bestFit="1" customWidth="1"/>
    <col min="7" max="7" width="11.44140625" style="4" bestFit="1" customWidth="1"/>
    <col min="8" max="8" width="39" style="4" bestFit="1" customWidth="1"/>
    <col min="9" max="9" width="16.554687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105</v>
      </c>
      <c r="B1" s="112" t="s">
        <v>106</v>
      </c>
      <c r="C1" s="113" t="s">
        <v>107</v>
      </c>
      <c r="D1" s="112" t="s">
        <v>108</v>
      </c>
      <c r="E1" s="113" t="s">
        <v>109</v>
      </c>
      <c r="F1" s="113" t="s">
        <v>108</v>
      </c>
      <c r="G1" s="113" t="s">
        <v>110</v>
      </c>
      <c r="H1" s="113" t="s">
        <v>108</v>
      </c>
      <c r="I1" s="114" t="s">
        <v>111</v>
      </c>
      <c r="J1" s="78"/>
      <c r="K1" s="78"/>
      <c r="L1" s="78"/>
      <c r="M1" s="78"/>
      <c r="N1" s="78"/>
    </row>
    <row r="2" spans="1:16" x14ac:dyDescent="0.3">
      <c r="A2" s="115" t="s">
        <v>28</v>
      </c>
      <c r="B2" s="116" t="s">
        <v>112</v>
      </c>
      <c r="C2" s="117">
        <v>0.62</v>
      </c>
      <c r="D2" s="117" t="s">
        <v>113</v>
      </c>
      <c r="E2" s="117">
        <v>1.56</v>
      </c>
      <c r="F2" s="117" t="s">
        <v>114</v>
      </c>
      <c r="G2" s="118">
        <v>0.43</v>
      </c>
      <c r="H2" s="119" t="s">
        <v>115</v>
      </c>
      <c r="I2" s="120">
        <v>0.25</v>
      </c>
      <c r="J2" s="78"/>
      <c r="K2" s="78"/>
      <c r="L2" s="78"/>
      <c r="M2" s="78"/>
      <c r="N2" s="78"/>
      <c r="O2" s="289" t="s">
        <v>116</v>
      </c>
      <c r="P2" s="121">
        <v>0</v>
      </c>
    </row>
    <row r="3" spans="1:16" ht="15" thickBot="1" x14ac:dyDescent="0.35">
      <c r="A3" s="122" t="s">
        <v>117</v>
      </c>
      <c r="B3" s="123" t="s">
        <v>118</v>
      </c>
      <c r="C3" s="124">
        <v>0.64</v>
      </c>
      <c r="D3" s="124" t="s">
        <v>113</v>
      </c>
      <c r="E3" s="124">
        <v>1.56</v>
      </c>
      <c r="F3" s="125" t="s">
        <v>114</v>
      </c>
      <c r="G3" s="126">
        <v>0.43</v>
      </c>
      <c r="H3" s="124" t="s">
        <v>115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119</v>
      </c>
      <c r="B4" s="123" t="s">
        <v>120</v>
      </c>
      <c r="C4" s="124">
        <v>0.42</v>
      </c>
      <c r="D4" s="124" t="s">
        <v>113</v>
      </c>
      <c r="E4" s="124">
        <v>1.56</v>
      </c>
      <c r="F4" s="125" t="s">
        <v>114</v>
      </c>
      <c r="G4" s="126">
        <v>0.43</v>
      </c>
      <c r="H4" s="124" t="s">
        <v>115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121</v>
      </c>
      <c r="B5" s="123" t="s">
        <v>122</v>
      </c>
      <c r="C5" s="124">
        <v>0.42</v>
      </c>
      <c r="D5" s="124" t="s">
        <v>113</v>
      </c>
      <c r="E5" s="124">
        <v>1.56</v>
      </c>
      <c r="F5" s="125" t="s">
        <v>114</v>
      </c>
      <c r="G5" s="126">
        <v>0.43</v>
      </c>
      <c r="H5" s="124" t="s">
        <v>115</v>
      </c>
      <c r="I5" s="127">
        <v>0.25</v>
      </c>
      <c r="J5" s="78"/>
      <c r="K5" s="78"/>
      <c r="L5" s="78"/>
      <c r="M5" s="78"/>
      <c r="N5" s="78"/>
      <c r="O5" s="289" t="s">
        <v>123</v>
      </c>
      <c r="P5" s="121">
        <v>0</v>
      </c>
    </row>
    <row r="6" spans="1:16" x14ac:dyDescent="0.3">
      <c r="A6" s="122" t="s">
        <v>124</v>
      </c>
      <c r="B6" s="123" t="s">
        <v>125</v>
      </c>
      <c r="C6" s="124">
        <v>0.42</v>
      </c>
      <c r="D6" s="124" t="s">
        <v>113</v>
      </c>
      <c r="E6" s="124">
        <v>1.56</v>
      </c>
      <c r="F6" s="125" t="s">
        <v>114</v>
      </c>
      <c r="G6" s="126">
        <v>0.43</v>
      </c>
      <c r="H6" s="124" t="s">
        <v>115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126</v>
      </c>
      <c r="B7" s="123" t="s">
        <v>127</v>
      </c>
      <c r="C7" s="124">
        <v>0.52</v>
      </c>
      <c r="D7" s="124" t="s">
        <v>113</v>
      </c>
      <c r="E7" s="124">
        <v>1.56</v>
      </c>
      <c r="F7" s="125" t="s">
        <v>114</v>
      </c>
      <c r="G7" s="126">
        <v>0.43</v>
      </c>
      <c r="H7" s="124" t="s">
        <v>115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128</v>
      </c>
      <c r="B8" s="123" t="s">
        <v>129</v>
      </c>
      <c r="C8" s="124">
        <v>0.36</v>
      </c>
      <c r="D8" s="124" t="s">
        <v>113</v>
      </c>
      <c r="E8" s="124">
        <v>1.3</v>
      </c>
      <c r="F8" s="125" t="s">
        <v>114</v>
      </c>
      <c r="G8" s="126">
        <v>0.55000000000000004</v>
      </c>
      <c r="H8" s="124" t="s">
        <v>130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131</v>
      </c>
      <c r="B9" s="123" t="s">
        <v>132</v>
      </c>
      <c r="C9" s="124">
        <v>0.61</v>
      </c>
      <c r="D9" s="124" t="s">
        <v>113</v>
      </c>
      <c r="E9" s="124">
        <v>1.56</v>
      </c>
      <c r="F9" s="125" t="s">
        <v>114</v>
      </c>
      <c r="G9" s="126">
        <v>0.43</v>
      </c>
      <c r="H9" s="124" t="s">
        <v>115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133</v>
      </c>
      <c r="B10" s="123" t="s">
        <v>134</v>
      </c>
      <c r="C10" s="124">
        <v>0.66</v>
      </c>
      <c r="D10" s="124" t="s">
        <v>113</v>
      </c>
      <c r="E10" s="124">
        <v>1.56</v>
      </c>
      <c r="F10" s="125" t="s">
        <v>114</v>
      </c>
      <c r="G10" s="126">
        <v>0.43</v>
      </c>
      <c r="H10" s="124" t="s">
        <v>115</v>
      </c>
      <c r="I10" s="127">
        <v>0.25</v>
      </c>
      <c r="J10" s="78"/>
      <c r="K10" s="78"/>
      <c r="L10" s="78"/>
      <c r="M10" s="78"/>
      <c r="N10" s="78"/>
      <c r="O10" s="289" t="s">
        <v>135</v>
      </c>
      <c r="P10" s="121">
        <v>0</v>
      </c>
    </row>
    <row r="11" spans="1:16" ht="15" thickBot="1" x14ac:dyDescent="0.35">
      <c r="A11" s="122" t="s">
        <v>136</v>
      </c>
      <c r="B11" s="123" t="s">
        <v>137</v>
      </c>
      <c r="C11" s="124">
        <v>0.47</v>
      </c>
      <c r="D11" s="124" t="s">
        <v>113</v>
      </c>
      <c r="E11" s="124">
        <v>1.56</v>
      </c>
      <c r="F11" s="125" t="s">
        <v>114</v>
      </c>
      <c r="G11" s="126">
        <v>0.43</v>
      </c>
      <c r="H11" s="124" t="s">
        <v>115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138</v>
      </c>
      <c r="B12" s="123" t="s">
        <v>139</v>
      </c>
      <c r="C12" s="124">
        <v>0.67</v>
      </c>
      <c r="D12" s="124" t="s">
        <v>113</v>
      </c>
      <c r="E12" s="124">
        <v>1.56</v>
      </c>
      <c r="F12" s="125" t="s">
        <v>114</v>
      </c>
      <c r="G12" s="126">
        <v>0.43</v>
      </c>
      <c r="H12" s="124" t="s">
        <v>140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141</v>
      </c>
      <c r="B13" s="123" t="s">
        <v>142</v>
      </c>
      <c r="C13" s="124">
        <v>0.7</v>
      </c>
      <c r="D13" s="124" t="s">
        <v>113</v>
      </c>
      <c r="E13" s="124">
        <v>1.56</v>
      </c>
      <c r="F13" s="125" t="s">
        <v>114</v>
      </c>
      <c r="G13" s="126">
        <v>0.43</v>
      </c>
      <c r="H13" s="124" t="s">
        <v>140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143</v>
      </c>
      <c r="B14" s="123" t="s">
        <v>144</v>
      </c>
      <c r="C14" s="124">
        <v>0.54</v>
      </c>
      <c r="D14" s="124" t="s">
        <v>113</v>
      </c>
      <c r="E14" s="124">
        <v>1.56</v>
      </c>
      <c r="F14" s="125" t="s">
        <v>114</v>
      </c>
      <c r="G14" s="126">
        <v>0.43</v>
      </c>
      <c r="H14" s="124" t="s">
        <v>140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22</v>
      </c>
      <c r="B15" s="123" t="s">
        <v>145</v>
      </c>
      <c r="C15" s="124">
        <v>0.65</v>
      </c>
      <c r="D15" s="124" t="s">
        <v>113</v>
      </c>
      <c r="E15" s="124">
        <v>1.56</v>
      </c>
      <c r="F15" s="125" t="s">
        <v>114</v>
      </c>
      <c r="G15" s="126">
        <v>0.43</v>
      </c>
      <c r="H15" s="124" t="s">
        <v>140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146</v>
      </c>
      <c r="B16" s="123" t="s">
        <v>147</v>
      </c>
      <c r="C16" s="124">
        <v>0.56000000000000005</v>
      </c>
      <c r="D16" s="124" t="s">
        <v>113</v>
      </c>
      <c r="E16" s="124">
        <v>1.56</v>
      </c>
      <c r="F16" s="125" t="s">
        <v>114</v>
      </c>
      <c r="G16" s="126">
        <v>0.43</v>
      </c>
      <c r="H16" s="124" t="s">
        <v>140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26</v>
      </c>
      <c r="B17" s="123" t="s">
        <v>148</v>
      </c>
      <c r="C17" s="124">
        <v>0.57999999999999996</v>
      </c>
      <c r="D17" s="124" t="s">
        <v>113</v>
      </c>
      <c r="E17" s="124">
        <v>1.56</v>
      </c>
      <c r="F17" s="125" t="s">
        <v>114</v>
      </c>
      <c r="G17" s="126">
        <v>0.43</v>
      </c>
      <c r="H17" s="124" t="s">
        <v>140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149</v>
      </c>
      <c r="B18" s="123" t="s">
        <v>150</v>
      </c>
      <c r="C18" s="124">
        <v>0.64</v>
      </c>
      <c r="D18" s="124" t="s">
        <v>113</v>
      </c>
      <c r="E18" s="124">
        <v>1.56</v>
      </c>
      <c r="F18" s="125" t="s">
        <v>114</v>
      </c>
      <c r="G18" s="126">
        <v>0.43</v>
      </c>
      <c r="H18" s="124" t="s">
        <v>140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151</v>
      </c>
      <c r="B19" s="123" t="s">
        <v>152</v>
      </c>
      <c r="C19" s="124">
        <v>0.73</v>
      </c>
      <c r="D19" s="124" t="s">
        <v>113</v>
      </c>
      <c r="E19" s="124">
        <v>1.56</v>
      </c>
      <c r="F19" s="125" t="s">
        <v>114</v>
      </c>
      <c r="G19" s="126">
        <v>0.43</v>
      </c>
      <c r="H19" s="124" t="s">
        <v>140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114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157</v>
      </c>
      <c r="B21" s="123" t="s">
        <v>158</v>
      </c>
      <c r="C21" s="124">
        <v>0.36</v>
      </c>
      <c r="D21" s="124" t="s">
        <v>113</v>
      </c>
      <c r="E21" s="124">
        <v>1.3</v>
      </c>
      <c r="F21" s="125" t="s">
        <v>114</v>
      </c>
      <c r="G21" s="126">
        <v>0.55000000000000004</v>
      </c>
      <c r="H21" s="124" t="s">
        <v>130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159</v>
      </c>
      <c r="B22" s="123" t="s">
        <v>160</v>
      </c>
      <c r="C22" s="124">
        <v>0.4</v>
      </c>
      <c r="D22" s="124" t="s">
        <v>113</v>
      </c>
      <c r="E22" s="124">
        <v>1.3</v>
      </c>
      <c r="F22" s="125" t="s">
        <v>114</v>
      </c>
      <c r="G22" s="126">
        <v>0.55000000000000004</v>
      </c>
      <c r="H22" s="124" t="s">
        <v>130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161</v>
      </c>
      <c r="B23" s="123" t="s">
        <v>162</v>
      </c>
      <c r="C23" s="124">
        <v>0.43</v>
      </c>
      <c r="D23" s="124" t="s">
        <v>113</v>
      </c>
      <c r="E23" s="124">
        <v>1.3</v>
      </c>
      <c r="F23" s="125" t="s">
        <v>114</v>
      </c>
      <c r="G23" s="126">
        <v>0.55000000000000004</v>
      </c>
      <c r="H23" s="124" t="s">
        <v>130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163</v>
      </c>
      <c r="B24" s="123" t="s">
        <v>164</v>
      </c>
      <c r="C24" s="124">
        <v>0.37</v>
      </c>
      <c r="D24" s="124" t="s">
        <v>113</v>
      </c>
      <c r="E24" s="124">
        <v>1.3</v>
      </c>
      <c r="F24" s="125" t="s">
        <v>114</v>
      </c>
      <c r="G24" s="126">
        <v>0.55000000000000004</v>
      </c>
      <c r="H24" s="124" t="s">
        <v>140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165</v>
      </c>
      <c r="B25" s="123" t="s">
        <v>166</v>
      </c>
      <c r="C25" s="124">
        <v>0.36</v>
      </c>
      <c r="D25" s="124" t="s">
        <v>113</v>
      </c>
      <c r="E25" s="124">
        <v>1.3</v>
      </c>
      <c r="F25" s="125" t="s">
        <v>114</v>
      </c>
      <c r="G25" s="126">
        <v>0.55000000000000004</v>
      </c>
      <c r="H25" s="124" t="s">
        <v>140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24</v>
      </c>
      <c r="B26" s="123" t="s">
        <v>167</v>
      </c>
      <c r="C26" s="124">
        <v>0.56000000000000005</v>
      </c>
      <c r="D26" s="124" t="s">
        <v>113</v>
      </c>
      <c r="E26" s="124">
        <v>1.56</v>
      </c>
      <c r="F26" s="125" t="s">
        <v>114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169</v>
      </c>
      <c r="B27" s="123" t="s">
        <v>170</v>
      </c>
      <c r="C27" s="124">
        <v>0.51</v>
      </c>
      <c r="D27" s="124" t="s">
        <v>113</v>
      </c>
      <c r="E27" s="124">
        <v>1.56</v>
      </c>
      <c r="F27" s="125" t="s">
        <v>114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171</v>
      </c>
      <c r="B28" s="123" t="s">
        <v>172</v>
      </c>
      <c r="C28" s="124">
        <v>0.51</v>
      </c>
      <c r="D28" s="124" t="s">
        <v>113</v>
      </c>
      <c r="E28" s="124">
        <v>1.56</v>
      </c>
      <c r="F28" s="125" t="s">
        <v>114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173</v>
      </c>
      <c r="B29" s="123" t="s">
        <v>173</v>
      </c>
      <c r="C29" s="124">
        <v>0.56000000000000005</v>
      </c>
      <c r="D29" s="124" t="s">
        <v>113</v>
      </c>
      <c r="E29" s="124">
        <v>1.56</v>
      </c>
      <c r="F29" s="125" t="s">
        <v>114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174</v>
      </c>
      <c r="B30" s="123" t="s">
        <v>175</v>
      </c>
      <c r="C30" s="124">
        <v>0.55000000000000004</v>
      </c>
      <c r="D30" s="124" t="s">
        <v>113</v>
      </c>
      <c r="E30" s="124">
        <v>1.56</v>
      </c>
      <c r="F30" s="125" t="s">
        <v>114</v>
      </c>
      <c r="G30" s="126">
        <v>0.53</v>
      </c>
      <c r="H30" s="124" t="s">
        <v>140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176</v>
      </c>
      <c r="B31" s="123" t="s">
        <v>177</v>
      </c>
      <c r="C31" s="124">
        <v>0.56000000000000005</v>
      </c>
      <c r="D31" s="124" t="s">
        <v>113</v>
      </c>
      <c r="E31" s="124">
        <v>1.56</v>
      </c>
      <c r="F31" s="125" t="s">
        <v>114</v>
      </c>
      <c r="G31" s="126">
        <v>0.43</v>
      </c>
      <c r="H31" s="124" t="s">
        <v>115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178</v>
      </c>
      <c r="B32" s="123" t="s">
        <v>179</v>
      </c>
      <c r="C32" s="124">
        <v>0.48</v>
      </c>
      <c r="D32" s="124" t="s">
        <v>113</v>
      </c>
      <c r="E32" s="124">
        <v>1.3</v>
      </c>
      <c r="F32" s="125" t="s">
        <v>114</v>
      </c>
      <c r="G32" s="126">
        <v>0.6</v>
      </c>
      <c r="H32" s="124" t="s">
        <v>180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181</v>
      </c>
      <c r="B33" s="123" t="s">
        <v>182</v>
      </c>
      <c r="C33" s="124">
        <v>0.42</v>
      </c>
      <c r="D33" s="124" t="s">
        <v>113</v>
      </c>
      <c r="E33" s="124">
        <v>1.3</v>
      </c>
      <c r="F33" s="125" t="s">
        <v>114</v>
      </c>
      <c r="G33" s="126">
        <v>0.6</v>
      </c>
      <c r="H33" s="124" t="s">
        <v>180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183</v>
      </c>
      <c r="B34" s="123" t="s">
        <v>184</v>
      </c>
      <c r="C34" s="124">
        <v>0.42</v>
      </c>
      <c r="D34" s="124" t="s">
        <v>185</v>
      </c>
      <c r="E34" s="124">
        <v>1.3</v>
      </c>
      <c r="F34" s="125" t="s">
        <v>114</v>
      </c>
      <c r="G34" s="126">
        <v>0.6</v>
      </c>
      <c r="H34" s="123" t="s">
        <v>186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187</v>
      </c>
      <c r="B35" s="123" t="s">
        <v>188</v>
      </c>
      <c r="C35" s="124">
        <v>0.5</v>
      </c>
      <c r="D35" s="124" t="s">
        <v>113</v>
      </c>
      <c r="E35" s="124">
        <v>1.56</v>
      </c>
      <c r="F35" s="125" t="s">
        <v>114</v>
      </c>
      <c r="G35" s="126">
        <v>0.43</v>
      </c>
      <c r="H35" s="124" t="s">
        <v>115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189</v>
      </c>
      <c r="B36" s="123" t="s">
        <v>190</v>
      </c>
      <c r="C36" s="124">
        <v>0.55000000000000004</v>
      </c>
      <c r="D36" s="124" t="s">
        <v>113</v>
      </c>
      <c r="E36" s="124">
        <v>1.56</v>
      </c>
      <c r="F36" s="125" t="s">
        <v>114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191</v>
      </c>
      <c r="B37" s="123" t="s">
        <v>192</v>
      </c>
      <c r="C37" s="124">
        <v>0.52</v>
      </c>
      <c r="D37" s="124" t="s">
        <v>113</v>
      </c>
      <c r="E37" s="124">
        <v>1.56</v>
      </c>
      <c r="F37" s="125" t="s">
        <v>114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193</v>
      </c>
      <c r="B38" s="123" t="s">
        <v>194</v>
      </c>
      <c r="C38" s="124">
        <v>0.52</v>
      </c>
      <c r="D38" s="124" t="s">
        <v>113</v>
      </c>
      <c r="E38" s="124">
        <v>1.56</v>
      </c>
      <c r="F38" s="125" t="s">
        <v>114</v>
      </c>
      <c r="G38" s="126">
        <v>0.43</v>
      </c>
      <c r="H38" s="124" t="s">
        <v>115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195</v>
      </c>
      <c r="B39" s="123" t="s">
        <v>196</v>
      </c>
      <c r="C39" s="124">
        <v>0.313</v>
      </c>
      <c r="D39" s="124" t="s">
        <v>197</v>
      </c>
      <c r="E39" s="124">
        <v>1.56</v>
      </c>
      <c r="F39" s="125" t="s">
        <v>114</v>
      </c>
      <c r="G39" s="126">
        <v>0.6</v>
      </c>
      <c r="H39" s="124" t="s">
        <v>198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199</v>
      </c>
      <c r="B40" s="123" t="s">
        <v>196</v>
      </c>
      <c r="C40" s="124">
        <v>0.35199999999999998</v>
      </c>
      <c r="D40" s="124" t="s">
        <v>197</v>
      </c>
      <c r="E40" s="124">
        <v>1.56</v>
      </c>
      <c r="F40" s="125" t="s">
        <v>114</v>
      </c>
      <c r="G40" s="126">
        <v>0.6</v>
      </c>
      <c r="H40" s="124" t="s">
        <v>198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200</v>
      </c>
      <c r="B41" s="123" t="s">
        <v>196</v>
      </c>
      <c r="C41" s="124">
        <v>0.32200000000000001</v>
      </c>
      <c r="D41" s="124" t="s">
        <v>197</v>
      </c>
      <c r="E41" s="124">
        <v>1.56</v>
      </c>
      <c r="F41" s="125" t="s">
        <v>114</v>
      </c>
      <c r="G41" s="126">
        <v>0.6</v>
      </c>
      <c r="H41" s="124" t="s">
        <v>198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201</v>
      </c>
      <c r="B42" s="123" t="s">
        <v>196</v>
      </c>
      <c r="C42" s="124">
        <v>0.311</v>
      </c>
      <c r="D42" s="124" t="s">
        <v>197</v>
      </c>
      <c r="E42" s="124">
        <v>1.56</v>
      </c>
      <c r="F42" s="125" t="s">
        <v>114</v>
      </c>
      <c r="G42" s="126">
        <v>0.6</v>
      </c>
      <c r="H42" s="124" t="s">
        <v>198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202</v>
      </c>
      <c r="B43" s="123" t="s">
        <v>196</v>
      </c>
      <c r="C43" s="124">
        <v>0.33900000000000002</v>
      </c>
      <c r="D43" s="124" t="s">
        <v>197</v>
      </c>
      <c r="E43" s="124">
        <v>1.56</v>
      </c>
      <c r="F43" s="125" t="s">
        <v>114</v>
      </c>
      <c r="G43" s="126">
        <v>0.6</v>
      </c>
      <c r="H43" s="124" t="s">
        <v>198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203</v>
      </c>
      <c r="B44" s="123" t="s">
        <v>196</v>
      </c>
      <c r="C44" s="124">
        <v>0.33600000000000002</v>
      </c>
      <c r="D44" s="124" t="s">
        <v>197</v>
      </c>
      <c r="E44" s="124">
        <v>1.56</v>
      </c>
      <c r="F44" s="125" t="s">
        <v>114</v>
      </c>
      <c r="G44" s="126">
        <v>0.6</v>
      </c>
      <c r="H44" s="124" t="s">
        <v>198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204</v>
      </c>
      <c r="B45" s="123" t="s">
        <v>196</v>
      </c>
      <c r="C45" s="124">
        <v>0.32900000000000001</v>
      </c>
      <c r="D45" s="124" t="s">
        <v>197</v>
      </c>
      <c r="E45" s="124">
        <v>1.56</v>
      </c>
      <c r="F45" s="125" t="s">
        <v>114</v>
      </c>
      <c r="G45" s="126">
        <v>0.6</v>
      </c>
      <c r="H45" s="124" t="s">
        <v>198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205</v>
      </c>
      <c r="B46" s="123" t="s">
        <v>196</v>
      </c>
      <c r="C46" s="124">
        <v>0.34300000000000003</v>
      </c>
      <c r="D46" s="124" t="s">
        <v>197</v>
      </c>
      <c r="E46" s="124">
        <v>1.56</v>
      </c>
      <c r="F46" s="125" t="s">
        <v>114</v>
      </c>
      <c r="G46" s="126">
        <v>0.6</v>
      </c>
      <c r="H46" s="124" t="s">
        <v>198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206</v>
      </c>
      <c r="B47" s="123" t="s">
        <v>196</v>
      </c>
      <c r="C47" s="124">
        <v>0.32500000000000001</v>
      </c>
      <c r="D47" s="124" t="s">
        <v>197</v>
      </c>
      <c r="E47" s="124">
        <v>1.56</v>
      </c>
      <c r="F47" s="125" t="s">
        <v>114</v>
      </c>
      <c r="G47" s="126">
        <v>0.6</v>
      </c>
      <c r="H47" s="124" t="s">
        <v>198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207</v>
      </c>
      <c r="B48" s="123" t="s">
        <v>196</v>
      </c>
      <c r="C48" s="124">
        <v>0.32</v>
      </c>
      <c r="D48" s="124" t="s">
        <v>197</v>
      </c>
      <c r="E48" s="124">
        <v>1.56</v>
      </c>
      <c r="F48" s="125" t="s">
        <v>114</v>
      </c>
      <c r="G48" s="126">
        <v>0.6</v>
      </c>
      <c r="H48" s="124" t="s">
        <v>198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208</v>
      </c>
      <c r="B49" s="123" t="s">
        <v>196</v>
      </c>
      <c r="C49" s="124">
        <v>0.28199999999999997</v>
      </c>
      <c r="D49" s="124" t="s">
        <v>197</v>
      </c>
      <c r="E49" s="124">
        <v>1.56</v>
      </c>
      <c r="F49" s="125" t="s">
        <v>114</v>
      </c>
      <c r="G49" s="126">
        <v>0.6</v>
      </c>
      <c r="H49" s="124" t="s">
        <v>198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209</v>
      </c>
      <c r="B50" s="123" t="s">
        <v>196</v>
      </c>
      <c r="C50" s="124">
        <v>0.32800000000000001</v>
      </c>
      <c r="D50" s="124" t="s">
        <v>197</v>
      </c>
      <c r="E50" s="124">
        <v>1.56</v>
      </c>
      <c r="F50" s="125" t="s">
        <v>114</v>
      </c>
      <c r="G50" s="126">
        <v>0.6</v>
      </c>
      <c r="H50" s="124" t="s">
        <v>198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210</v>
      </c>
      <c r="B51" s="123" t="s">
        <v>196</v>
      </c>
      <c r="C51" s="124">
        <v>0.32600000000000001</v>
      </c>
      <c r="D51" s="124" t="s">
        <v>197</v>
      </c>
      <c r="E51" s="124">
        <v>1.56</v>
      </c>
      <c r="F51" s="125" t="s">
        <v>114</v>
      </c>
      <c r="G51" s="126">
        <v>0.6</v>
      </c>
      <c r="H51" s="124" t="s">
        <v>198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211</v>
      </c>
      <c r="B52" s="123" t="s">
        <v>196</v>
      </c>
      <c r="C52" s="124">
        <v>0.35899999999999999</v>
      </c>
      <c r="D52" s="124" t="s">
        <v>197</v>
      </c>
      <c r="E52" s="124">
        <v>1.56</v>
      </c>
      <c r="F52" s="125" t="s">
        <v>114</v>
      </c>
      <c r="G52" s="126">
        <v>0.6</v>
      </c>
      <c r="H52" s="124" t="s">
        <v>198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212</v>
      </c>
      <c r="B53" s="123" t="s">
        <v>196</v>
      </c>
      <c r="C53" s="124">
        <v>0.34599999999999997</v>
      </c>
      <c r="D53" s="124" t="s">
        <v>197</v>
      </c>
      <c r="E53" s="124">
        <v>1.56</v>
      </c>
      <c r="F53" s="125" t="s">
        <v>114</v>
      </c>
      <c r="G53" s="126">
        <v>0.6</v>
      </c>
      <c r="H53" s="124" t="s">
        <v>198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213</v>
      </c>
      <c r="B54" s="123" t="s">
        <v>196</v>
      </c>
      <c r="C54" s="124">
        <v>0.32600000000000001</v>
      </c>
      <c r="D54" s="124" t="s">
        <v>197</v>
      </c>
      <c r="E54" s="124">
        <v>1.56</v>
      </c>
      <c r="F54" s="125" t="s">
        <v>114</v>
      </c>
      <c r="G54" s="126">
        <v>0.6</v>
      </c>
      <c r="H54" s="124" t="s">
        <v>198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214</v>
      </c>
      <c r="B55" s="123" t="s">
        <v>196</v>
      </c>
      <c r="C55" s="124">
        <v>0.30499999999999999</v>
      </c>
      <c r="D55" s="124" t="s">
        <v>197</v>
      </c>
      <c r="E55" s="124">
        <v>1.56</v>
      </c>
      <c r="F55" s="125" t="s">
        <v>114</v>
      </c>
      <c r="G55" s="126">
        <v>0.6</v>
      </c>
      <c r="H55" s="124" t="s">
        <v>198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215</v>
      </c>
      <c r="B56" s="123" t="s">
        <v>196</v>
      </c>
      <c r="C56" s="124">
        <v>0.32300000000000001</v>
      </c>
      <c r="D56" s="124" t="s">
        <v>197</v>
      </c>
      <c r="E56" s="124">
        <v>1.56</v>
      </c>
      <c r="F56" s="125" t="s">
        <v>114</v>
      </c>
      <c r="G56" s="126">
        <v>0.6</v>
      </c>
      <c r="H56" s="124" t="s">
        <v>198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216</v>
      </c>
      <c r="B57" s="123" t="s">
        <v>196</v>
      </c>
      <c r="C57" s="124">
        <v>0.36699999999999999</v>
      </c>
      <c r="D57" s="124" t="s">
        <v>197</v>
      </c>
      <c r="E57" s="124">
        <v>1.56</v>
      </c>
      <c r="F57" s="125" t="s">
        <v>114</v>
      </c>
      <c r="G57" s="126">
        <v>0.6</v>
      </c>
      <c r="H57" s="124" t="s">
        <v>198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217</v>
      </c>
      <c r="B58" s="123" t="s">
        <v>196</v>
      </c>
      <c r="C58" s="124">
        <v>0.36</v>
      </c>
      <c r="D58" s="124" t="s">
        <v>197</v>
      </c>
      <c r="E58" s="124">
        <v>1.56</v>
      </c>
      <c r="F58" s="125" t="s">
        <v>114</v>
      </c>
      <c r="G58" s="126">
        <v>0.6</v>
      </c>
      <c r="H58" s="124" t="s">
        <v>198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218</v>
      </c>
      <c r="B59" s="123" t="s">
        <v>196</v>
      </c>
      <c r="C59" s="124">
        <v>0.36799999999999999</v>
      </c>
      <c r="D59" s="124" t="s">
        <v>197</v>
      </c>
      <c r="E59" s="124">
        <v>1.56</v>
      </c>
      <c r="F59" s="125" t="s">
        <v>114</v>
      </c>
      <c r="G59" s="126">
        <v>0.6</v>
      </c>
      <c r="H59" s="124" t="s">
        <v>198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219</v>
      </c>
      <c r="B60" s="123" t="s">
        <v>196</v>
      </c>
      <c r="C60" s="124">
        <v>0.30599999999999999</v>
      </c>
      <c r="D60" s="124" t="s">
        <v>197</v>
      </c>
      <c r="E60" s="124">
        <v>1.56</v>
      </c>
      <c r="F60" s="125" t="s">
        <v>114</v>
      </c>
      <c r="G60" s="126">
        <v>0.6</v>
      </c>
      <c r="H60" s="124" t="s">
        <v>198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220</v>
      </c>
      <c r="B61" s="123" t="s">
        <v>196</v>
      </c>
      <c r="C61" s="124">
        <v>0.313</v>
      </c>
      <c r="D61" s="124" t="s">
        <v>197</v>
      </c>
      <c r="E61" s="124">
        <v>1.56</v>
      </c>
      <c r="F61" s="125" t="s">
        <v>114</v>
      </c>
      <c r="G61" s="126">
        <v>0.6</v>
      </c>
      <c r="H61" s="124" t="s">
        <v>198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221</v>
      </c>
      <c r="B62" s="123" t="s">
        <v>222</v>
      </c>
      <c r="C62" s="124">
        <v>0.37</v>
      </c>
      <c r="D62" s="124" t="s">
        <v>113</v>
      </c>
      <c r="E62" s="124">
        <v>1.56</v>
      </c>
      <c r="F62" s="125" t="s">
        <v>114</v>
      </c>
      <c r="G62" s="126">
        <v>0.6</v>
      </c>
      <c r="H62" s="124" t="s">
        <v>198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223</v>
      </c>
      <c r="B63" s="123" t="s">
        <v>224</v>
      </c>
      <c r="C63" s="124">
        <v>0.45</v>
      </c>
      <c r="D63" s="124" t="s">
        <v>113</v>
      </c>
      <c r="E63" s="124">
        <v>1.3</v>
      </c>
      <c r="F63" s="125" t="s">
        <v>114</v>
      </c>
      <c r="G63" s="126">
        <v>0.45</v>
      </c>
      <c r="H63" s="124" t="s">
        <v>225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226</v>
      </c>
      <c r="B64" s="123" t="s">
        <v>227</v>
      </c>
      <c r="C64" s="124">
        <v>0.39</v>
      </c>
      <c r="D64" s="124" t="s">
        <v>113</v>
      </c>
      <c r="E64" s="124">
        <v>1.3</v>
      </c>
      <c r="F64" s="125" t="s">
        <v>114</v>
      </c>
      <c r="G64" s="126">
        <v>0.45</v>
      </c>
      <c r="H64" s="124" t="s">
        <v>225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228</v>
      </c>
      <c r="B65" s="123" t="s">
        <v>229</v>
      </c>
      <c r="C65" s="124">
        <v>0.44</v>
      </c>
      <c r="D65" s="124" t="s">
        <v>113</v>
      </c>
      <c r="E65" s="124">
        <v>1.3</v>
      </c>
      <c r="F65" s="125" t="s">
        <v>114</v>
      </c>
      <c r="G65" s="126">
        <v>0.45</v>
      </c>
      <c r="H65" s="124" t="s">
        <v>225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20</v>
      </c>
      <c r="B66" s="123" t="s">
        <v>230</v>
      </c>
      <c r="C66" s="124">
        <v>0.46</v>
      </c>
      <c r="D66" s="124" t="s">
        <v>113</v>
      </c>
      <c r="E66" s="124">
        <v>1.3</v>
      </c>
      <c r="F66" s="125" t="s">
        <v>114</v>
      </c>
      <c r="G66" s="126">
        <v>0.45</v>
      </c>
      <c r="H66" s="124" t="s">
        <v>225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231</v>
      </c>
      <c r="B67" s="123" t="s">
        <v>232</v>
      </c>
      <c r="C67" s="124">
        <v>0.46</v>
      </c>
      <c r="D67" s="124" t="s">
        <v>113</v>
      </c>
      <c r="E67" s="124">
        <v>1.3</v>
      </c>
      <c r="F67" s="125" t="s">
        <v>114</v>
      </c>
      <c r="G67" s="126">
        <v>0.45</v>
      </c>
      <c r="H67" s="124" t="s">
        <v>140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233</v>
      </c>
      <c r="B68" s="123" t="s">
        <v>234</v>
      </c>
      <c r="C68" s="124">
        <v>0.44</v>
      </c>
      <c r="D68" s="124" t="s">
        <v>113</v>
      </c>
      <c r="E68" s="124">
        <v>1.3</v>
      </c>
      <c r="F68" s="125" t="s">
        <v>114</v>
      </c>
      <c r="G68" s="126">
        <v>0.45</v>
      </c>
      <c r="H68" s="124" t="s">
        <v>225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17</v>
      </c>
      <c r="B69" s="123" t="s">
        <v>235</v>
      </c>
      <c r="C69" s="124">
        <v>0.46</v>
      </c>
      <c r="D69" s="124" t="s">
        <v>113</v>
      </c>
      <c r="E69" s="124">
        <v>1.3</v>
      </c>
      <c r="F69" s="125" t="s">
        <v>114</v>
      </c>
      <c r="G69" s="126">
        <v>0.45</v>
      </c>
      <c r="H69" s="124" t="s">
        <v>225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236</v>
      </c>
      <c r="B70" s="123" t="s">
        <v>237</v>
      </c>
      <c r="C70" s="124">
        <v>0.48</v>
      </c>
      <c r="D70" s="124" t="s">
        <v>113</v>
      </c>
      <c r="E70" s="124">
        <v>2.4</v>
      </c>
      <c r="F70" s="124" t="s">
        <v>238</v>
      </c>
      <c r="G70" s="126">
        <v>0.45</v>
      </c>
      <c r="H70" s="124" t="s">
        <v>225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114</v>
      </c>
      <c r="G71" s="126">
        <v>0.45</v>
      </c>
      <c r="H71" s="124" t="s">
        <v>225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242</v>
      </c>
      <c r="B72" s="123" t="s">
        <v>243</v>
      </c>
      <c r="C72" s="124">
        <v>0.44</v>
      </c>
      <c r="D72" s="124" t="s">
        <v>113</v>
      </c>
      <c r="E72" s="124">
        <v>1.3</v>
      </c>
      <c r="F72" s="125" t="s">
        <v>114</v>
      </c>
      <c r="G72" s="126">
        <v>0.45</v>
      </c>
      <c r="H72" s="124" t="s">
        <v>225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114</v>
      </c>
      <c r="G73" s="126">
        <v>0.45</v>
      </c>
      <c r="H73" s="124" t="s">
        <v>225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113</v>
      </c>
      <c r="E74" s="124">
        <v>1.3</v>
      </c>
      <c r="F74" s="125" t="s">
        <v>114</v>
      </c>
      <c r="G74" s="126">
        <v>0.45</v>
      </c>
      <c r="H74" s="124" t="s">
        <v>225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113</v>
      </c>
      <c r="E75" s="124">
        <v>1.56</v>
      </c>
      <c r="F75" s="125" t="s">
        <v>114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251</v>
      </c>
      <c r="B76" s="123" t="s">
        <v>252</v>
      </c>
      <c r="C76" s="124">
        <v>0.57999999999999996</v>
      </c>
      <c r="D76" s="124" t="s">
        <v>113</v>
      </c>
      <c r="E76" s="124">
        <v>1.56</v>
      </c>
      <c r="F76" s="125" t="s">
        <v>114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254</v>
      </c>
      <c r="B77" s="123" t="s">
        <v>255</v>
      </c>
      <c r="C77" s="124">
        <v>0.37</v>
      </c>
      <c r="D77" s="124" t="s">
        <v>113</v>
      </c>
      <c r="E77" s="124">
        <v>1.3</v>
      </c>
      <c r="F77" s="125" t="s">
        <v>114</v>
      </c>
      <c r="G77" s="126">
        <v>0.55000000000000004</v>
      </c>
      <c r="H77" s="124" t="s">
        <v>140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256</v>
      </c>
      <c r="B78" s="123" t="s">
        <v>257</v>
      </c>
      <c r="C78" s="124">
        <v>0.37</v>
      </c>
      <c r="D78" s="124" t="s">
        <v>113</v>
      </c>
      <c r="E78" s="124">
        <v>1.3</v>
      </c>
      <c r="F78" s="125" t="s">
        <v>114</v>
      </c>
      <c r="G78" s="126">
        <v>0.55000000000000004</v>
      </c>
      <c r="H78" s="124" t="s">
        <v>140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258</v>
      </c>
      <c r="B79" s="123" t="s">
        <v>259</v>
      </c>
      <c r="C79" s="124">
        <v>0.38</v>
      </c>
      <c r="D79" s="124" t="s">
        <v>113</v>
      </c>
      <c r="E79" s="124">
        <v>1.3</v>
      </c>
      <c r="F79" s="125" t="s">
        <v>114</v>
      </c>
      <c r="G79" s="126">
        <v>0.55000000000000004</v>
      </c>
      <c r="H79" s="124" t="s">
        <v>130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260</v>
      </c>
      <c r="B80" s="123" t="s">
        <v>261</v>
      </c>
      <c r="C80" s="124">
        <v>0.36</v>
      </c>
      <c r="D80" s="124" t="s">
        <v>113</v>
      </c>
      <c r="E80" s="124">
        <v>1.3</v>
      </c>
      <c r="F80" s="125" t="s">
        <v>114</v>
      </c>
      <c r="G80" s="126">
        <v>0.55000000000000004</v>
      </c>
      <c r="H80" s="124" t="s">
        <v>130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262</v>
      </c>
      <c r="B81" s="123" t="s">
        <v>263</v>
      </c>
      <c r="C81" s="124">
        <v>0.37</v>
      </c>
      <c r="D81" s="124" t="s">
        <v>113</v>
      </c>
      <c r="E81" s="124">
        <v>1.56</v>
      </c>
      <c r="F81" s="125" t="s">
        <v>114</v>
      </c>
      <c r="G81" s="126">
        <v>0.43</v>
      </c>
      <c r="H81" s="124" t="s">
        <v>115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114</v>
      </c>
      <c r="G82" s="126">
        <v>0.55000000000000004</v>
      </c>
      <c r="H82" s="124" t="s">
        <v>130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267</v>
      </c>
      <c r="B83" s="123" t="s">
        <v>268</v>
      </c>
      <c r="C83" s="124">
        <v>0.34</v>
      </c>
      <c r="D83" s="124" t="s">
        <v>113</v>
      </c>
      <c r="E83" s="124">
        <v>1.3</v>
      </c>
      <c r="F83" s="125" t="s">
        <v>114</v>
      </c>
      <c r="G83" s="126">
        <v>0.55000000000000004</v>
      </c>
      <c r="H83" s="124" t="s">
        <v>130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269</v>
      </c>
      <c r="B84" s="123" t="s">
        <v>270</v>
      </c>
      <c r="C84" s="124">
        <v>0.31</v>
      </c>
      <c r="D84" s="124" t="s">
        <v>113</v>
      </c>
      <c r="E84" s="124">
        <v>1.3</v>
      </c>
      <c r="F84" s="125" t="s">
        <v>114</v>
      </c>
      <c r="G84" s="126">
        <v>0.55000000000000004</v>
      </c>
      <c r="H84" s="124" t="s">
        <v>130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271</v>
      </c>
      <c r="B85" s="123" t="s">
        <v>272</v>
      </c>
      <c r="C85" s="124">
        <v>0.43</v>
      </c>
      <c r="D85" s="124" t="s">
        <v>113</v>
      </c>
      <c r="E85" s="124">
        <v>1.56</v>
      </c>
      <c r="F85" s="125" t="s">
        <v>114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273</v>
      </c>
      <c r="B86" s="123" t="s">
        <v>274</v>
      </c>
      <c r="C86" s="124">
        <v>0.38</v>
      </c>
      <c r="D86" s="124" t="s">
        <v>113</v>
      </c>
      <c r="E86" s="124">
        <v>1.56</v>
      </c>
      <c r="F86" s="125" t="s">
        <v>114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114</v>
      </c>
      <c r="G87" s="255">
        <v>0.43</v>
      </c>
      <c r="H87" s="253" t="s">
        <v>115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74</v>
      </c>
      <c r="B88" s="130"/>
      <c r="C88" s="124">
        <v>0.42</v>
      </c>
      <c r="D88" s="124" t="s">
        <v>113</v>
      </c>
      <c r="E88" s="124">
        <v>1.3</v>
      </c>
      <c r="F88" s="125" t="s">
        <v>114</v>
      </c>
      <c r="G88" s="131"/>
      <c r="H88" s="130"/>
      <c r="I88" s="132"/>
    </row>
    <row r="89" spans="1:14" ht="15" thickBot="1" x14ac:dyDescent="0.35">
      <c r="A89" s="133" t="s">
        <v>279</v>
      </c>
      <c r="B89" s="134"/>
      <c r="C89" s="135">
        <v>0.56999999999999995</v>
      </c>
      <c r="D89" s="136" t="s">
        <v>113</v>
      </c>
      <c r="E89" s="135">
        <v>1.56</v>
      </c>
      <c r="F89" s="135" t="s">
        <v>114</v>
      </c>
      <c r="G89" s="134"/>
      <c r="H89" s="134"/>
      <c r="I89" s="137"/>
    </row>
    <row r="93" spans="1:14" x14ac:dyDescent="0.3">
      <c r="A93" s="122" t="s">
        <v>75</v>
      </c>
    </row>
    <row r="94" spans="1:14" x14ac:dyDescent="0.3">
      <c r="A94" s="122" t="s">
        <v>76</v>
      </c>
    </row>
    <row r="95" spans="1:14" x14ac:dyDescent="0.3">
      <c r="A95" s="122" t="s">
        <v>77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D20" sqref="D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280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noir d'Autriche</v>
      </c>
      <c r="B6" s="146">
        <f>'Données projet'!D9</f>
        <v>1.089</v>
      </c>
      <c r="C6" s="147">
        <f ca="1">IF(OR('Données projet'!B9="",'Données projet'!C9="",'Données projet'!C9=0%),0,Calculateur!S3)</f>
        <v>193.8828274189392</v>
      </c>
      <c r="D6" s="147">
        <f>IF(OR('Données projet'!B9="",'Données projet'!C9="",'Données projet'!C9=0%),0,Calculateur!T3)</f>
        <v>179.13381331066427</v>
      </c>
      <c r="E6" s="147">
        <f ca="1">MIN(C6,D6)</f>
        <v>179.13381331066427</v>
      </c>
      <c r="F6" s="147">
        <f ca="1">E6*B6</f>
        <v>195.07672269531338</v>
      </c>
      <c r="G6" s="147">
        <f ca="1">F6*(100%-'Données projet'!$C$24)*(100%-'Données projet'!$C$25)*(100%-'Données projet'!$C$26)*(100%-'Données projet'!$C$27)</f>
        <v>158.01214538320386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158.01214538320386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1.089</v>
      </c>
      <c r="C7" s="147">
        <f ca="1">IF(OR('Données projet'!B10="",'Données projet'!C10="",'Données projet'!C10=0%),0,Calculateur!AN3)</f>
        <v>228.36873053496748</v>
      </c>
      <c r="D7" s="147">
        <f>IF(OR('Données projet'!B10="",'Données projet'!C10="",'Données projet'!C10=0%),0,Calculateur!AO3)</f>
        <v>177.73676400313303</v>
      </c>
      <c r="E7" s="147">
        <f t="shared" ref="E7:E15" ca="1" si="0">MIN(C7,D7)</f>
        <v>177.73676400313303</v>
      </c>
      <c r="F7" s="147">
        <f t="shared" ref="F7:F15" ca="1" si="1">E7*B7</f>
        <v>193.55533599941188</v>
      </c>
      <c r="G7" s="147">
        <f ca="1">F7*(100%-'Données projet'!$C$24)*(100%-'Données projet'!$C$25)*(100%-'Données projet'!$C$26)*(100%-'Données projet'!$C$27)</f>
        <v>156.77982215952363</v>
      </c>
      <c r="H7" s="155">
        <f>IF(OR('Données projet'!B10="",'Données projet'!C10="",'Données projet'!C10=0%),0,AVERAGE(Calculateur!$AX$3:$AX$33)*B7)</f>
        <v>3.1597100668229716</v>
      </c>
      <c r="I7" s="149">
        <f>H7*(100%-'Données projet'!$C$24)*(100%-'Données projet'!$C$25)*(100%-'Données projet'!$C$26)*(100%-'Données projet'!$C$27)</f>
        <v>2.5593651541266071</v>
      </c>
      <c r="J7" s="150">
        <f>IF(OR('Données projet'!B10="",'Données projet'!C10="",'Données projet'!C10=0%),0,SUM(Calculateur!$AQ$3:$AQ$33)*VLOOKUP('Données projet'!$B$10,Paramètres!$A$1:$I$89,9,0)*B7)</f>
        <v>23.422865399999999</v>
      </c>
      <c r="K7" s="151">
        <f>J7*(100%-'Données projet'!$C$24)*(100%-'Données projet'!$C$25)*(100%-'Données projet'!$C$26)*(100%-'Données projet'!$C$27)</f>
        <v>18.972520973999998</v>
      </c>
      <c r="L7" s="152">
        <f t="shared" ref="L7:L15" ca="1" si="2">G7+I7+K7</f>
        <v>178.31170828765022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pubescent</v>
      </c>
      <c r="B8" s="154">
        <f>'Données projet'!D11</f>
        <v>0.96970000000000001</v>
      </c>
      <c r="C8" s="147">
        <f ca="1">IF(OR('Données projet'!B11="",'Données projet'!C11="",'Données projet'!C11=0%),0,Calculateur!BI3)</f>
        <v>534.59150243554586</v>
      </c>
      <c r="D8" s="147">
        <f>IF(OR('Données projet'!B11="",'Données projet'!C11="",'Données projet'!C11=0%),0,Calculateur!BJ3)</f>
        <v>259.04458689606491</v>
      </c>
      <c r="E8" s="147">
        <f t="shared" ca="1" si="0"/>
        <v>259.04458689606491</v>
      </c>
      <c r="F8" s="147">
        <f t="shared" ca="1" si="1"/>
        <v>251.19553591311416</v>
      </c>
      <c r="G8" s="147">
        <f ca="1">F8*(100%-'Données projet'!$C$24)*(100%-'Données projet'!$C$25)*(100%-'Données projet'!$C$26)*(100%-'Données projet'!$C$27)</f>
        <v>203.46838408962248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203.46838408962248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Erable champêtre</v>
      </c>
      <c r="B9" s="154">
        <f>'Données projet'!D12</f>
        <v>0.45679999999999998</v>
      </c>
      <c r="C9" s="147">
        <f ca="1">IF(OR('Données projet'!B12="",'Données projet'!C12="",'Données projet'!C12=0%),0,Calculateur!CD3)</f>
        <v>211.91720528436969</v>
      </c>
      <c r="D9" s="147">
        <f>IF(OR('Données projet'!B12="",'Données projet'!C12="",'Données projet'!C12=0%),0,Calculateur!CE3)</f>
        <v>218.88548486038957</v>
      </c>
      <c r="E9" s="147">
        <f t="shared" ca="1" si="0"/>
        <v>211.91720528436969</v>
      </c>
      <c r="F9" s="147">
        <f t="shared" ca="1" si="1"/>
        <v>96.80377937390007</v>
      </c>
      <c r="G9" s="147">
        <f ca="1">F9*(100%-'Données projet'!$C$24)*(100%-'Données projet'!$C$25)*(100%-'Données projet'!$C$26)*(100%-'Données projet'!$C$27)</f>
        <v>78.41106129285906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7.1945999999999994</v>
      </c>
      <c r="K9" s="151">
        <f>J9*(100%-'Données projet'!$C$24)*(100%-'Données projet'!$C$25)*(100%-'Données projet'!$C$26)*(100%-'Données projet'!$C$27)</f>
        <v>5.8276259999999995</v>
      </c>
      <c r="L9" s="152">
        <f t="shared" ca="1" si="2"/>
        <v>84.238687292859055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sessile</v>
      </c>
      <c r="B10" s="154">
        <f>'Données projet'!D13</f>
        <v>0.69940000000000002</v>
      </c>
      <c r="C10" s="147">
        <f ca="1">IF(OR('Données projet'!B13="",'Données projet'!C13="",'Données projet'!C13=0%),0,Calculateur!CY3)</f>
        <v>469.97161976912071</v>
      </c>
      <c r="D10" s="147">
        <f>IF(OR('Données projet'!B13="",'Données projet'!C13="",'Données projet'!C13=0%),0,Calculateur!CZ3)</f>
        <v>231.65013084759306</v>
      </c>
      <c r="E10" s="147">
        <f t="shared" ca="1" si="0"/>
        <v>231.65013084759306</v>
      </c>
      <c r="F10" s="147">
        <f t="shared" ca="1" si="1"/>
        <v>162.01610151480659</v>
      </c>
      <c r="G10" s="147">
        <f ca="1">F10*(100%-'Données projet'!$C$24)*(100%-'Données projet'!$C$25)*(100%-'Données projet'!$C$26)*(100%-'Données projet'!$C$27)</f>
        <v>131.23304222699335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131.23304222699335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Alisier torminal</v>
      </c>
      <c r="B11" s="154">
        <f>'Données projet'!D14</f>
        <v>0.17469999999999999</v>
      </c>
      <c r="C11" s="147">
        <f ca="1">IF(OR('Données projet'!B14="",'Données projet'!C14="",'Données projet'!C14=0%),0,Calculateur!DT3)</f>
        <v>506.9153247310901</v>
      </c>
      <c r="D11" s="147">
        <f>IF(OR('Données projet'!B14="",'Données projet'!C14="",'Données projet'!C14=0%),0,Calculateur!DU3)</f>
        <v>247.31254626788319</v>
      </c>
      <c r="E11" s="147">
        <f t="shared" ca="1" si="0"/>
        <v>247.31254626788319</v>
      </c>
      <c r="F11" s="147">
        <f t="shared" ca="1" si="1"/>
        <v>43.20550183299919</v>
      </c>
      <c r="G11" s="147">
        <f ca="1">F11*(100%-'Données projet'!$C$24)*(100%-'Données projet'!$C$25)*(100%-'Données projet'!$C$26)*(100%-'Données projet'!$C$27)</f>
        <v>34.99645648472935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34.99645648472935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941.8529773295453</v>
      </c>
      <c r="G16" s="166">
        <f t="shared" ca="1" si="3"/>
        <v>762.90091163693171</v>
      </c>
      <c r="H16" s="167">
        <f t="shared" si="3"/>
        <v>3.1597100668229716</v>
      </c>
      <c r="I16" s="167">
        <f t="shared" si="3"/>
        <v>2.5593651541266071</v>
      </c>
      <c r="J16" s="168">
        <f t="shared" si="3"/>
        <v>30.6174654</v>
      </c>
      <c r="K16" s="168">
        <f t="shared" si="3"/>
        <v>24.800146973999997</v>
      </c>
      <c r="L16" s="169">
        <f t="shared" ca="1" si="3"/>
        <v>790.26042376505836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291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noir d'Autriche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Erable champêtre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8" zoomScale="80" zoomScaleNormal="80" workbookViewId="0">
      <selection activeCell="X23" sqref="X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554687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292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293</v>
      </c>
      <c r="I4" s="270"/>
      <c r="K4" s="294" t="s">
        <v>294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60</v>
      </c>
      <c r="O7" s="247"/>
      <c r="P7" s="248"/>
      <c r="Q7" s="249"/>
      <c r="R7" s="304" t="s">
        <v>295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296</v>
      </c>
      <c r="C9" s="23"/>
      <c r="D9" s="23"/>
      <c r="E9" s="23"/>
      <c r="F9" s="230"/>
      <c r="G9" s="93" t="s">
        <v>297</v>
      </c>
      <c r="I9" s="195"/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Pin noir d'Autriche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-4540.1236054922947</v>
      </c>
      <c r="U10" s="178">
        <f>'Données projet'!D9</f>
        <v>1.089</v>
      </c>
      <c r="V10" s="177">
        <f>U10*T10</f>
        <v>-4944.1946063811092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-3868.3973500375246</v>
      </c>
      <c r="U11" s="178">
        <f>'Données projet'!D10</f>
        <v>1.089</v>
      </c>
      <c r="V11" s="177">
        <f t="shared" ref="V11" si="0">U11*T11</f>
        <v>-4212.6847141908638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-6717.6273217950875</v>
      </c>
      <c r="U12" s="178">
        <f>'Données projet'!D11</f>
        <v>0.96970000000000001</v>
      </c>
      <c r="V12" s="177">
        <f t="shared" ref="V12:V19" si="1">U12*T12</f>
        <v>-6514.0832139446966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Erable champêtre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-5173.7390099843969</v>
      </c>
      <c r="U13" s="178">
        <f>'Données projet'!D12</f>
        <v>0.45679999999999998</v>
      </c>
      <c r="V13" s="177">
        <f t="shared" si="1"/>
        <v>-2363.3639797608726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</v>
      </c>
      <c r="B14" s="174" t="str">
        <f>IF('Données projet'!$B$9="","",'Données projet'!$B$9)</f>
        <v>Pin noir d'Autriche</v>
      </c>
      <c r="C14" s="4"/>
      <c r="D14" s="4"/>
      <c r="E14" s="4"/>
      <c r="F14" s="230"/>
      <c r="G14" s="23"/>
      <c r="H14" s="36" t="s">
        <v>79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-3679.611020000852</v>
      </c>
      <c r="U14" s="178">
        <f>'Données projet'!D13</f>
        <v>0.69940000000000002</v>
      </c>
      <c r="V14" s="177">
        <f t="shared" si="1"/>
        <v>-2573.5199473885959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-5834.59772777744</v>
      </c>
      <c r="U15" s="178">
        <f>'Données projet'!D14</f>
        <v>0.17469999999999999</v>
      </c>
      <c r="V15" s="177">
        <f t="shared" si="1"/>
        <v>-1019.3042230427187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51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97"/>
      <c r="H16" s="190"/>
      <c r="I16" s="191"/>
      <c r="J16" s="202"/>
      <c r="K16" s="208"/>
      <c r="L16" s="294" t="s">
        <v>312</v>
      </c>
      <c r="M16" s="295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196</v>
      </c>
      <c r="C17" s="198" t="s">
        <v>196</v>
      </c>
      <c r="D17" s="197" t="s">
        <v>196</v>
      </c>
      <c r="E17" s="193">
        <f>1200+1200+(890.5+411)/'Données projet'!D9</f>
        <v>3595.1331496786042</v>
      </c>
      <c r="F17" s="230"/>
      <c r="G17" s="297"/>
      <c r="I17" s="195"/>
      <c r="J17" s="202"/>
      <c r="K17" s="208"/>
      <c r="L17" s="267" t="s">
        <v>313</v>
      </c>
      <c r="M17" s="269"/>
      <c r="N17" s="175">
        <f>VLOOKUP(N16,Calculateur!$A$2:$H$153,3,0)/VLOOKUP('Scénario référence'!$G$15,Paramètres!A1:I89,3,0)/VLOOKUP('Scénario référence'!$G$15,Paramètres!A1:I89,5,0)</f>
        <v>59.999999999999957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196</v>
      </c>
      <c r="C18" s="198" t="s">
        <v>196</v>
      </c>
      <c r="D18" s="197" t="s">
        <v>196</v>
      </c>
      <c r="E18" s="193">
        <f>220</f>
        <v>220</v>
      </c>
      <c r="F18" s="230"/>
      <c r="G18" s="297"/>
      <c r="J18" s="202"/>
      <c r="K18" s="208"/>
      <c r="L18" s="267" t="s">
        <v>309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196</v>
      </c>
      <c r="C19" s="198" t="s">
        <v>196</v>
      </c>
      <c r="D19" s="197" t="s">
        <v>196</v>
      </c>
      <c r="E19" s="193">
        <f>400+15%*E17</f>
        <v>939.26997245179064</v>
      </c>
      <c r="F19" s="230"/>
      <c r="G19" s="297"/>
      <c r="H19" s="212" t="s">
        <v>79</v>
      </c>
      <c r="I19" s="212" t="s">
        <v>314</v>
      </c>
      <c r="J19" s="93"/>
      <c r="K19" s="173"/>
      <c r="L19" s="294" t="s">
        <v>315</v>
      </c>
      <c r="M19" s="295"/>
      <c r="N19" s="179">
        <f>N17*N18</f>
        <v>299.99999999999977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196</v>
      </c>
      <c r="C20" s="198" t="s">
        <v>196</v>
      </c>
      <c r="D20" s="197" t="s">
        <v>196</v>
      </c>
      <c r="E20" s="193">
        <f>220</f>
        <v>220</v>
      </c>
      <c r="F20" s="230"/>
      <c r="G20" s="297"/>
      <c r="H20" s="190">
        <v>1</v>
      </c>
      <c r="I20" s="191">
        <f>20+(400/'Données projet'!C5+20)+(200/'Données projet'!C5+10)</f>
        <v>183.92857142857142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196</v>
      </c>
      <c r="C21" s="198" t="s">
        <v>196</v>
      </c>
      <c r="D21" s="197" t="s">
        <v>196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196</v>
      </c>
      <c r="C22" s="198" t="s">
        <v>196</v>
      </c>
      <c r="D22" s="197" t="s">
        <v>196</v>
      </c>
      <c r="E22" s="193"/>
      <c r="F22" s="230"/>
      <c r="H22" s="190">
        <v>3</v>
      </c>
      <c r="I22" s="191">
        <f>20+200/'Données projet'!C5+10</f>
        <v>74.642857142857139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45</v>
      </c>
      <c r="B23" s="181">
        <f>'Données projet'!D36</f>
        <v>73.989999999999995</v>
      </c>
      <c r="C23" s="193">
        <v>8.5</v>
      </c>
      <c r="D23" s="182">
        <f>B23*C23</f>
        <v>628.91499999999996</v>
      </c>
      <c r="E23" s="193"/>
      <c r="F23" s="230"/>
      <c r="H23" s="190">
        <v>4</v>
      </c>
      <c r="I23" s="191">
        <v>20</v>
      </c>
      <c r="K23" s="208"/>
      <c r="L23" s="296" t="s">
        <v>316</v>
      </c>
      <c r="M23" s="296"/>
      <c r="N23" s="296"/>
      <c r="O23" s="23"/>
      <c r="P23" s="23"/>
      <c r="Q23" s="234"/>
      <c r="R23" s="23"/>
      <c r="S23" s="36" t="s">
        <v>317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-25946.753874993603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60</v>
      </c>
      <c r="B24" s="181">
        <f>'Données projet'!D37</f>
        <v>71.69</v>
      </c>
      <c r="C24" s="193">
        <v>15.5</v>
      </c>
      <c r="D24" s="182">
        <f t="shared" ref="D24:D42" si="2">B24*C24</f>
        <v>1111.1949999999999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504.68728733928572</v>
      </c>
      <c r="K24" s="208"/>
      <c r="O24" s="23"/>
      <c r="P24" s="23"/>
      <c r="Q24" s="234"/>
      <c r="R24" s="23"/>
      <c r="S24" s="36" t="s">
        <v>318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95.812427129314301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75</v>
      </c>
      <c r="B25" s="181">
        <f>'Données projet'!D38</f>
        <v>75.069999999999993</v>
      </c>
      <c r="C25" s="193">
        <v>15.5</v>
      </c>
      <c r="D25" s="182">
        <f t="shared" si="2"/>
        <v>1163.5849999999998</v>
      </c>
      <c r="E25" s="193"/>
      <c r="F25" s="233"/>
      <c r="H25" s="190">
        <v>6</v>
      </c>
      <c r="I25" s="191">
        <v>20</v>
      </c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11">
        <f ca="1">T23-T24</f>
        <v>-26042.566302122916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90</v>
      </c>
      <c r="B26" s="181">
        <f>'Données projet'!D39</f>
        <v>65.83</v>
      </c>
      <c r="C26" s="193">
        <v>15.5</v>
      </c>
      <c r="D26" s="182">
        <f t="shared" si="2"/>
        <v>1020.365</v>
      </c>
      <c r="E26" s="193"/>
      <c r="F26" s="233"/>
      <c r="G26" s="229"/>
      <c r="H26" s="190">
        <v>7</v>
      </c>
      <c r="I26" s="191">
        <v>20</v>
      </c>
      <c r="K26" s="208"/>
      <c r="L26" s="298" t="s">
        <v>321</v>
      </c>
      <c r="M26" s="299"/>
      <c r="N26" s="299"/>
      <c r="O26" s="299"/>
      <c r="P26" s="300"/>
      <c r="Q26" s="234"/>
      <c r="R26" s="23"/>
      <c r="S26" s="186" t="s">
        <v>322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100</v>
      </c>
      <c r="B27" s="181">
        <f>'Données projet'!D40</f>
        <v>92.21</v>
      </c>
      <c r="C27" s="193">
        <v>29.5</v>
      </c>
      <c r="D27" s="182">
        <f t="shared" si="2"/>
        <v>2720.1949999999997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323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110</v>
      </c>
      <c r="B28" s="181">
        <f>'Données projet'!D41</f>
        <v>244.09</v>
      </c>
      <c r="C28" s="193">
        <v>29.5</v>
      </c>
      <c r="D28" s="182">
        <f t="shared" si="2"/>
        <v>7200.6549999999997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>
        <v>29.5</v>
      </c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324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264">
        <f>SUM(E17:E22)*U10+SUM(E$48:E53)*U11+SUM(E79:E84)*U12+SUM(E110:E115)*U13+SUM(E141:E146)*U14+SUM(E172:E177)*U15+SUM(E203:E208)*U16+SUM(E234:E239)*U17+SUM(E265:E270)*U18+SUM(E296:E301)*U19</f>
        <v>27142.488090999999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1337.1819999999998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79</v>
      </c>
      <c r="P32" s="85" t="s">
        <v>310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33</v>
      </c>
      <c r="U33" s="1">
        <f>SUM(U30:U32)</f>
        <v>29979.670091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19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51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196</v>
      </c>
      <c r="C48" s="198" t="s">
        <v>196</v>
      </c>
      <c r="D48" s="197" t="s">
        <v>196</v>
      </c>
      <c r="E48" s="193">
        <f>1200+1200+(890.5+411)/'Données projet'!D10</f>
        <v>3595.1331496786042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196</v>
      </c>
      <c r="C49" s="198" t="s">
        <v>196</v>
      </c>
      <c r="D49" s="197" t="s">
        <v>196</v>
      </c>
      <c r="E49" s="193">
        <f>220</f>
        <v>220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196</v>
      </c>
      <c r="C50" s="198" t="s">
        <v>196</v>
      </c>
      <c r="D50" s="197" t="s">
        <v>196</v>
      </c>
      <c r="E50" s="193">
        <f>400+15%*E48</f>
        <v>939.26997245179064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196</v>
      </c>
      <c r="C51" s="198" t="s">
        <v>196</v>
      </c>
      <c r="D51" s="197" t="s">
        <v>196</v>
      </c>
      <c r="E51" s="193">
        <f>220</f>
        <v>220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196</v>
      </c>
      <c r="C52" s="198" t="s">
        <v>196</v>
      </c>
      <c r="D52" s="197" t="s">
        <v>196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196</v>
      </c>
      <c r="C53" s="198" t="s">
        <v>196</v>
      </c>
      <c r="D53" s="197" t="s">
        <v>196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50.02</v>
      </c>
      <c r="C54" s="191">
        <v>8.5</v>
      </c>
      <c r="D54" s="179">
        <f>B54*C54</f>
        <v>425.17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32</v>
      </c>
      <c r="B55" s="181">
        <f>'Données projet'!D63</f>
        <v>45.68</v>
      </c>
      <c r="C55" s="191">
        <v>15.5</v>
      </c>
      <c r="D55" s="179">
        <f t="shared" ref="D55:D73" si="4">B55*C55</f>
        <v>708.04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57.27</v>
      </c>
      <c r="C56" s="191">
        <v>15.5</v>
      </c>
      <c r="D56" s="179">
        <f t="shared" si="4"/>
        <v>887.68500000000006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69.17</v>
      </c>
      <c r="C57" s="191">
        <v>15.5</v>
      </c>
      <c r="D57" s="179">
        <f t="shared" si="4"/>
        <v>1072.135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63.69</v>
      </c>
      <c r="C58" s="191">
        <v>29.5</v>
      </c>
      <c r="D58" s="179">
        <f t="shared" si="4"/>
        <v>1878.855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69.790000000000006</v>
      </c>
      <c r="C59" s="191">
        <v>29.5</v>
      </c>
      <c r="D59" s="179">
        <f t="shared" si="4"/>
        <v>2058.8050000000003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400.15</v>
      </c>
      <c r="C60" s="191">
        <v>29.5</v>
      </c>
      <c r="D60" s="179">
        <f t="shared" si="4"/>
        <v>11804.424999999999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21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51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196</v>
      </c>
      <c r="C79" s="198" t="s">
        <v>196</v>
      </c>
      <c r="D79" s="197" t="s">
        <v>196</v>
      </c>
      <c r="E79" s="193">
        <f>1200+1200+(561+990+(0.45*(340+600)))/'Données projet'!D11+(((248.2+248.2+204+204)/2)+(300*(0.73+0.73+0.6+0.6))/'Données projet'!D11)</f>
        <v>5710.8160668247911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196</v>
      </c>
      <c r="C80" s="198" t="s">
        <v>196</v>
      </c>
      <c r="D80" s="197" t="s">
        <v>196</v>
      </c>
      <c r="E80" s="193">
        <f>220</f>
        <v>220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196</v>
      </c>
      <c r="C81" s="198" t="s">
        <v>196</v>
      </c>
      <c r="D81" s="197" t="s">
        <v>196</v>
      </c>
      <c r="E81" s="193">
        <f>400+15%*E79</f>
        <v>1256.6224100237187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196</v>
      </c>
      <c r="C82" s="198" t="s">
        <v>196</v>
      </c>
      <c r="D82" s="197" t="s">
        <v>196</v>
      </c>
      <c r="E82" s="193">
        <f>220</f>
        <v>220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196</v>
      </c>
      <c r="C83" s="198" t="s">
        <v>196</v>
      </c>
      <c r="D83" s="197" t="s">
        <v>196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196</v>
      </c>
      <c r="C84" s="198" t="s">
        <v>196</v>
      </c>
      <c r="D84" s="197" t="s">
        <v>196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18.5</v>
      </c>
      <c r="D85" s="179">
        <f>B85*C85</f>
        <v>799.38499999999999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18.5</v>
      </c>
      <c r="D86" s="179">
        <f t="shared" ref="D86:D104" si="6">B86*C86</f>
        <v>658.23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18.5</v>
      </c>
      <c r="D87" s="179">
        <f t="shared" si="6"/>
        <v>831.20500000000004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32</v>
      </c>
      <c r="D88" s="179">
        <f t="shared" si="6"/>
        <v>1597.12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32</v>
      </c>
      <c r="D89" s="179">
        <f t="shared" si="6"/>
        <v>1516.8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32</v>
      </c>
      <c r="D90" s="179">
        <f t="shared" si="6"/>
        <v>1967.04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32</v>
      </c>
      <c r="D91" s="179">
        <f t="shared" si="6"/>
        <v>1979.2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32</v>
      </c>
      <c r="D92" s="179">
        <f t="shared" si="6"/>
        <v>1926.08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32</v>
      </c>
      <c r="D93" s="179">
        <f t="shared" si="6"/>
        <v>1794.24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32</v>
      </c>
      <c r="D94" s="179">
        <f t="shared" si="6"/>
        <v>1680.96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32</v>
      </c>
      <c r="D95" s="179">
        <f t="shared" si="6"/>
        <v>1758.4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32</v>
      </c>
      <c r="D96" s="179">
        <f t="shared" si="6"/>
        <v>1792.32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32</v>
      </c>
      <c r="D97" s="179">
        <f t="shared" si="6"/>
        <v>1764.16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32</v>
      </c>
      <c r="D98" s="179">
        <f t="shared" si="6"/>
        <v>1906.56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32</v>
      </c>
      <c r="D99" s="179">
        <f t="shared" si="6"/>
        <v>6872.64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32</v>
      </c>
      <c r="D100" s="179">
        <f t="shared" si="6"/>
        <v>3686.08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32</v>
      </c>
      <c r="D101" s="179">
        <f t="shared" si="6"/>
        <v>2487.04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32</v>
      </c>
      <c r="D102" s="179">
        <f t="shared" si="6"/>
        <v>5432.32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23</v>
      </c>
      <c r="B107" s="174" t="str">
        <f>IF('Données projet'!B12="","",'Données projet'!B12)</f>
        <v>Erable champêtre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51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196</v>
      </c>
      <c r="C110" s="198" t="s">
        <v>196</v>
      </c>
      <c r="D110" s="197" t="s">
        <v>196</v>
      </c>
      <c r="E110" s="193">
        <f>1200+1200+(510+240+(0.45*(340+240)))/'Données projet'!D12+(((248.2+248.2+204+204)/2)/'Données projet'!D12)</f>
        <v>5603.1523642732045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196</v>
      </c>
      <c r="C111" s="198" t="s">
        <v>196</v>
      </c>
      <c r="D111" s="197" t="s">
        <v>196</v>
      </c>
      <c r="E111" s="193">
        <f>220</f>
        <v>220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196</v>
      </c>
      <c r="C112" s="198" t="s">
        <v>196</v>
      </c>
      <c r="D112" s="197" t="s">
        <v>196</v>
      </c>
      <c r="E112" s="193">
        <f>400+15%*E110</f>
        <v>1240.4728546409806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196</v>
      </c>
      <c r="C113" s="198" t="s">
        <v>196</v>
      </c>
      <c r="D113" s="197" t="s">
        <v>196</v>
      </c>
      <c r="E113" s="193">
        <f>220</f>
        <v>220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196</v>
      </c>
      <c r="C114" s="198" t="s">
        <v>196</v>
      </c>
      <c r="D114" s="197" t="s">
        <v>196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196</v>
      </c>
      <c r="C115" s="198" t="s">
        <v>196</v>
      </c>
      <c r="D115" s="197" t="s">
        <v>196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0</v>
      </c>
      <c r="C116" s="191">
        <v>5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21</v>
      </c>
      <c r="C117" s="191">
        <v>5</v>
      </c>
      <c r="D117" s="179">
        <f t="shared" ref="D117:D135" si="8">B117*C117</f>
        <v>105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21</v>
      </c>
      <c r="C118" s="191">
        <v>5</v>
      </c>
      <c r="D118" s="179">
        <f t="shared" si="8"/>
        <v>105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21</v>
      </c>
      <c r="C119" s="191">
        <v>5</v>
      </c>
      <c r="D119" s="179">
        <f t="shared" si="8"/>
        <v>105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21</v>
      </c>
      <c r="C120" s="191">
        <v>5</v>
      </c>
      <c r="D120" s="179">
        <f t="shared" si="8"/>
        <v>105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21</v>
      </c>
      <c r="C121" s="191">
        <v>5</v>
      </c>
      <c r="D121" s="179">
        <f t="shared" si="8"/>
        <v>105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18</v>
      </c>
      <c r="C122" s="191">
        <v>15.5</v>
      </c>
      <c r="D122" s="179">
        <f t="shared" si="8"/>
        <v>279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13</v>
      </c>
      <c r="C123" s="191">
        <v>15.5</v>
      </c>
      <c r="D123" s="179">
        <f t="shared" si="8"/>
        <v>201.5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11</v>
      </c>
      <c r="C124" s="191">
        <v>15.5</v>
      </c>
      <c r="D124" s="179">
        <f t="shared" si="8"/>
        <v>170.5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9</v>
      </c>
      <c r="C125" s="191">
        <v>15.5</v>
      </c>
      <c r="D125" s="179">
        <f t="shared" si="8"/>
        <v>139.5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8</v>
      </c>
      <c r="C126" s="191">
        <v>26</v>
      </c>
      <c r="D126" s="179">
        <f t="shared" si="8"/>
        <v>208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8</v>
      </c>
      <c r="C127" s="191">
        <v>26</v>
      </c>
      <c r="D127" s="179">
        <f t="shared" si="8"/>
        <v>208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75</v>
      </c>
      <c r="B128" s="181">
        <f>'Données projet'!D126</f>
        <v>7</v>
      </c>
      <c r="C128" s="191">
        <v>26</v>
      </c>
      <c r="D128" s="179">
        <f t="shared" si="8"/>
        <v>182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80</v>
      </c>
      <c r="B129" s="181">
        <f>'Données projet'!D127</f>
        <v>219</v>
      </c>
      <c r="C129" s="191">
        <v>26</v>
      </c>
      <c r="D129" s="179">
        <f t="shared" si="8"/>
        <v>5694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25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51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196</v>
      </c>
      <c r="C141" s="198" t="s">
        <v>196</v>
      </c>
      <c r="D141" s="197" t="s">
        <v>196</v>
      </c>
      <c r="E141" s="193">
        <f>1200+1200+(780+(0.45*600))/'Données projet'!D13+(300*(0.73+0.73+0.6+0.6))/'Données projet'!D13</f>
        <v>5042.2647983986271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196</v>
      </c>
      <c r="C142" s="198" t="s">
        <v>196</v>
      </c>
      <c r="D142" s="197" t="s">
        <v>196</v>
      </c>
      <c r="E142" s="193">
        <f>220</f>
        <v>220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196</v>
      </c>
      <c r="C143" s="198" t="s">
        <v>196</v>
      </c>
      <c r="D143" s="197" t="s">
        <v>196</v>
      </c>
      <c r="E143" s="193">
        <f>400+15%*E141</f>
        <v>1156.3397197597942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196</v>
      </c>
      <c r="C144" s="198" t="s">
        <v>196</v>
      </c>
      <c r="D144" s="197" t="s">
        <v>196</v>
      </c>
      <c r="E144" s="193">
        <f>220</f>
        <v>220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196</v>
      </c>
      <c r="C145" s="198" t="s">
        <v>196</v>
      </c>
      <c r="D145" s="197" t="s">
        <v>196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196</v>
      </c>
      <c r="C146" s="198" t="s">
        <v>196</v>
      </c>
      <c r="D146" s="197" t="s">
        <v>196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42</v>
      </c>
      <c r="B147" s="175">
        <f>'Données projet'!D140</f>
        <v>43.21</v>
      </c>
      <c r="C147" s="191">
        <v>58</v>
      </c>
      <c r="D147" s="182">
        <f>B147*C147</f>
        <v>2506.1799999999998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50</v>
      </c>
      <c r="B148" s="175">
        <f>'Données projet'!D141</f>
        <v>35.58</v>
      </c>
      <c r="C148" s="191">
        <v>58</v>
      </c>
      <c r="D148" s="182">
        <f t="shared" ref="D148:D166" si="10">B148*C148</f>
        <v>2063.64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58</v>
      </c>
      <c r="B149" s="175">
        <f>'Données projet'!D142</f>
        <v>44.93</v>
      </c>
      <c r="C149" s="191">
        <v>58</v>
      </c>
      <c r="D149" s="182">
        <f t="shared" si="10"/>
        <v>2605.94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66</v>
      </c>
      <c r="B150" s="175">
        <f>'Données projet'!D143</f>
        <v>49.91</v>
      </c>
      <c r="C150" s="191">
        <v>106</v>
      </c>
      <c r="D150" s="182">
        <f t="shared" si="10"/>
        <v>5290.46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74</v>
      </c>
      <c r="B151" s="175">
        <f>'Données projet'!D144</f>
        <v>47.4</v>
      </c>
      <c r="C151" s="191">
        <v>106</v>
      </c>
      <c r="D151" s="182">
        <f t="shared" si="10"/>
        <v>5024.3999999999996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84</v>
      </c>
      <c r="B152" s="175">
        <f>'Données projet'!D145</f>
        <v>61.47</v>
      </c>
      <c r="C152" s="191">
        <v>106</v>
      </c>
      <c r="D152" s="182">
        <f t="shared" si="10"/>
        <v>6515.82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94</v>
      </c>
      <c r="B153" s="175">
        <f>'Données projet'!D146</f>
        <v>61.85</v>
      </c>
      <c r="C153" s="191">
        <v>106</v>
      </c>
      <c r="D153" s="182">
        <f t="shared" si="10"/>
        <v>6556.1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104</v>
      </c>
      <c r="B154" s="175">
        <f>'Données projet'!D147</f>
        <v>60.19</v>
      </c>
      <c r="C154" s="191">
        <v>106</v>
      </c>
      <c r="D154" s="182">
        <f t="shared" si="10"/>
        <v>6380.1399999999994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114</v>
      </c>
      <c r="B155" s="175">
        <f>'Données projet'!D148</f>
        <v>56.07</v>
      </c>
      <c r="C155" s="191">
        <v>106</v>
      </c>
      <c r="D155" s="182">
        <f t="shared" si="10"/>
        <v>5943.42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124</v>
      </c>
      <c r="B156" s="175">
        <f>'Données projet'!D149</f>
        <v>52.53</v>
      </c>
      <c r="C156" s="191">
        <v>106</v>
      </c>
      <c r="D156" s="182">
        <f t="shared" si="10"/>
        <v>5568.18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134</v>
      </c>
      <c r="B157" s="175">
        <f>'Données projet'!D150</f>
        <v>54.95</v>
      </c>
      <c r="C157" s="191">
        <v>106</v>
      </c>
      <c r="D157" s="182">
        <f t="shared" si="10"/>
        <v>5824.7000000000007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144</v>
      </c>
      <c r="B158" s="175">
        <f>'Données projet'!D151</f>
        <v>56.01</v>
      </c>
      <c r="C158" s="191">
        <v>106</v>
      </c>
      <c r="D158" s="182">
        <f t="shared" si="10"/>
        <v>5937.0599999999995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154</v>
      </c>
      <c r="B159" s="175">
        <f>'Données projet'!D152</f>
        <v>55.13</v>
      </c>
      <c r="C159" s="191">
        <v>106</v>
      </c>
      <c r="D159" s="182">
        <f t="shared" si="10"/>
        <v>5843.7800000000007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164</v>
      </c>
      <c r="B160" s="175">
        <f>'Données projet'!D153</f>
        <v>59.58</v>
      </c>
      <c r="C160" s="191">
        <v>106</v>
      </c>
      <c r="D160" s="182">
        <f t="shared" si="10"/>
        <v>6315.48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174</v>
      </c>
      <c r="B161" s="175">
        <f>'Données projet'!D154</f>
        <v>214.77</v>
      </c>
      <c r="C161" s="191">
        <v>106</v>
      </c>
      <c r="D161" s="182">
        <f t="shared" si="10"/>
        <v>22765.620000000003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177</v>
      </c>
      <c r="B162" s="175">
        <f>'Données projet'!D155</f>
        <v>115.19</v>
      </c>
      <c r="C162" s="191">
        <v>106</v>
      </c>
      <c r="D162" s="182">
        <f t="shared" si="10"/>
        <v>12210.14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180</v>
      </c>
      <c r="B163" s="175">
        <f>'Données projet'!D156</f>
        <v>77.72</v>
      </c>
      <c r="C163" s="191">
        <v>106</v>
      </c>
      <c r="D163" s="182">
        <f t="shared" si="10"/>
        <v>8238.32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183</v>
      </c>
      <c r="B164" s="175">
        <f>'Données projet'!D157</f>
        <v>169.76</v>
      </c>
      <c r="C164" s="191">
        <v>106</v>
      </c>
      <c r="D164" s="182">
        <f t="shared" si="10"/>
        <v>17994.559999999998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27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51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196</v>
      </c>
      <c r="C172" s="198" t="s">
        <v>196</v>
      </c>
      <c r="D172" s="197" t="s">
        <v>196</v>
      </c>
      <c r="E172" s="193">
        <f>1200+1200+(390+(0.45*150))/'Données projet'!D14</f>
        <v>5018.775042930738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196</v>
      </c>
      <c r="C173" s="198" t="s">
        <v>196</v>
      </c>
      <c r="D173" s="197" t="s">
        <v>196</v>
      </c>
      <c r="E173" s="193">
        <f>220</f>
        <v>220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196</v>
      </c>
      <c r="C174" s="198" t="s">
        <v>196</v>
      </c>
      <c r="D174" s="197" t="s">
        <v>196</v>
      </c>
      <c r="E174" s="193">
        <f>400+15%*E172</f>
        <v>1152.8162564396107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196</v>
      </c>
      <c r="C175" s="198" t="s">
        <v>196</v>
      </c>
      <c r="D175" s="197" t="s">
        <v>196</v>
      </c>
      <c r="E175" s="193">
        <f>220</f>
        <v>220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196</v>
      </c>
      <c r="C176" s="198" t="s">
        <v>196</v>
      </c>
      <c r="D176" s="197" t="s">
        <v>196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196</v>
      </c>
      <c r="C177" s="198" t="s">
        <v>196</v>
      </c>
      <c r="D177" s="197" t="s">
        <v>196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42</v>
      </c>
      <c r="B178" s="181">
        <f>'Données projet'!D166</f>
        <v>43.21</v>
      </c>
      <c r="C178" s="193">
        <v>21.5</v>
      </c>
      <c r="D178" s="179">
        <f>B178*C178</f>
        <v>929.01499999999999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50</v>
      </c>
      <c r="B179" s="181">
        <f>'Données projet'!D167</f>
        <v>35.58</v>
      </c>
      <c r="C179" s="193">
        <v>21.5</v>
      </c>
      <c r="D179" s="179">
        <f t="shared" ref="D179:D197" si="11">B179*C179</f>
        <v>764.96999999999991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58</v>
      </c>
      <c r="B180" s="181">
        <f>'Données projet'!D168</f>
        <v>44.93</v>
      </c>
      <c r="C180" s="193">
        <v>21.5</v>
      </c>
      <c r="D180" s="179">
        <f t="shared" si="11"/>
        <v>965.995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66</v>
      </c>
      <c r="B181" s="181">
        <f>'Données projet'!D169</f>
        <v>49.91</v>
      </c>
      <c r="C181" s="193">
        <v>38</v>
      </c>
      <c r="D181" s="179">
        <f t="shared" si="11"/>
        <v>1896.58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74</v>
      </c>
      <c r="B182" s="181">
        <f>'Données projet'!D170</f>
        <v>47.4</v>
      </c>
      <c r="C182" s="193">
        <v>38</v>
      </c>
      <c r="D182" s="179">
        <f t="shared" si="11"/>
        <v>1801.2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84</v>
      </c>
      <c r="B183" s="181">
        <f>'Données projet'!D171</f>
        <v>61.47</v>
      </c>
      <c r="C183" s="193">
        <v>38</v>
      </c>
      <c r="D183" s="179">
        <f t="shared" si="11"/>
        <v>2335.86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94</v>
      </c>
      <c r="B184" s="181">
        <f>'Données projet'!D172</f>
        <v>61.85</v>
      </c>
      <c r="C184" s="193">
        <v>38</v>
      </c>
      <c r="D184" s="179">
        <f t="shared" si="11"/>
        <v>2350.3000000000002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104</v>
      </c>
      <c r="B185" s="181">
        <f>'Données projet'!D173</f>
        <v>60.19</v>
      </c>
      <c r="C185" s="193">
        <v>38</v>
      </c>
      <c r="D185" s="179">
        <f t="shared" si="11"/>
        <v>2287.2199999999998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114</v>
      </c>
      <c r="B186" s="181">
        <f>'Données projet'!D174</f>
        <v>56.07</v>
      </c>
      <c r="C186" s="193">
        <v>38</v>
      </c>
      <c r="D186" s="179">
        <f t="shared" si="11"/>
        <v>2130.66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124</v>
      </c>
      <c r="B187" s="181">
        <f>'Données projet'!D175</f>
        <v>52.53</v>
      </c>
      <c r="C187" s="193">
        <v>38</v>
      </c>
      <c r="D187" s="179">
        <f t="shared" si="11"/>
        <v>1996.14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134</v>
      </c>
      <c r="B188" s="181">
        <f>'Données projet'!D176</f>
        <v>54.95</v>
      </c>
      <c r="C188" s="193">
        <v>38</v>
      </c>
      <c r="D188" s="179">
        <f t="shared" si="11"/>
        <v>2088.1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144</v>
      </c>
      <c r="B189" s="181">
        <f>'Données projet'!D177</f>
        <v>56.01</v>
      </c>
      <c r="C189" s="193">
        <v>38</v>
      </c>
      <c r="D189" s="179">
        <f t="shared" si="11"/>
        <v>2128.38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154</v>
      </c>
      <c r="B190" s="181">
        <f>'Données projet'!D178</f>
        <v>55.13</v>
      </c>
      <c r="C190" s="193">
        <v>38</v>
      </c>
      <c r="D190" s="179">
        <f t="shared" si="11"/>
        <v>2094.94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164</v>
      </c>
      <c r="B191" s="181">
        <f>'Données projet'!D179</f>
        <v>59.58</v>
      </c>
      <c r="C191" s="193">
        <v>38</v>
      </c>
      <c r="D191" s="179">
        <f t="shared" si="11"/>
        <v>2264.04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174</v>
      </c>
      <c r="B192" s="181">
        <f>'Données projet'!D180</f>
        <v>214.77</v>
      </c>
      <c r="C192" s="193">
        <v>38</v>
      </c>
      <c r="D192" s="179">
        <f t="shared" si="11"/>
        <v>8161.26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177</v>
      </c>
      <c r="B193" s="181">
        <f>'Données projet'!D181</f>
        <v>115.19</v>
      </c>
      <c r="C193" s="193">
        <v>38</v>
      </c>
      <c r="D193" s="179">
        <f t="shared" si="11"/>
        <v>4377.22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180</v>
      </c>
      <c r="B194" s="181">
        <f>'Données projet'!D182</f>
        <v>77.72</v>
      </c>
      <c r="C194" s="193">
        <v>38</v>
      </c>
      <c r="D194" s="179">
        <f t="shared" si="11"/>
        <v>2953.36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183</v>
      </c>
      <c r="B195" s="181">
        <f>'Données projet'!D183</f>
        <v>169.76</v>
      </c>
      <c r="C195" s="193">
        <v>38</v>
      </c>
      <c r="D195" s="179">
        <f t="shared" si="11"/>
        <v>6450.8799999999992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29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51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196</v>
      </c>
      <c r="C203" s="198" t="s">
        <v>196</v>
      </c>
      <c r="D203" s="197" t="s">
        <v>196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196</v>
      </c>
      <c r="C204" s="198" t="s">
        <v>196</v>
      </c>
      <c r="D204" s="197" t="s">
        <v>196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196</v>
      </c>
      <c r="C205" s="198" t="s">
        <v>196</v>
      </c>
      <c r="D205" s="197" t="s">
        <v>196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196</v>
      </c>
      <c r="C206" s="198" t="s">
        <v>196</v>
      </c>
      <c r="D206" s="197" t="s">
        <v>196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196</v>
      </c>
      <c r="C207" s="198" t="s">
        <v>196</v>
      </c>
      <c r="D207" s="197" t="s">
        <v>196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196</v>
      </c>
      <c r="C208" s="198" t="s">
        <v>196</v>
      </c>
      <c r="D208" s="197" t="s">
        <v>196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30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51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196</v>
      </c>
      <c r="C234" s="198" t="s">
        <v>196</v>
      </c>
      <c r="D234" s="197" t="s">
        <v>196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196</v>
      </c>
      <c r="C235" s="198" t="s">
        <v>196</v>
      </c>
      <c r="D235" s="197" t="s">
        <v>196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196</v>
      </c>
      <c r="C236" s="198" t="s">
        <v>196</v>
      </c>
      <c r="D236" s="197" t="s">
        <v>196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196</v>
      </c>
      <c r="C237" s="198" t="s">
        <v>196</v>
      </c>
      <c r="D237" s="197" t="s">
        <v>196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196</v>
      </c>
      <c r="C238" s="198" t="s">
        <v>196</v>
      </c>
      <c r="D238" s="197" t="s">
        <v>196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196</v>
      </c>
      <c r="C239" s="198" t="s">
        <v>196</v>
      </c>
      <c r="D239" s="197" t="s">
        <v>196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31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51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196</v>
      </c>
      <c r="C265" s="198" t="s">
        <v>196</v>
      </c>
      <c r="D265" s="197" t="s">
        <v>196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196</v>
      </c>
      <c r="C266" s="198" t="s">
        <v>196</v>
      </c>
      <c r="D266" s="197" t="s">
        <v>196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196</v>
      </c>
      <c r="C267" s="198" t="s">
        <v>196</v>
      </c>
      <c r="D267" s="197" t="s">
        <v>196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196</v>
      </c>
      <c r="C268" s="198" t="s">
        <v>196</v>
      </c>
      <c r="D268" s="197" t="s">
        <v>196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196</v>
      </c>
      <c r="C269" s="198" t="s">
        <v>196</v>
      </c>
      <c r="D269" s="197" t="s">
        <v>196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196</v>
      </c>
      <c r="C270" s="198" t="s">
        <v>196</v>
      </c>
      <c r="D270" s="197" t="s">
        <v>196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32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51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196</v>
      </c>
      <c r="C296" s="198" t="s">
        <v>196</v>
      </c>
      <c r="D296" s="197" t="s">
        <v>196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196</v>
      </c>
      <c r="C297" s="198" t="s">
        <v>196</v>
      </c>
      <c r="D297" s="197" t="s">
        <v>196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196</v>
      </c>
      <c r="C298" s="198" t="s">
        <v>196</v>
      </c>
      <c r="D298" s="197" t="s">
        <v>196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196</v>
      </c>
      <c r="C299" s="198" t="s">
        <v>196</v>
      </c>
      <c r="D299" s="197" t="s">
        <v>196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196</v>
      </c>
      <c r="C300" s="198" t="s">
        <v>196</v>
      </c>
      <c r="D300" s="197" t="s">
        <v>196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196</v>
      </c>
      <c r="C301" s="198" t="s">
        <v>196</v>
      </c>
      <c r="D301" s="197" t="s">
        <v>196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3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Nathan AMIENS</cp:lastModifiedBy>
  <cp:revision/>
  <dcterms:created xsi:type="dcterms:W3CDTF">2021-02-01T08:22:39Z</dcterms:created>
  <dcterms:modified xsi:type="dcterms:W3CDTF">2025-07-22T14:02:30Z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