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Pyrénées\BAIGTS de BEARN (64) M.LAFITTE André\Dossier à déposer\"/>
    </mc:Choice>
  </mc:AlternateContent>
  <xr:revisionPtr revIDLastSave="0" documentId="13_ncr:1_{C5AF1027-AF86-4DA0-B7A9-BD3D88516B3D}" xr6:coauthVersionLast="36" xr6:coauthVersionMax="36" xr10:uidLastSave="{00000000-0000-0000-0000-000000000000}"/>
  <bookViews>
    <workbookView xWindow="0" yWindow="0" windowWidth="28800" windowHeight="12612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<sst xmlns="http://schemas.openxmlformats.org/spreadsheetml/2006/main" count="1166" uniqueCount="324">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</sst>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86.557695432218452</c:v>
                </c:pt>
                <c:pt idx="7">
                  <c:v>114.79386073387418</c:v>
                </c:pt>
                <c:pt idx="8">
                  <c:v>142.85889776559074</c:v>
                </c:pt>
                <c:pt idx="9">
                  <c:v>170.79137460696464</c:v>
                </c:pt>
                <c:pt idx="10">
                  <c:v>198.61608801133966</c:v>
                </c:pt>
                <c:pt idx="11">
                  <c:v>170.79137460696464</c:v>
                </c:pt>
                <c:pt idx="12">
                  <c:v>197.83360065109466</c:v>
                </c:pt>
                <c:pt idx="13">
                  <c:v>224.78996180947172</c:v>
                </c:pt>
                <c:pt idx="14">
                  <c:v>251.67220666437959</c:v>
                </c:pt>
                <c:pt idx="15">
                  <c:v>278.48936400091264</c:v>
                </c:pt>
                <c:pt idx="16">
                  <c:v>258.28507230454863</c:v>
                </c:pt>
                <c:pt idx="17">
                  <c:v>282.75904421972086</c:v>
                </c:pt>
                <c:pt idx="18">
                  <c:v>307.18556432776853</c:v>
                </c:pt>
                <c:pt idx="19">
                  <c:v>331.56893409573678</c:v>
                </c:pt>
                <c:pt idx="20">
                  <c:v>355.91277070439497</c:v>
                </c:pt>
                <c:pt idx="21">
                  <c:v>341.23373557401311</c:v>
                </c:pt>
                <c:pt idx="22">
                  <c:v>361.31746248867267</c:v>
                </c:pt>
                <c:pt idx="23">
                  <c:v>381.37678831502052</c:v>
                </c:pt>
                <c:pt idx="24">
                  <c:v>401.41317632821421</c:v>
                </c:pt>
                <c:pt idx="25">
                  <c:v>421.42793186976093</c:v>
                </c:pt>
                <c:pt idx="26">
                  <c:v>411.03827995947972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460.62919798538474</c:v>
                </c:pt>
                <c:pt idx="30">
                  <c:v>477.13349754486762</c:v>
                </c:pt>
                <c:pt idx="31">
                  <c:v>469.45861841140714</c:v>
                </c:pt>
                <c:pt idx="32">
                  <c:v>482.88793138455003</c:v>
                </c:pt>
                <c:pt idx="33">
                  <c:v>496.30931275327697</c:v>
                </c:pt>
                <c:pt idx="34">
                  <c:v>509.72300718239177</c:v>
                </c:pt>
                <c:pt idx="35">
                  <c:v>523.12924541243819</c:v>
                </c:pt>
                <c:pt idx="36">
                  <c:v>517.76763064124987</c:v>
                </c:pt>
                <c:pt idx="37">
                  <c:v>529.6382221432558</c:v>
                </c:pt>
                <c:pt idx="38">
                  <c:v>541.50321514452014</c:v>
                </c:pt>
                <c:pt idx="39">
                  <c:v>553.36274958383854</c:v>
                </c:pt>
                <c:pt idx="40">
                  <c:v>565.21695891368074</c:v>
                </c:pt>
                <c:pt idx="41">
                  <c:v>563.30534449457025</c:v>
                </c:pt>
                <c:pt idx="42">
                  <c:v>574.77301329675208</c:v>
                </c:pt>
                <c:pt idx="43">
                  <c:v>586.23590668718805</c:v>
                </c:pt>
                <c:pt idx="44">
                  <c:v>597.6941311815882</c:v>
                </c:pt>
                <c:pt idx="45">
                  <c:v>609.14778887966042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G46" sqref="G4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1.56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44</v>
      </c>
      <c r="C9" s="35">
        <v>1</v>
      </c>
      <c r="D9" s="36">
        <f t="shared" ref="D9:D18" si="0">C9*$C$5</f>
        <v>1.56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1.56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Robinier faux-acacia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5</v>
      </c>
      <c r="B36" s="63">
        <v>34</v>
      </c>
      <c r="C36" s="63">
        <v>1</v>
      </c>
      <c r="D36" s="63">
        <v>6</v>
      </c>
      <c r="E36" s="54"/>
      <c r="F36" s="54"/>
      <c r="G36" s="54">
        <v>1</v>
      </c>
      <c r="H36" s="54"/>
      <c r="I36" s="52">
        <f>IFERROR(B36/A36,"")</f>
        <v>6.8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10</v>
      </c>
      <c r="B37" s="63">
        <v>99</v>
      </c>
      <c r="C37" s="63">
        <v>2</v>
      </c>
      <c r="D37" s="63">
        <v>28</v>
      </c>
      <c r="E37" s="54"/>
      <c r="F37" s="54"/>
      <c r="G37" s="54">
        <v>1</v>
      </c>
      <c r="H37" s="54"/>
      <c r="I37" s="56">
        <f t="shared" ref="I37:I55" si="1">IF(A37&lt;&gt;0,(B37-(B36-D36))/(A37-A36),"")</f>
        <v>14.2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15</v>
      </c>
      <c r="B38" s="63">
        <v>140</v>
      </c>
      <c r="C38" s="63">
        <v>3</v>
      </c>
      <c r="D38" s="63">
        <v>23</v>
      </c>
      <c r="E38" s="54"/>
      <c r="F38" s="54"/>
      <c r="G38" s="54">
        <v>1</v>
      </c>
      <c r="H38" s="54"/>
      <c r="I38" s="56">
        <f t="shared" si="1"/>
        <v>13.8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20</v>
      </c>
      <c r="B39" s="63">
        <v>180</v>
      </c>
      <c r="C39" s="63">
        <v>4</v>
      </c>
      <c r="D39" s="63">
        <v>18</v>
      </c>
      <c r="E39" s="54">
        <v>0.2</v>
      </c>
      <c r="F39" s="54">
        <v>0.3</v>
      </c>
      <c r="G39" s="54">
        <v>0.5</v>
      </c>
      <c r="H39" s="54"/>
      <c r="I39" s="52">
        <f t="shared" si="1"/>
        <v>12.6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25</v>
      </c>
      <c r="B40" s="63">
        <v>214</v>
      </c>
      <c r="C40" s="63">
        <v>5</v>
      </c>
      <c r="D40" s="63">
        <v>14</v>
      </c>
      <c r="E40" s="54">
        <v>0.3</v>
      </c>
      <c r="F40" s="54">
        <v>0.2</v>
      </c>
      <c r="G40" s="54">
        <v>0.5</v>
      </c>
      <c r="H40" s="54"/>
      <c r="I40" s="52">
        <f t="shared" si="1"/>
        <v>10.4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30</v>
      </c>
      <c r="B41" s="63">
        <v>243</v>
      </c>
      <c r="C41" s="63">
        <v>6</v>
      </c>
      <c r="D41" s="63">
        <v>11</v>
      </c>
      <c r="E41" s="54">
        <v>0.4</v>
      </c>
      <c r="F41" s="54">
        <v>0.2</v>
      </c>
      <c r="G41" s="54">
        <v>0.4</v>
      </c>
      <c r="H41" s="54"/>
      <c r="I41" s="56">
        <f t="shared" si="1"/>
        <v>8.6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35</v>
      </c>
      <c r="B42" s="63">
        <v>267</v>
      </c>
      <c r="C42" s="63">
        <v>7</v>
      </c>
      <c r="D42" s="63">
        <v>9</v>
      </c>
      <c r="E42" s="54"/>
      <c r="F42" s="54"/>
      <c r="G42" s="54"/>
      <c r="H42" s="54"/>
      <c r="I42" s="56">
        <f t="shared" si="1"/>
        <v>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40</v>
      </c>
      <c r="B43" s="63">
        <v>289</v>
      </c>
      <c r="C43" s="63">
        <v>8</v>
      </c>
      <c r="D43" s="63">
        <v>7</v>
      </c>
      <c r="E43" s="54"/>
      <c r="F43" s="54"/>
      <c r="G43" s="54"/>
      <c r="H43" s="54"/>
      <c r="I43" s="52">
        <f t="shared" si="1"/>
        <v>6.2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45</v>
      </c>
      <c r="B44" s="63">
        <v>312</v>
      </c>
      <c r="C44" s="63">
        <v>9</v>
      </c>
      <c r="D44" s="63">
        <v>312</v>
      </c>
      <c r="E44" s="54"/>
      <c r="F44" s="54"/>
      <c r="G44" s="54"/>
      <c r="H44" s="54"/>
      <c r="I44" s="52">
        <f t="shared" si="1"/>
        <v>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21" sqref="F2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Robinier faux-acacia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366.86025470473652</v>
      </c>
      <c r="T3" s="62">
        <f>IF('Données projet'!E9&gt;30,$R$33-$H$33,LOOKUP('Données projet'!$E$9,$A$3:$A$203,R3:R203)-LOOKUP('Données projet'!$E$9,$A$3:$A$203,$H$3:$H$203))</f>
        <v>513.80016421153414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6.8</v>
      </c>
      <c r="N4" s="14">
        <f>IF('Données projet'!$A$36&gt;35,N3+M4-V3,IF(A4&lt;'Données projet'!$A$36,$K$205^A4,IF(A4='Données projet'!$A$36,'Données projet'!$B$36,N3+M4-V3)))</f>
        <v>2.0243974584998852</v>
      </c>
      <c r="O4" s="14">
        <f>N4*VLOOKUP('Données projet'!$B$9,Paramètres!$A$1:$I$89,3,0)*VLOOKUP('Données projet'!$B$9,Paramètres!$A$1:$I$89,5,0)</f>
        <v>1.8316748204506961</v>
      </c>
      <c r="P4" s="14">
        <f>EXP(-1.0587+0.8836*LN(O4)+0.284)</f>
        <v>0.78669228172688432</v>
      </c>
      <c r="Q4" s="22">
        <f t="shared" ref="Q4:Q34" si="2">(O4+P4)*0.475*44/12</f>
        <v>4.5603227029592857</v>
      </c>
      <c r="R4" s="62">
        <f t="shared" si="0"/>
        <v>262.44921159184815</v>
      </c>
      <c r="S4" s="62">
        <f ca="1">AVERAGE(OFFSET($R$3,0,0,'Données projet'!$E$9+1,1))-AVERAGE(OFFSET($H$3,0,0,'Données projet'!$E$9+1,1))</f>
        <v>366.86025470473652</v>
      </c>
      <c r="T4" s="62">
        <f>$T$3</f>
        <v>513.80016421153414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6.8</v>
      </c>
      <c r="N5" s="14">
        <f>IF('Données projet'!$A$36&gt;35,N4+M5-V4,IF(A5&lt;'Données projet'!$A$36,$K$205^A5,IF(A5='Données projet'!$A$36,'Données projet'!$B$36,N4+M5-V4)))</f>
        <v>4.0981850699807945</v>
      </c>
      <c r="O5" s="14">
        <f>N5*VLOOKUP('Données projet'!$B$9,Paramètres!$A$1:$I$89,3,0)*VLOOKUP('Données projet'!$B$9,Paramètres!$A$1:$I$89,5,0)</f>
        <v>3.7080378513186227</v>
      </c>
      <c r="P5" s="14">
        <f t="shared" ref="P5:P68" si="33">EXP(-1.0587+0.8836*LN(O5)+0.284)</f>
        <v>1.4670598901857457</v>
      </c>
      <c r="Q5" s="22">
        <f t="shared" si="2"/>
        <v>9.0132952331201093</v>
      </c>
      <c r="R5" s="62">
        <f t="shared" si="0"/>
        <v>268.12440634423126</v>
      </c>
      <c r="S5" s="62">
        <f ca="1">AVERAGE(OFFSET($R$3,0,0,'Données projet'!$E$9+1,1))-AVERAGE(OFFSET($H$3,0,0,'Données projet'!$E$9+1,1))</f>
        <v>366.86025470473652</v>
      </c>
      <c r="T5" s="62">
        <f t="shared" ref="T5:T68" si="34">$T$3</f>
        <v>513.80016421153414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6.8</v>
      </c>
      <c r="N6" s="14">
        <f>IF('Données projet'!$A$36&gt;35,N5+M6-V5,IF(A6&lt;'Données projet'!$A$36,$K$205^A6,IF(A6='Données projet'!$A$36,'Données projet'!$B$36,N5+M6-V5)))</f>
        <v>8.2963554401312951</v>
      </c>
      <c r="O6" s="14">
        <f>N6*VLOOKUP('Données projet'!$B$9,Paramètres!$A$1:$I$89,3,0)*VLOOKUP('Données projet'!$B$9,Paramètres!$A$1:$I$89,5,0)</f>
        <v>7.5065424022307949</v>
      </c>
      <c r="P6" s="14">
        <f t="shared" si="33"/>
        <v>2.7358406474604431</v>
      </c>
      <c r="Q6" s="22">
        <f t="shared" si="2"/>
        <v>17.838817144878906</v>
      </c>
      <c r="R6" s="62">
        <f t="shared" si="0"/>
        <v>278.17215047821225</v>
      </c>
      <c r="S6" s="62">
        <f ca="1">AVERAGE(OFFSET($R$3,0,0,'Données projet'!$E$9+1,1))-AVERAGE(OFFSET($H$3,0,0,'Données projet'!$E$9+1,1))</f>
        <v>366.86025470473652</v>
      </c>
      <c r="T6" s="62">
        <f t="shared" si="34"/>
        <v>513.80016421153414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6.8</v>
      </c>
      <c r="N7" s="14">
        <f>IF('Données projet'!$A$36&gt;35,N6+M7-V6,IF(A7&lt;'Données projet'!$A$36,$K$205^A7,IF(A7='Données projet'!$A$36,'Données projet'!$B$36,N6+M7-V6)))</f>
        <v>16.795120867813488</v>
      </c>
      <c r="O7" s="14">
        <f>N7*VLOOKUP('Données projet'!$B$9,Paramètres!$A$1:$I$89,3,0)*VLOOKUP('Données projet'!$B$9,Paramètres!$A$1:$I$89,5,0)</f>
        <v>15.196225361197643</v>
      </c>
      <c r="P7" s="14">
        <f t="shared" si="33"/>
        <v>5.1019212633160578</v>
      </c>
      <c r="Q7" s="22">
        <f t="shared" si="2"/>
        <v>35.352605371028027</v>
      </c>
      <c r="R7" s="62">
        <f t="shared" si="0"/>
        <v>296.90816092658355</v>
      </c>
      <c r="S7" s="62">
        <f ca="1">AVERAGE(OFFSET($R$3,0,0,'Données projet'!$E$9+1,1))-AVERAGE(OFFSET($H$3,0,0,'Données projet'!$E$9+1,1))</f>
        <v>366.86025470473652</v>
      </c>
      <c r="T7" s="62">
        <f t="shared" si="34"/>
        <v>513.80016421153414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>
        <f>VLOOKUP(A8,'Données projet'!$A$35:$I$55,2,0)</f>
        <v>34</v>
      </c>
      <c r="L8" s="13">
        <f>VLOOKUP(A8,'Données projet'!$A$35:$I$55,9,0)</f>
        <v>6.8</v>
      </c>
      <c r="M8" s="13">
        <f t="array" ref="M8">INDEX(L:L,MIN(IF(ISNUMBER(L8:L204),ROW(L8:L204),"")))</f>
        <v>6.8</v>
      </c>
      <c r="N8" s="14">
        <f>IF('Données projet'!$A$36&gt;35,N7+M8-V7,IF(A8&lt;'Données projet'!$A$36,$K$205^A8,IF(A8='Données projet'!$A$36,'Données projet'!$B$36,N7+M8-V7)))</f>
        <v>34</v>
      </c>
      <c r="O8" s="14">
        <f>N8*VLOOKUP('Données projet'!$B$9,Paramètres!$A$1:$I$89,3,0)*VLOOKUP('Données projet'!$B$9,Paramètres!$A$1:$I$89,5,0)</f>
        <v>30.763199999999998</v>
      </c>
      <c r="P8" s="14">
        <f t="shared" si="33"/>
        <v>9.5142970411082253</v>
      </c>
      <c r="Q8" s="22">
        <f t="shared" si="2"/>
        <v>70.149974013263474</v>
      </c>
      <c r="R8" s="62">
        <f t="shared" si="0"/>
        <v>332.92775179104126</v>
      </c>
      <c r="S8" s="62">
        <f ca="1">AVERAGE(OFFSET($R$3,0,0,'Données projet'!$E$9+1,1))-AVERAGE(OFFSET($H$3,0,0,'Données projet'!$E$9+1,1))</f>
        <v>366.86025470473652</v>
      </c>
      <c r="T8" s="62">
        <f t="shared" si="34"/>
        <v>513.80016421153414</v>
      </c>
      <c r="U8" s="16">
        <f>IF(ISNA(VLOOKUP(A8,'Données projet'!$A$35:$I$55,3,0)),0,VLOOKUP(A8,'Données projet'!$A$35:$I$55,3,0))</f>
        <v>1</v>
      </c>
      <c r="V8" s="16">
        <f>IF(ISNA(VLOOKUP(A8,'Données projet'!$A$35:$I$55,4,0)),0,VLOOKUP(A8,'Données projet'!$A$35:$I$55,4,0))</f>
        <v>6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1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5.1222189140097312</v>
      </c>
      <c r="AC8" s="24">
        <f t="shared" si="3"/>
        <v>5.1222189140097312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14.2</v>
      </c>
      <c r="N9" s="14">
        <f>IF('Données projet'!$A$36&gt;35,N8+M9-V8,IF(A9&lt;'Données projet'!$A$36,$K$205^A9,IF(A9='Données projet'!$A$36,'Données projet'!$B$36,N8+M9-V8)))</f>
        <v>42.2</v>
      </c>
      <c r="O9" s="14">
        <f>N9*VLOOKUP('Données projet'!$B$9,Paramètres!$A$1:$I$89,3,0)*VLOOKUP('Données projet'!$B$9,Paramètres!$A$1:$I$89,5,0)</f>
        <v>38.182560000000002</v>
      </c>
      <c r="P9" s="14">
        <f t="shared" si="33"/>
        <v>11.515638334288104</v>
      </c>
      <c r="Q9" s="22">
        <f t="shared" si="2"/>
        <v>86.557695432218452</v>
      </c>
      <c r="R9" s="62">
        <f t="shared" si="0"/>
        <v>350.55769543221845</v>
      </c>
      <c r="S9" s="62">
        <f ca="1">AVERAGE(OFFSET($R$3,0,0,'Données projet'!$E$9+1,1))-AVERAGE(OFFSET($H$3,0,0,'Données projet'!$E$9+1,1))</f>
        <v>366.86025470473652</v>
      </c>
      <c r="T9" s="62">
        <f t="shared" si="34"/>
        <v>513.80016421153414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3.6219557288182744</v>
      </c>
      <c r="AC9" s="24">
        <f t="shared" si="3"/>
        <v>3.6219557288182744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14.2</v>
      </c>
      <c r="N10" s="14">
        <f>IF('Données projet'!$A$36&gt;35,N9+M10-V9,IF(A10&lt;'Données projet'!$A$36,$K$205^A10,IF(A10='Données projet'!$A$36,'Données projet'!$B$36,N9+M10-V9)))</f>
        <v>56.400000000000006</v>
      </c>
      <c r="O10" s="14">
        <f>N10*VLOOKUP('Données projet'!$B$9,Paramètres!$A$1:$I$89,3,0)*VLOOKUP('Données projet'!$B$9,Paramètres!$A$1:$I$89,5,0)</f>
        <v>51.030720000000009</v>
      </c>
      <c r="P10" s="14">
        <f t="shared" si="33"/>
        <v>14.879630660597618</v>
      </c>
      <c r="Q10" s="22">
        <f t="shared" si="2"/>
        <v>114.79386073387418</v>
      </c>
      <c r="R10" s="62">
        <f t="shared" si="0"/>
        <v>380.0160829560964</v>
      </c>
      <c r="S10" s="62">
        <f ca="1">AVERAGE(OFFSET($R$3,0,0,'Données projet'!$E$9+1,1))-AVERAGE(OFFSET($H$3,0,0,'Données projet'!$E$9+1,1))</f>
        <v>366.86025470473652</v>
      </c>
      <c r="T10" s="62">
        <f t="shared" si="34"/>
        <v>513.80016421153414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2.561109457004866</v>
      </c>
      <c r="AC10" s="24">
        <f t="shared" si="3"/>
        <v>2.561109457004866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14.2</v>
      </c>
      <c r="N11" s="14">
        <f>IF('Données projet'!$A$36&gt;35,N10+M11-V10,IF(A11&lt;'Données projet'!$A$36,$K$205^A11,IF(A11='Données projet'!$A$36,'Données projet'!$B$36,N10+M11-V10)))</f>
        <v>70.600000000000009</v>
      </c>
      <c r="O11" s="14">
        <f>N11*VLOOKUP('Données projet'!$B$9,Paramètres!$A$1:$I$89,3,0)*VLOOKUP('Données projet'!$B$9,Paramètres!$A$1:$I$89,5,0)</f>
        <v>63.878880000000002</v>
      </c>
      <c r="P11" s="14">
        <f t="shared" si="33"/>
        <v>18.145367520913332</v>
      </c>
      <c r="Q11" s="22">
        <f t="shared" si="2"/>
        <v>142.85889776559074</v>
      </c>
      <c r="R11" s="62">
        <f t="shared" si="0"/>
        <v>409.30334221003523</v>
      </c>
      <c r="S11" s="62">
        <f ca="1">AVERAGE(OFFSET($R$3,0,0,'Données projet'!$E$9+1,1))-AVERAGE(OFFSET($H$3,0,0,'Données projet'!$E$9+1,1))</f>
        <v>366.86025470473652</v>
      </c>
      <c r="T11" s="62">
        <f t="shared" si="34"/>
        <v>513.80016421153414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1.8109778644091374</v>
      </c>
      <c r="AC11" s="24">
        <f t="shared" si="3"/>
        <v>1.8109778644091374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14.2</v>
      </c>
      <c r="N12" s="14">
        <f>IF('Données projet'!$A$36&gt;35,N11+M12-V11,IF(A12&lt;'Données projet'!$A$36,$K$205^A12,IF(A12='Données projet'!$A$36,'Données projet'!$B$36,N11+M12-V11)))</f>
        <v>84.800000000000011</v>
      </c>
      <c r="O12" s="14">
        <f>N12*VLOOKUP('Données projet'!$B$9,Paramètres!$A$1:$I$89,3,0)*VLOOKUP('Données projet'!$B$9,Paramètres!$A$1:$I$89,5,0)</f>
        <v>76.727040000000017</v>
      </c>
      <c r="P12" s="14">
        <f t="shared" si="33"/>
        <v>21.334993267156719</v>
      </c>
      <c r="Q12" s="22">
        <f t="shared" si="2"/>
        <v>170.79137460696464</v>
      </c>
      <c r="R12" s="62">
        <f t="shared" si="0"/>
        <v>438.45804127363135</v>
      </c>
      <c r="S12" s="62">
        <f ca="1">AVERAGE(OFFSET($R$3,0,0,'Données projet'!$E$9+1,1))-AVERAGE(OFFSET($H$3,0,0,'Données projet'!$E$9+1,1))</f>
        <v>366.86025470473652</v>
      </c>
      <c r="T12" s="62">
        <f t="shared" si="34"/>
        <v>513.80016421153414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1.2805547285024332</v>
      </c>
      <c r="AC12" s="24">
        <f t="shared" si="3"/>
        <v>1.2805547285024332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99</v>
      </c>
      <c r="L13" s="13">
        <f>VLOOKUP(A13,'Données projet'!$A$35:$I$55,9,0)</f>
        <v>14.2</v>
      </c>
      <c r="M13" s="13">
        <f t="array" ref="M13">INDEX(L:L,MIN(IF(ISNUMBER(L13:L209),ROW(L13:L209),"")))</f>
        <v>14.2</v>
      </c>
      <c r="N13" s="14">
        <f>IF('Données projet'!$A$36&gt;35,N12+M13-V12,IF(A13&lt;'Données projet'!$A$36,$K$205^A13,IF(A13='Données projet'!$A$36,'Données projet'!$B$36,N12+M13-V12)))</f>
        <v>99.000000000000014</v>
      </c>
      <c r="O13" s="14">
        <f>N13*VLOOKUP('Données projet'!$B$9,Paramètres!$A$1:$I$89,3,0)*VLOOKUP('Données projet'!$B$9,Paramètres!$A$1:$I$89,5,0)</f>
        <v>89.575200000000009</v>
      </c>
      <c r="P13" s="14">
        <f t="shared" si="33"/>
        <v>24.462745269668691</v>
      </c>
      <c r="Q13" s="22">
        <f t="shared" si="2"/>
        <v>198.61608801133966</v>
      </c>
      <c r="R13" s="62">
        <f t="shared" si="0"/>
        <v>467.50497690022848</v>
      </c>
      <c r="S13" s="62">
        <f ca="1">AVERAGE(OFFSET($R$3,0,0,'Données projet'!$E$9+1,1))-AVERAGE(OFFSET($H$3,0,0,'Données projet'!$E$9+1,1))</f>
        <v>366.86025470473652</v>
      </c>
      <c r="T13" s="62">
        <f t="shared" si="34"/>
        <v>513.80016421153414</v>
      </c>
      <c r="U13" s="16">
        <f>IF(ISNA(VLOOKUP(A13,'Données projet'!$A$35:$I$55,3,0)),0,VLOOKUP(A13,'Données projet'!$A$35:$I$55,3,0))</f>
        <v>2</v>
      </c>
      <c r="V13" s="16">
        <f>IF(ISNA(VLOOKUP(A13,'Données projet'!$A$35:$I$55,4,0)),0,VLOOKUP(A13,'Données projet'!$A$35:$I$55,4,0))</f>
        <v>28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1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24.809177197583317</v>
      </c>
      <c r="AC13" s="24">
        <f t="shared" si="3"/>
        <v>24.809177197583317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13.8</v>
      </c>
      <c r="N14" s="14">
        <f>IF('Données projet'!$A$36&gt;35,N13+M14-V13,IF(A14&lt;'Données projet'!$A$36,$K$205^A14,IF(A14='Données projet'!$A$36,'Données projet'!$B$36,N13+M14-V13)))</f>
        <v>84.800000000000011</v>
      </c>
      <c r="O14" s="14">
        <f>N14*VLOOKUP('Données projet'!$B$9,Paramètres!$A$1:$I$89,3,0)*VLOOKUP('Données projet'!$B$9,Paramètres!$A$1:$I$89,5,0)</f>
        <v>76.727040000000017</v>
      </c>
      <c r="P14" s="14">
        <f t="shared" si="33"/>
        <v>21.334993267156719</v>
      </c>
      <c r="Q14" s="22">
        <f t="shared" si="2"/>
        <v>170.79137460696464</v>
      </c>
      <c r="R14" s="62">
        <f t="shared" si="0"/>
        <v>440.90248571807581</v>
      </c>
      <c r="S14" s="62">
        <f ca="1">AVERAGE(OFFSET($R$3,0,0,'Données projet'!$E$9+1,1))-AVERAGE(OFFSET($H$3,0,0,'Données projet'!$E$9+1,1))</f>
        <v>366.86025470473652</v>
      </c>
      <c r="T14" s="62">
        <f t="shared" si="34"/>
        <v>513.80016421153414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17.542737432069831</v>
      </c>
      <c r="AC14" s="24">
        <f t="shared" si="3"/>
        <v>17.542737432069831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13.8</v>
      </c>
      <c r="N15" s="14">
        <f>IF('Données projet'!$A$36&gt;35,N14+M15-V14,IF(A15&lt;'Données projet'!$A$36,$K$205^A15,IF(A15='Données projet'!$A$36,'Données projet'!$B$36,N14+M15-V14)))</f>
        <v>98.600000000000009</v>
      </c>
      <c r="O15" s="14">
        <f>N15*VLOOKUP('Données projet'!$B$9,Paramètres!$A$1:$I$89,3,0)*VLOOKUP('Données projet'!$B$9,Paramètres!$A$1:$I$89,5,0)</f>
        <v>89.213280000000012</v>
      </c>
      <c r="P15" s="14">
        <f t="shared" si="33"/>
        <v>24.375390230293569</v>
      </c>
      <c r="Q15" s="22">
        <f t="shared" si="2"/>
        <v>197.83360065109466</v>
      </c>
      <c r="R15" s="62">
        <f t="shared" si="0"/>
        <v>469.16693398442794</v>
      </c>
      <c r="S15" s="62">
        <f ca="1">AVERAGE(OFFSET($R$3,0,0,'Données projet'!$E$9+1,1))-AVERAGE(OFFSET($H$3,0,0,'Données projet'!$E$9+1,1))</f>
        <v>366.86025470473652</v>
      </c>
      <c r="T15" s="62">
        <f t="shared" si="34"/>
        <v>513.80016421153414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12.40458859879166</v>
      </c>
      <c r="AC15" s="24">
        <f t="shared" si="3"/>
        <v>12.40458859879166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13.8</v>
      </c>
      <c r="N16" s="14">
        <f>IF('Données projet'!$A$36&gt;35,N15+M16-V15,IF(A16&lt;'Données projet'!$A$36,$K$205^A16,IF(A16='Données projet'!$A$36,'Données projet'!$B$36,N15+M16-V15)))</f>
        <v>112.4</v>
      </c>
      <c r="O16" s="14">
        <f>N16*VLOOKUP('Données projet'!$B$9,Paramètres!$A$1:$I$89,3,0)*VLOOKUP('Données projet'!$B$9,Paramètres!$A$1:$I$89,5,0)</f>
        <v>101.69951999999999</v>
      </c>
      <c r="P16" s="14">
        <f t="shared" si="33"/>
        <v>27.366486780557949</v>
      </c>
      <c r="Q16" s="22">
        <f t="shared" si="2"/>
        <v>224.78996180947172</v>
      </c>
      <c r="R16" s="62">
        <f t="shared" si="0"/>
        <v>497.34551736502726</v>
      </c>
      <c r="S16" s="62">
        <f ca="1">AVERAGE(OFFSET($R$3,0,0,'Données projet'!$E$9+1,1))-AVERAGE(OFFSET($H$3,0,0,'Données projet'!$E$9+1,1))</f>
        <v>366.86025470473652</v>
      </c>
      <c r="T16" s="62">
        <f t="shared" si="34"/>
        <v>513.80016421153414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8.7713687160349174</v>
      </c>
      <c r="AC16" s="24">
        <f t="shared" si="3"/>
        <v>8.7713687160349174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13.8</v>
      </c>
      <c r="N17" s="14">
        <f>IF('Données projet'!$A$36&gt;35,N16+M17-V16,IF(A17&lt;'Données projet'!$A$36,$K$205^A17,IF(A17='Données projet'!$A$36,'Données projet'!$B$36,N16+M17-V16)))</f>
        <v>126.2</v>
      </c>
      <c r="O17" s="14">
        <f>N17*VLOOKUP('Données projet'!$B$9,Paramètres!$A$1:$I$89,3,0)*VLOOKUP('Données projet'!$B$9,Paramètres!$A$1:$I$89,5,0)</f>
        <v>114.18576</v>
      </c>
      <c r="P17" s="14">
        <f t="shared" si="33"/>
        <v>30.315028515433259</v>
      </c>
      <c r="Q17" s="22">
        <f t="shared" si="2"/>
        <v>251.67220666437959</v>
      </c>
      <c r="R17" s="62">
        <f t="shared" si="0"/>
        <v>525.4499844421573</v>
      </c>
      <c r="S17" s="62">
        <f ca="1">AVERAGE(OFFSET($R$3,0,0,'Données projet'!$E$9+1,1))-AVERAGE(OFFSET($H$3,0,0,'Données projet'!$E$9+1,1))</f>
        <v>366.86025470473652</v>
      </c>
      <c r="T17" s="62">
        <f t="shared" si="34"/>
        <v>513.80016421153414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6.202294299395831</v>
      </c>
      <c r="AC17" s="24">
        <f t="shared" si="3"/>
        <v>6.202294299395831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140</v>
      </c>
      <c r="L18" s="13">
        <f>VLOOKUP(A18,'Données projet'!$A$35:$I$55,9,0)</f>
        <v>13.8</v>
      </c>
      <c r="M18" s="13">
        <f t="array" ref="M18">INDEX(L:L,MIN(IF(ISNUMBER(L18:L214),ROW(L18:L214),"")))</f>
        <v>13.8</v>
      </c>
      <c r="N18" s="14">
        <f>IF('Données projet'!$A$36&gt;35,N17+M18-V17,IF(A18&lt;'Données projet'!$A$36,$K$205^A18,IF(A18='Données projet'!$A$36,'Données projet'!$B$36,N17+M18-V17)))</f>
        <v>140</v>
      </c>
      <c r="O18" s="14">
        <f>N18*VLOOKUP('Données projet'!$B$9,Paramètres!$A$1:$I$89,3,0)*VLOOKUP('Données projet'!$B$9,Paramètres!$A$1:$I$89,5,0)</f>
        <v>126.67199999999998</v>
      </c>
      <c r="P18" s="14">
        <f t="shared" si="33"/>
        <v>33.226199426361347</v>
      </c>
      <c r="Q18" s="22">
        <f t="shared" si="2"/>
        <v>278.48936400091264</v>
      </c>
      <c r="R18" s="62">
        <f t="shared" si="0"/>
        <v>553.4893640009127</v>
      </c>
      <c r="S18" s="62">
        <f ca="1">AVERAGE(OFFSET($R$3,0,0,'Données projet'!$E$9+1,1))-AVERAGE(OFFSET($H$3,0,0,'Données projet'!$E$9+1,1))</f>
        <v>366.86025470473652</v>
      </c>
      <c r="T18" s="62">
        <f t="shared" si="34"/>
        <v>513.80016421153414</v>
      </c>
      <c r="U18" s="16">
        <f>IF(ISNA(VLOOKUP(A18,'Données projet'!$A$35:$I$55,3,0)),0,VLOOKUP(A18,'Données projet'!$A$35:$I$55,3,0))</f>
        <v>3</v>
      </c>
      <c r="V18" s="16">
        <f>IF(ISNA(VLOOKUP(A18,'Données projet'!$A$35:$I$55,4,0)),0,VLOOKUP(A18,'Données projet'!$A$35:$I$55,4,0))</f>
        <v>23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1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24.02085686172143</v>
      </c>
      <c r="AC18" s="24">
        <f t="shared" si="3"/>
        <v>24.02085686172143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12.6</v>
      </c>
      <c r="N19" s="14">
        <f>IF('Données projet'!$A$36&gt;35,N18+M19-V18,IF(A19&lt;'Données projet'!$A$36,$K$205^A19,IF(A19='Données projet'!$A$36,'Données projet'!$B$36,N18+M19-V18)))</f>
        <v>129.6</v>
      </c>
      <c r="O19" s="14">
        <f>N19*VLOOKUP('Données projet'!$B$9,Paramètres!$A$1:$I$89,3,0)*VLOOKUP('Données projet'!$B$9,Paramètres!$A$1:$I$89,5,0)</f>
        <v>117.26208</v>
      </c>
      <c r="P19" s="14">
        <f t="shared" si="33"/>
        <v>31.035569170075775</v>
      </c>
      <c r="Q19" s="22">
        <f t="shared" si="2"/>
        <v>258.28507230454863</v>
      </c>
      <c r="R19" s="62">
        <f t="shared" si="0"/>
        <v>534.50729452677092</v>
      </c>
      <c r="S19" s="62">
        <f ca="1">AVERAGE(OFFSET($R$3,0,0,'Données projet'!$E$9+1,1))-AVERAGE(OFFSET($H$3,0,0,'Données projet'!$E$9+1,1))</f>
        <v>366.86025470473652</v>
      </c>
      <c r="T19" s="62">
        <f t="shared" si="34"/>
        <v>513.80016421153414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16.985310776834634</v>
      </c>
      <c r="AC19" s="24">
        <f t="shared" si="3"/>
        <v>16.985310776834634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12.6</v>
      </c>
      <c r="N20" s="14">
        <f>IF('Données projet'!$A$36&gt;35,N19+M20-V19,IF(A20&lt;'Données projet'!$A$36,$K$205^A20,IF(A20='Données projet'!$A$36,'Données projet'!$B$36,N19+M20-V19)))</f>
        <v>142.19999999999999</v>
      </c>
      <c r="O20" s="14">
        <f>N20*VLOOKUP('Données projet'!$B$9,Paramètres!$A$1:$I$89,3,0)*VLOOKUP('Données projet'!$B$9,Paramètres!$A$1:$I$89,5,0)</f>
        <v>128.66255999999998</v>
      </c>
      <c r="P20" s="14">
        <f t="shared" si="33"/>
        <v>33.687130461083775</v>
      </c>
      <c r="Q20" s="22">
        <f t="shared" si="2"/>
        <v>282.75904421972086</v>
      </c>
      <c r="R20" s="62">
        <f t="shared" si="0"/>
        <v>560.20348866416532</v>
      </c>
      <c r="S20" s="62">
        <f ca="1">AVERAGE(OFFSET($R$3,0,0,'Données projet'!$E$9+1,1))-AVERAGE(OFFSET($H$3,0,0,'Données projet'!$E$9+1,1))</f>
        <v>366.86025470473652</v>
      </c>
      <c r="T20" s="62">
        <f t="shared" si="34"/>
        <v>513.80016421153414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12.010428430860715</v>
      </c>
      <c r="AC20" s="24">
        <f t="shared" si="3"/>
        <v>12.010428430860715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12.6</v>
      </c>
      <c r="N21" s="14">
        <f>IF('Données projet'!$A$36&gt;35,N20+M21-V20,IF(A21&lt;'Données projet'!$A$36,$K$205^A21,IF(A21='Données projet'!$A$36,'Données projet'!$B$36,N20+M21-V20)))</f>
        <v>154.79999999999998</v>
      </c>
      <c r="O21" s="14">
        <f>N21*VLOOKUP('Données projet'!$B$9,Paramètres!$A$1:$I$89,3,0)*VLOOKUP('Données projet'!$B$9,Paramètres!$A$1:$I$89,5,0)</f>
        <v>140.06303999999997</v>
      </c>
      <c r="P21" s="14">
        <f t="shared" si="33"/>
        <v>36.31144669536954</v>
      </c>
      <c r="Q21" s="22">
        <f t="shared" si="2"/>
        <v>307.18556432776853</v>
      </c>
      <c r="R21" s="62">
        <f t="shared" si="0"/>
        <v>585.85223099443522</v>
      </c>
      <c r="S21" s="62">
        <f ca="1">AVERAGE(OFFSET($R$3,0,0,'Données projet'!$E$9+1,1))-AVERAGE(OFFSET($H$3,0,0,'Données projet'!$E$9+1,1))</f>
        <v>366.86025470473652</v>
      </c>
      <c r="T21" s="62">
        <f t="shared" si="34"/>
        <v>513.80016421153414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8.492655388417317</v>
      </c>
      <c r="AC21" s="24">
        <f t="shared" si="3"/>
        <v>8.492655388417317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12.6</v>
      </c>
      <c r="N22" s="14">
        <f>IF('Données projet'!$A$36&gt;35,N21+M22-V21,IF(A22&lt;'Données projet'!$A$36,$K$205^A22,IF(A22='Données projet'!$A$36,'Données projet'!$B$36,N21+M22-V21)))</f>
        <v>167.39999999999998</v>
      </c>
      <c r="O22" s="14">
        <f>N22*VLOOKUP('Données projet'!$B$9,Paramètres!$A$1:$I$89,3,0)*VLOOKUP('Données projet'!$B$9,Paramètres!$A$1:$I$89,5,0)</f>
        <v>151.46351999999999</v>
      </c>
      <c r="P22" s="14">
        <f t="shared" si="33"/>
        <v>38.910987614777085</v>
      </c>
      <c r="Q22" s="22">
        <f t="shared" si="2"/>
        <v>331.56893409573678</v>
      </c>
      <c r="R22" s="62">
        <f t="shared" si="0"/>
        <v>611.45782298462564</v>
      </c>
      <c r="S22" s="62">
        <f ca="1">AVERAGE(OFFSET($R$3,0,0,'Données projet'!$E$9+1,1))-AVERAGE(OFFSET($H$3,0,0,'Données projet'!$E$9+1,1))</f>
        <v>366.86025470473652</v>
      </c>
      <c r="T22" s="62">
        <f t="shared" si="34"/>
        <v>513.80016421153414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6.0052142154303576</v>
      </c>
      <c r="AC22" s="24">
        <f t="shared" si="3"/>
        <v>6.0052142154303576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180</v>
      </c>
      <c r="L23" s="13">
        <f>VLOOKUP(A23,'Données projet'!$A$35:$I$55,9,0)</f>
        <v>12.6</v>
      </c>
      <c r="M23" s="13">
        <f t="array" ref="M23">INDEX(L:L,MIN(IF(ISNUMBER(L23:L219),ROW(L23:L219),"")))</f>
        <v>12.6</v>
      </c>
      <c r="N23" s="14">
        <f>IF('Données projet'!$A$36&gt;35,N22+M23-V22,IF(A23&lt;'Données projet'!$A$36,$K$205^A23,IF(A23='Données projet'!$A$36,'Données projet'!$B$36,N22+M23-V22)))</f>
        <v>179.99999999999997</v>
      </c>
      <c r="O23" s="14">
        <f>N23*VLOOKUP('Données projet'!$B$9,Paramètres!$A$1:$I$89,3,0)*VLOOKUP('Données projet'!$B$9,Paramètres!$A$1:$I$89,5,0)</f>
        <v>162.86399999999998</v>
      </c>
      <c r="P23" s="14">
        <f t="shared" si="33"/>
        <v>41.487830069509123</v>
      </c>
      <c r="Q23" s="22">
        <f t="shared" si="2"/>
        <v>355.91277070439497</v>
      </c>
      <c r="R23" s="62">
        <f t="shared" si="0"/>
        <v>637.02388181550612</v>
      </c>
      <c r="S23" s="62">
        <f ca="1">AVERAGE(OFFSET($R$3,0,0,'Données projet'!$E$9+1,1))-AVERAGE(OFFSET($H$3,0,0,'Données projet'!$E$9+1,1))</f>
        <v>366.86025470473652</v>
      </c>
      <c r="T23" s="62">
        <f t="shared" si="34"/>
        <v>513.80016421153414</v>
      </c>
      <c r="U23" s="16">
        <f>IF(ISNA(VLOOKUP(A23,'Données projet'!$A$35:$I$55,3,0)),0,VLOOKUP(A23,'Données projet'!$A$35:$I$55,3,0))</f>
        <v>4</v>
      </c>
      <c r="V23" s="16">
        <f>IF(ISNA(VLOOKUP(A23,'Données projet'!$A$35:$I$55,4,0)),0,VLOOKUP(A23,'Données projet'!$A$35:$I$55,4,0))</f>
        <v>18</v>
      </c>
      <c r="W23" s="17">
        <f>IF(ISNA(VLOOKUP(A23,'Données projet'!$A$35:$I$55,5,0)),0%,VLOOKUP(A23,'Données projet'!$A$35:$I$55,5,0)*VLOOKUP('Données projet'!$B$9,Paramètres!$A$1:$I$89,7,0))</f>
        <v>0.06</v>
      </c>
      <c r="X23" s="78">
        <f>IF(ISNA(VLOOKUP(A23,'Données projet'!$A$35:$I$55,6,0)),0%,VLOOKUP(A23,'Données projet'!$A$35:$I$55,6,0)*VLOOKUP('Données projet'!$B$9,Paramètres!$A$1:$I$89,7,0))</f>
        <v>0.09</v>
      </c>
      <c r="Y23" s="17">
        <f>IF(ISNA(VLOOKUP(A23,'Données projet'!$A$35:$I$55,7,0)),0%,VLOOKUP(A23,'Données projet'!$A$35:$I$55,7,0))</f>
        <v>0.5</v>
      </c>
      <c r="Z23" s="23">
        <f>EXP(-LN(2)/35)*Z22+(1-EXP(-LN(2)/35))/(LN(2)/35)*V23*W23*VLOOKUP('Données projet'!$B$9,Paramètres!$A$1:$I$89,3,0)*0.475*44/12</f>
        <v>1.0802479673535264</v>
      </c>
      <c r="AA23" s="23">
        <f>EXP(-LN(2)/25)*AA22+(1-EXP(-LN(2)/25))/(LN(2)/25)*Calculateur!V23*Calculateur!X23*VLOOKUP('Données projet'!$B$9,Paramètres!$A$1:$I$89,3,0)*0.475*44/12</f>
        <v>1.6139919292489655</v>
      </c>
      <c r="AB23" s="23">
        <f>EXP(-LN(2)/2)*AB22+(1-EXP(-LN(2)/2))/(LN(2)/2)*V23*Y23*VLOOKUP('Données projet'!$B$9,Paramètres!$A$1:$I$89,3,0)*0.475*44/12</f>
        <v>11.929656065223256</v>
      </c>
      <c r="AC23" s="24">
        <f t="shared" si="3"/>
        <v>14.623895961825747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10.4</v>
      </c>
      <c r="N24" s="14">
        <f>IF('Données projet'!$A$36&gt;35,N23+M24-V23,IF(A24&lt;'Données projet'!$A$36,$K$205^A24,IF(A24='Données projet'!$A$36,'Données projet'!$B$36,N23+M24-V23)))</f>
        <v>172.39999999999998</v>
      </c>
      <c r="O24" s="14">
        <f>N24*VLOOKUP('Données projet'!$B$9,Paramètres!$A$1:$I$89,3,0)*VLOOKUP('Données projet'!$B$9,Paramètres!$A$1:$I$89,5,0)</f>
        <v>155.98751999999996</v>
      </c>
      <c r="P24" s="14">
        <f t="shared" si="33"/>
        <v>39.936155927663087</v>
      </c>
      <c r="Q24" s="22">
        <f t="shared" si="2"/>
        <v>341.23373557401311</v>
      </c>
      <c r="R24" s="62">
        <f t="shared" si="0"/>
        <v>623.56706890734642</v>
      </c>
      <c r="S24" s="62">
        <f ca="1">AVERAGE(OFFSET($R$3,0,0,'Données projet'!$E$9+1,1))-AVERAGE(OFFSET($H$3,0,0,'Données projet'!$E$9+1,1))</f>
        <v>366.86025470473652</v>
      </c>
      <c r="T24" s="62">
        <f t="shared" si="34"/>
        <v>513.80016421153414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1.0590649635999241</v>
      </c>
      <c r="AA24" s="23">
        <f>EXP(-LN(2)/25)*AA23+(1-EXP(-LN(2)/25))/(LN(2)/25)*Calculateur!V24*Calculateur!X24*VLOOKUP('Données projet'!$B$9,Paramètres!$A$1:$I$89,3,0)*0.475*44/12</f>
        <v>1.5698572350675057</v>
      </c>
      <c r="AB24" s="23">
        <f>EXP(-LN(2)/2)*AB23+(1-EXP(-LN(2)/2))/(LN(2)/2)*V24*Y24*VLOOKUP('Données projet'!$B$9,Paramètres!$A$1:$I$89,3,0)*0.475*44/12</f>
        <v>8.4355407009425907</v>
      </c>
      <c r="AC24" s="24">
        <f t="shared" si="3"/>
        <v>11.064462899610021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10.4</v>
      </c>
      <c r="N25" s="14">
        <f>IF('Données projet'!$A$36&gt;35,N24+M25-V24,IF(A25&lt;'Données projet'!$A$36,$K$205^A25,IF(A25='Données projet'!$A$36,'Données projet'!$B$36,N24+M25-V24)))</f>
        <v>182.79999999999998</v>
      </c>
      <c r="O25" s="14">
        <f>N25*VLOOKUP('Données projet'!$B$9,Paramètres!$A$1:$I$89,3,0)*VLOOKUP('Données projet'!$B$9,Paramètres!$A$1:$I$89,5,0)</f>
        <v>165.39743999999999</v>
      </c>
      <c r="P25" s="14">
        <f t="shared" si="33"/>
        <v>42.057562385840804</v>
      </c>
      <c r="Q25" s="22">
        <f t="shared" si="2"/>
        <v>361.31746248867267</v>
      </c>
      <c r="R25" s="62">
        <f t="shared" si="0"/>
        <v>644.87301804422827</v>
      </c>
      <c r="S25" s="62">
        <f ca="1">AVERAGE(OFFSET($R$3,0,0,'Données projet'!$E$9+1,1))-AVERAGE(OFFSET($H$3,0,0,'Données projet'!$E$9+1,1))</f>
        <v>366.86025470473652</v>
      </c>
      <c r="T25" s="62">
        <f t="shared" si="34"/>
        <v>513.80016421153414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1.0382973456295734</v>
      </c>
      <c r="AA25" s="23">
        <f>EXP(-LN(2)/25)*AA24+(1-EXP(-LN(2)/25))/(LN(2)/25)*Calculateur!V25*Calculateur!X25*VLOOKUP('Données projet'!$B$9,Paramètres!$A$1:$I$89,3,0)*0.475*44/12</f>
        <v>1.5269294064193808</v>
      </c>
      <c r="AB25" s="23">
        <f>EXP(-LN(2)/2)*AB24+(1-EXP(-LN(2)/2))/(LN(2)/2)*V25*Y25*VLOOKUP('Données projet'!$B$9,Paramètres!$A$1:$I$89,3,0)*0.475*44/12</f>
        <v>5.9648280326116287</v>
      </c>
      <c r="AC25" s="24">
        <f t="shared" si="3"/>
        <v>8.5300547846605834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10.4</v>
      </c>
      <c r="N26" s="14">
        <f>IF('Données projet'!$A$36&gt;35,N25+M26-V25,IF(A26&lt;'Données projet'!$A$36,$K$205^A26,IF(A26='Données projet'!$A$36,'Données projet'!$B$36,N25+M26-V25)))</f>
        <v>193.2</v>
      </c>
      <c r="O26" s="14">
        <f>N26*VLOOKUP('Données projet'!$B$9,Paramètres!$A$1:$I$89,3,0)*VLOOKUP('Données projet'!$B$9,Paramètres!$A$1:$I$89,5,0)</f>
        <v>174.80735999999999</v>
      </c>
      <c r="P26" s="14">
        <f t="shared" si="33"/>
        <v>44.164958649772579</v>
      </c>
      <c r="Q26" s="22">
        <f t="shared" si="2"/>
        <v>381.37678831502052</v>
      </c>
      <c r="R26" s="62">
        <f t="shared" si="0"/>
        <v>666.15456609279829</v>
      </c>
      <c r="S26" s="62">
        <f ca="1">AVERAGE(OFFSET($R$3,0,0,'Données projet'!$E$9+1,1))-AVERAGE(OFFSET($H$3,0,0,'Données projet'!$E$9+1,1))</f>
        <v>366.86025470473652</v>
      </c>
      <c r="T26" s="62">
        <f t="shared" si="34"/>
        <v>513.80016421153414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1.0179369679806252</v>
      </c>
      <c r="AA26" s="23">
        <f>EXP(-LN(2)/25)*AA25+(1-EXP(-LN(2)/25))/(LN(2)/25)*Calculateur!V26*Calculateur!X26*VLOOKUP('Données projet'!$B$9,Paramètres!$A$1:$I$89,3,0)*0.475*44/12</f>
        <v>1.4851754415031151</v>
      </c>
      <c r="AB26" s="23">
        <f>EXP(-LN(2)/2)*AB25+(1-EXP(-LN(2)/2))/(LN(2)/2)*V26*Y26*VLOOKUP('Données projet'!$B$9,Paramètres!$A$1:$I$89,3,0)*0.475*44/12</f>
        <v>4.2177703504712962</v>
      </c>
      <c r="AC26" s="24">
        <f t="shared" si="3"/>
        <v>6.7208827599550363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10.4</v>
      </c>
      <c r="N27" s="14">
        <f>IF('Données projet'!$A$36&gt;35,N26+M27-V26,IF(A27&lt;'Données projet'!$A$36,$K$205^A27,IF(A27='Données projet'!$A$36,'Données projet'!$B$36,N26+M27-V26)))</f>
        <v>203.6</v>
      </c>
      <c r="O27" s="14">
        <f>N27*VLOOKUP('Données projet'!$B$9,Paramètres!$A$1:$I$89,3,0)*VLOOKUP('Données projet'!$B$9,Paramètres!$A$1:$I$89,5,0)</f>
        <v>184.21727999999999</v>
      </c>
      <c r="P27" s="14">
        <f t="shared" si="33"/>
        <v>46.25918487744358</v>
      </c>
      <c r="Q27" s="22">
        <f t="shared" si="2"/>
        <v>401.41317632821421</v>
      </c>
      <c r="R27" s="62">
        <f t="shared" si="0"/>
        <v>687.41317632821415</v>
      </c>
      <c r="S27" s="62">
        <f ca="1">AVERAGE(OFFSET($R$3,0,0,'Données projet'!$E$9+1,1))-AVERAGE(OFFSET($H$3,0,0,'Données projet'!$E$9+1,1))</f>
        <v>366.86025470473652</v>
      </c>
      <c r="T27" s="62">
        <f t="shared" si="34"/>
        <v>513.80016421153414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0.99797584491876878</v>
      </c>
      <c r="AA27" s="23">
        <f>EXP(-LN(2)/25)*AA26+(1-EXP(-LN(2)/25))/(LN(2)/25)*Calculateur!V27*Calculateur!X27*VLOOKUP('Données projet'!$B$9,Paramètres!$A$1:$I$89,3,0)*0.475*44/12</f>
        <v>1.4445632409532303</v>
      </c>
      <c r="AB27" s="23">
        <f>EXP(-LN(2)/2)*AB26+(1-EXP(-LN(2)/2))/(LN(2)/2)*V27*Y27*VLOOKUP('Données projet'!$B$9,Paramètres!$A$1:$I$89,3,0)*0.475*44/12</f>
        <v>2.9824140163058148</v>
      </c>
      <c r="AC27" s="24">
        <f t="shared" si="3"/>
        <v>5.4249531021778141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214</v>
      </c>
      <c r="L28" s="13">
        <f>VLOOKUP(A28,'Données projet'!$A$35:$I$55,9,0)</f>
        <v>10.4</v>
      </c>
      <c r="M28" s="13">
        <f t="array" ref="M28">INDEX(L:L,MIN(IF(ISNUMBER(L28:L224),ROW(L28:L224),"")))</f>
        <v>10.4</v>
      </c>
      <c r="N28" s="14">
        <f>IF('Données projet'!$A$36&gt;35,N27+M28-V27,IF(A28&lt;'Données projet'!$A$36,$K$205^A28,IF(A28='Données projet'!$A$36,'Données projet'!$B$36,N27+M28-V27)))</f>
        <v>214</v>
      </c>
      <c r="O28" s="14">
        <f>N28*VLOOKUP('Données projet'!$B$9,Paramètres!$A$1:$I$89,3,0)*VLOOKUP('Données projet'!$B$9,Paramètres!$A$1:$I$89,5,0)</f>
        <v>193.62719999999999</v>
      </c>
      <c r="P28" s="14">
        <f t="shared" si="33"/>
        <v>48.340990547231193</v>
      </c>
      <c r="Q28" s="22">
        <f t="shared" si="2"/>
        <v>421.42793186976093</v>
      </c>
      <c r="R28" s="62">
        <f t="shared" si="0"/>
        <v>708.65015409198315</v>
      </c>
      <c r="S28" s="62">
        <f ca="1">AVERAGE(OFFSET($R$3,0,0,'Données projet'!$E$9+1,1))-AVERAGE(OFFSET($H$3,0,0,'Données projet'!$E$9+1,1))</f>
        <v>366.86025470473652</v>
      </c>
      <c r="T28" s="62">
        <f t="shared" si="34"/>
        <v>513.80016421153414</v>
      </c>
      <c r="U28" s="16">
        <f>IF(ISNA(VLOOKUP(A28,'Données projet'!$A$35:$I$55,3,0)),0,VLOOKUP(A28,'Données projet'!$A$35:$I$55,3,0))</f>
        <v>5</v>
      </c>
      <c r="V28" s="16">
        <f>IF(ISNA(VLOOKUP(A28,'Données projet'!$A$35:$I$55,4,0)),0,VLOOKUP(A28,'Données projet'!$A$35:$I$55,4,0))</f>
        <v>14</v>
      </c>
      <c r="W28" s="17">
        <f>IF(ISNA(VLOOKUP(A28,'Données projet'!$A$35:$I$55,5,0)),0%,VLOOKUP(A28,'Données projet'!$A$35:$I$55,5,0)*VLOOKUP('Données projet'!$B$9,Paramètres!$A$1:$I$89,7,0))</f>
        <v>0.09</v>
      </c>
      <c r="X28" s="17">
        <f>IF(ISNA(VLOOKUP(A28,'Données projet'!$A$35:$I$55,6,0)),0%,VLOOKUP(A28,'Données projet'!$A$35:$I$55,6,0)*VLOOKUP('Données projet'!$B$9,Paramètres!$A$1:$I$89,7,0))</f>
        <v>0.06</v>
      </c>
      <c r="Y28" s="17">
        <f>IF(ISNA(VLOOKUP(A28,'Données projet'!$A$35:$I$55,7,0)),0%,VLOOKUP(A28,'Données projet'!$A$35:$I$55,7,0))</f>
        <v>0.5</v>
      </c>
      <c r="Z28" s="23">
        <f>EXP(-LN(2)/35)*Z27+(1-EXP(-LN(2)/35))/(LN(2)/35)*V28*W28*VLOOKUP('Données projet'!$B$9,Paramètres!$A$1:$I$89,3,0)*0.475*44/12</f>
        <v>2.2386954425508532</v>
      </c>
      <c r="AA28" s="23">
        <f>EXP(-LN(2)/25)*AA27+(1-EXP(-LN(2)/25))/(LN(2)/25)*Calculateur!V28*Calculateur!X28*VLOOKUP('Données projet'!$B$9,Paramètres!$A$1:$I$89,3,0)*0.475*44/12</f>
        <v>2.2419462872181044</v>
      </c>
      <c r="AB28" s="23">
        <f>EXP(-LN(2)/2)*AB27+(1-EXP(-LN(2)/2))/(LN(2)/2)*V28*Y28*VLOOKUP('Données projet'!$B$9,Paramètres!$A$1:$I$89,3,0)*0.475*44/12</f>
        <v>8.0848072415803358</v>
      </c>
      <c r="AC28" s="24">
        <f t="shared" si="3"/>
        <v>12.565448971349294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8.6</v>
      </c>
      <c r="N29" s="14">
        <f>IF('Données projet'!$A$36&gt;35,N28+M29-V28,IF(A29&lt;'Données projet'!$A$36,$K$205^A29,IF(A29='Données projet'!$A$36,'Données projet'!$B$36,N28+M29-V28)))</f>
        <v>208.6</v>
      </c>
      <c r="O29" s="14">
        <f>N29*VLOOKUP('Données projet'!$B$9,Paramètres!$A$1:$I$89,3,0)*VLOOKUP('Données projet'!$B$9,Paramètres!$A$1:$I$89,5,0)</f>
        <v>188.74127999999999</v>
      </c>
      <c r="P29" s="14">
        <f t="shared" si="33"/>
        <v>47.261560168122358</v>
      </c>
      <c r="Q29" s="22">
        <f t="shared" si="2"/>
        <v>411.03827995947972</v>
      </c>
      <c r="R29" s="62">
        <f t="shared" si="0"/>
        <v>699.48272440392418</v>
      </c>
      <c r="S29" s="62">
        <f ca="1">AVERAGE(OFFSET($R$3,0,0,'Données projet'!$E$9+1,1))-AVERAGE(OFFSET($H$3,0,0,'Données projet'!$E$9+1,1))</f>
        <v>366.86025470473652</v>
      </c>
      <c r="T29" s="62">
        <f t="shared" si="34"/>
        <v>513.80016421153414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2.1947959903918219</v>
      </c>
      <c r="AA29" s="23">
        <f>EXP(-LN(2)/25)*AA28+(1-EXP(-LN(2)/25))/(LN(2)/25)*Calculateur!V29*Calculateur!X29*VLOOKUP('Données projet'!$B$9,Paramètres!$A$1:$I$89,3,0)*0.475*44/12</f>
        <v>2.1806401480952942</v>
      </c>
      <c r="AB29" s="23">
        <f>EXP(-LN(2)/2)*AB28+(1-EXP(-LN(2)/2))/(LN(2)/2)*V29*Y29*VLOOKUP('Données projet'!$B$9,Paramètres!$A$1:$I$89,3,0)*0.475*44/12</f>
        <v>5.7168220251075619</v>
      </c>
      <c r="AC29" s="24">
        <f t="shared" si="3"/>
        <v>10.092258163594678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8.6</v>
      </c>
      <c r="N30" s="14">
        <f>IF('Données projet'!$A$36&gt;35,N29+M30-V29,IF(A30&lt;'Données projet'!$A$36,$K$205^A30,IF(A30='Données projet'!$A$36,'Données projet'!$B$36,N29+M30-V29)))</f>
        <v>217.2</v>
      </c>
      <c r="O30" s="14">
        <f>N30*VLOOKUP('Données projet'!$B$9,Paramètres!$A$1:$I$89,3,0)*VLOOKUP('Données projet'!$B$9,Paramètres!$A$1:$I$89,5,0)</f>
        <v>196.52255999999997</v>
      </c>
      <c r="P30" s="14">
        <f t="shared" si="33"/>
        <v>48.979153257338155</v>
      </c>
      <c r="Q30" s="22">
        <f t="shared" si="2"/>
        <v>427.58215058986383</v>
      </c>
      <c r="R30" s="62">
        <f t="shared" si="0"/>
        <v>717.24881725653051</v>
      </c>
      <c r="S30" s="62">
        <f ca="1">AVERAGE(OFFSET($R$3,0,0,'Données projet'!$E$9+1,1))-AVERAGE(OFFSET($H$3,0,0,'Données projet'!$E$9+1,1))</f>
        <v>366.86025470473652</v>
      </c>
      <c r="T30" s="62">
        <f t="shared" si="34"/>
        <v>513.80016421153414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2.1517573797136076</v>
      </c>
      <c r="AA30" s="23">
        <f>EXP(-LN(2)/25)*AA29+(1-EXP(-LN(2)/25))/(LN(2)/25)*Calculateur!V30*Calculateur!X30*VLOOKUP('Données projet'!$B$9,Paramètres!$A$1:$I$89,3,0)*0.475*44/12</f>
        <v>2.121010428570747</v>
      </c>
      <c r="AB30" s="23">
        <f>EXP(-LN(2)/2)*AB29+(1-EXP(-LN(2)/2))/(LN(2)/2)*V30*Y30*VLOOKUP('Données projet'!$B$9,Paramètres!$A$1:$I$89,3,0)*0.475*44/12</f>
        <v>4.0424036207901688</v>
      </c>
      <c r="AC30" s="24">
        <f t="shared" si="3"/>
        <v>8.3151714290745247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8.6</v>
      </c>
      <c r="N31" s="14">
        <f>IF('Données projet'!$A$36&gt;35,N30+M31-V30,IF(A31&lt;'Données projet'!$A$36,$K$205^A31,IF(A31='Données projet'!$A$36,'Données projet'!$B$36,N30+M31-V30)))</f>
        <v>225.79999999999998</v>
      </c>
      <c r="O31" s="14">
        <f>N31*VLOOKUP('Données projet'!$B$9,Paramètres!$A$1:$I$89,3,0)*VLOOKUP('Données projet'!$B$9,Paramètres!$A$1:$I$89,5,0)</f>
        <v>204.30383999999995</v>
      </c>
      <c r="P31" s="14">
        <f t="shared" si="33"/>
        <v>50.688846269088558</v>
      </c>
      <c r="Q31" s="22">
        <f t="shared" si="2"/>
        <v>444.11226191866245</v>
      </c>
      <c r="R31" s="62">
        <f t="shared" si="0"/>
        <v>735.00115080755131</v>
      </c>
      <c r="S31" s="62">
        <f ca="1">AVERAGE(OFFSET($R$3,0,0,'Données projet'!$E$9+1,1))-AVERAGE(OFFSET($H$3,0,0,'Données projet'!$E$9+1,1))</f>
        <v>366.86025470473652</v>
      </c>
      <c r="T31" s="62">
        <f t="shared" si="34"/>
        <v>513.80016421153414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2.1095627299398325</v>
      </c>
      <c r="AA31" s="23">
        <f>EXP(-LN(2)/25)*AA30+(1-EXP(-LN(2)/25))/(LN(2)/25)*Calculateur!V31*Calculateur!X31*VLOOKUP('Données projet'!$B$9,Paramètres!$A$1:$I$89,3,0)*0.475*44/12</f>
        <v>2.0630112868623889</v>
      </c>
      <c r="AB31" s="23">
        <f>EXP(-LN(2)/2)*AB30+(1-EXP(-LN(2)/2))/(LN(2)/2)*V31*Y31*VLOOKUP('Données projet'!$B$9,Paramètres!$A$1:$I$89,3,0)*0.475*44/12</f>
        <v>2.8584110125537814</v>
      </c>
      <c r="AC31" s="24">
        <f t="shared" si="3"/>
        <v>7.0309850293560023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8.6</v>
      </c>
      <c r="N32" s="14">
        <f>IF('Données projet'!$A$36&gt;35,N31+M32-V31,IF(A32&lt;'Données projet'!$A$36,$K$205^A32,IF(A32='Données projet'!$A$36,'Données projet'!$B$36,N31+M32-V31)))</f>
        <v>234.39999999999998</v>
      </c>
      <c r="O32" s="14">
        <f>N32*VLOOKUP('Données projet'!$B$9,Paramètres!$A$1:$I$89,3,0)*VLOOKUP('Données projet'!$B$9,Paramètres!$A$1:$I$89,5,0)</f>
        <v>212.08511999999996</v>
      </c>
      <c r="P32" s="14">
        <f t="shared" si="33"/>
        <v>52.390974537063087</v>
      </c>
      <c r="Q32" s="22">
        <f t="shared" si="2"/>
        <v>460.62919798538474</v>
      </c>
      <c r="R32" s="62">
        <f t="shared" si="0"/>
        <v>752.74030909649582</v>
      </c>
      <c r="S32" s="62">
        <f ca="1">AVERAGE(OFFSET($R$3,0,0,'Données projet'!$E$9+1,1))-AVERAGE(OFFSET($H$3,0,0,'Données projet'!$E$9+1,1))</f>
        <v>366.86025470473652</v>
      </c>
      <c r="T32" s="62">
        <f t="shared" si="34"/>
        <v>513.80016421153414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2.0681954915119261</v>
      </c>
      <c r="AA32" s="23">
        <f>EXP(-LN(2)/25)*AA31+(1-EXP(-LN(2)/25))/(LN(2)/25)*Calculateur!V32*Calculateur!X32*VLOOKUP('Données projet'!$B$9,Paramètres!$A$1:$I$89,3,0)*0.475*44/12</f>
        <v>2.0065981347340882</v>
      </c>
      <c r="AB32" s="23">
        <f>EXP(-LN(2)/2)*AB31+(1-EXP(-LN(2)/2))/(LN(2)/2)*V32*Y32*VLOOKUP('Données projet'!$B$9,Paramètres!$A$1:$I$89,3,0)*0.475*44/12</f>
        <v>2.0212018103950844</v>
      </c>
      <c r="AC32" s="24">
        <f t="shared" si="3"/>
        <v>6.0959954366410987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243</v>
      </c>
      <c r="L33" s="13">
        <f>VLOOKUP(A33,'Données projet'!$A$35:$I$55,9,0)</f>
        <v>8.6</v>
      </c>
      <c r="M33" s="13">
        <f t="array" ref="M33">INDEX(L:L,MIN(IF(ISNUMBER(L33:L229),ROW(L33:L229),"")))</f>
        <v>8.6</v>
      </c>
      <c r="N33" s="14">
        <f>IF('Données projet'!$A$36&gt;35,N32+M33-V32,IF(A33&lt;'Données projet'!$A$36,$K$205^A33,IF(A33='Données projet'!$A$36,'Données projet'!$B$36,N32+M33-V32)))</f>
        <v>242.99999999999997</v>
      </c>
      <c r="O33" s="14">
        <f>N33*VLOOKUP('Données projet'!$B$9,Paramètres!$A$1:$I$89,3,0)*VLOOKUP('Données projet'!$B$9,Paramètres!$A$1:$I$89,5,0)</f>
        <v>219.86639999999997</v>
      </c>
      <c r="P33" s="14">
        <f t="shared" si="33"/>
        <v>54.085847394182416</v>
      </c>
      <c r="Q33" s="22">
        <f t="shared" si="2"/>
        <v>477.13349754486762</v>
      </c>
      <c r="R33" s="62">
        <f t="shared" si="0"/>
        <v>770.46683087820088</v>
      </c>
      <c r="S33" s="62">
        <f ca="1">AVERAGE(OFFSET($R$3,0,0,'Données projet'!$E$9+1,1))-AVERAGE(OFFSET($H$3,0,0,'Données projet'!$E$9+1,1))</f>
        <v>366.86025470473652</v>
      </c>
      <c r="T33" s="62">
        <f t="shared" si="34"/>
        <v>513.80016421153414</v>
      </c>
      <c r="U33" s="16">
        <f>IF(ISNA(VLOOKUP(A33,'Données projet'!$A$35:$I$55,3,0)),0,VLOOKUP(A33,'Données projet'!$A$35:$I$55,3,0))</f>
        <v>6</v>
      </c>
      <c r="V33" s="16">
        <f>IF(ISNA(VLOOKUP(A33,'Données projet'!$A$35:$I$55,4,0)),0,VLOOKUP(A33,'Données projet'!$A$35:$I$55,4,0))</f>
        <v>11</v>
      </c>
      <c r="W33" s="17">
        <f>IF(ISNA(VLOOKUP(A33,'Données projet'!$A$35:$I$55,5,0)),0%,VLOOKUP(A33,'Données projet'!$A$35:$I$55,5,0)*VLOOKUP('Données projet'!$B$9,Paramètres!$A$1:$I$89,7,0))</f>
        <v>0.12</v>
      </c>
      <c r="X33" s="17">
        <f>IF(ISNA(VLOOKUP(A33,'Données projet'!$A$35:$I$55,6,0)),0%,VLOOKUP(A33,'Données projet'!$A$35:$I$55,6,0)*VLOOKUP('Données projet'!$B$9,Paramètres!$A$1:$I$89,7,0))</f>
        <v>0.06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3.3479425106079317</v>
      </c>
      <c r="AA33" s="23">
        <f>EXP(-LN(2)/25)*AA32+(1-EXP(-LN(2)/25))/(LN(2)/25)*Calculateur!V33*Calculateur!X33*VLOOKUP('Données projet'!$B$9,Paramètres!$A$1:$I$89,3,0)*0.475*44/12</f>
        <v>2.6092798706891758</v>
      </c>
      <c r="AB33" s="23">
        <f>EXP(-LN(2)/2)*AB32+(1-EXP(-LN(2)/2))/(LN(2)/2)*V33*Y33*VLOOKUP('Données projet'!$B$9,Paramètres!$A$1:$I$89,3,0)*0.475*44/12</f>
        <v>5.1854993765506929</v>
      </c>
      <c r="AC33" s="24">
        <f t="shared" si="3"/>
        <v>11.1427217578478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</v>
      </c>
      <c r="N34" s="14">
        <f>IF('Données projet'!$A$36&gt;35,N33+M34-V33,IF(A34&lt;'Données projet'!$A$36,$K$205^A34,IF(A34='Données projet'!$A$36,'Données projet'!$B$36,N33+M34-V33)))</f>
        <v>238.99999999999997</v>
      </c>
      <c r="O34" s="14">
        <f>N34*VLOOKUP('Données projet'!$B$9,Paramètres!$A$1:$I$89,3,0)*VLOOKUP('Données projet'!$B$9,Paramètres!$A$1:$I$89,5,0)</f>
        <v>216.24719999999996</v>
      </c>
      <c r="P34" s="14">
        <f t="shared" si="33"/>
        <v>53.298418226645332</v>
      </c>
      <c r="Q34" s="22">
        <f t="shared" si="2"/>
        <v>469.45861841140714</v>
      </c>
      <c r="R34" s="62">
        <f t="shared" si="0"/>
        <v>762.79195174474046</v>
      </c>
      <c r="S34" s="62">
        <f ca="1">AVERAGE(OFFSET($R$3,0,0,'Données projet'!$E$9+1,1))-AVERAGE(OFFSET($H$3,0,0,'Données projet'!$E$9+1,1))</f>
        <v>366.86025470473652</v>
      </c>
      <c r="T34" s="62">
        <f t="shared" si="34"/>
        <v>513.80016421153414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3.2822914000182064</v>
      </c>
      <c r="AA34" s="23">
        <f>EXP(-LN(2)/25)*AA33+(1-EXP(-LN(2)/25))/(LN(2)/25)*Calculateur!V34*Calculateur!X34*VLOOKUP('Données projet'!$B$9,Paramètres!$A$1:$I$89,3,0)*0.475*44/12</f>
        <v>2.5379289754091157</v>
      </c>
      <c r="AB34" s="23">
        <f>EXP(-LN(2)/2)*AB33+(1-EXP(-LN(2)/2))/(LN(2)/2)*V34*Y34*VLOOKUP('Données projet'!$B$9,Paramètres!$A$1:$I$89,3,0)*0.475*44/12</f>
        <v>3.6667017729976097</v>
      </c>
      <c r="AC34" s="24">
        <f t="shared" si="3"/>
        <v>9.4869221484249309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</v>
      </c>
      <c r="N35" s="14">
        <f>IF('Données projet'!$A$36&gt;35,N34+M35-V34,IF(A35&lt;'Données projet'!$A$36,$K$205^A35,IF(A35='Données projet'!$A$36,'Données projet'!$B$36,N34+M35-V34)))</f>
        <v>245.99999999999997</v>
      </c>
      <c r="O35" s="14">
        <f>N35*VLOOKUP('Données projet'!$B$9,Paramètres!$A$1:$I$89,3,0)*VLOOKUP('Données projet'!$B$9,Paramètres!$A$1:$I$89,5,0)</f>
        <v>222.58079999999998</v>
      </c>
      <c r="P35" s="14">
        <f t="shared" si="33"/>
        <v>54.675428546153199</v>
      </c>
      <c r="Q35" s="22">
        <f t="shared" ref="Q35:Q66" si="53">(O35+P35)*0.475*44/12</f>
        <v>482.88793138455003</v>
      </c>
      <c r="R35" s="62">
        <f t="shared" si="0"/>
        <v>776.22126471788329</v>
      </c>
      <c r="S35" s="62">
        <f ca="1">AVERAGE(OFFSET($R$3,0,0,'Données projet'!$E$9+1,1))-AVERAGE(OFFSET($H$3,0,0,'Données projet'!$E$9+1,1))</f>
        <v>366.86025470473652</v>
      </c>
      <c r="T35" s="62">
        <f t="shared" si="34"/>
        <v>513.80016421153414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3.2179276676639224</v>
      </c>
      <c r="AA35" s="23">
        <f>EXP(-LN(2)/25)*AA34+(1-EXP(-LN(2)/25))/(LN(2)/25)*Calculateur!V35*Calculateur!X35*VLOOKUP('Données projet'!$B$9,Paramètres!$A$1:$I$89,3,0)*0.475*44/12</f>
        <v>2.4685291741126689</v>
      </c>
      <c r="AB35" s="23">
        <f>EXP(-LN(2)/2)*AB34+(1-EXP(-LN(2)/2))/(LN(2)/2)*V35*Y35*VLOOKUP('Données projet'!$B$9,Paramètres!$A$1:$I$89,3,0)*0.475*44/12</f>
        <v>2.5927496882753469</v>
      </c>
      <c r="AC35" s="24">
        <f t="shared" si="3"/>
        <v>8.2792065300519386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</v>
      </c>
      <c r="N36" s="14">
        <f>IF('Données projet'!$A$36&gt;35,N35+M36-V35,IF(A36&lt;'Données projet'!$A$36,$K$205^A36,IF(A36='Données projet'!$A$36,'Données projet'!$B$36,N35+M36-V35)))</f>
        <v>252.99999999999997</v>
      </c>
      <c r="O36" s="14">
        <f>N36*VLOOKUP('Données projet'!$B$9,Paramètres!$A$1:$I$89,3,0)*VLOOKUP('Données projet'!$B$9,Paramètres!$A$1:$I$89,5,0)</f>
        <v>228.91439999999997</v>
      </c>
      <c r="P36" s="14">
        <f t="shared" si="33"/>
        <v>56.047884834417424</v>
      </c>
      <c r="Q36" s="22">
        <f t="shared" si="53"/>
        <v>496.30931275327697</v>
      </c>
      <c r="R36" s="62">
        <f t="shared" si="0"/>
        <v>789.64264608661028</v>
      </c>
      <c r="S36" s="62">
        <f ca="1">AVERAGE(OFFSET($R$3,0,0,'Données projet'!$E$9+1,1))-AVERAGE(OFFSET($H$3,0,0,'Données projet'!$E$9+1,1))</f>
        <v>366.86025470473652</v>
      </c>
      <c r="T36" s="62">
        <f t="shared" si="34"/>
        <v>513.80016421153414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3.1548260688431053</v>
      </c>
      <c r="AA36" s="23">
        <f>EXP(-LN(2)/25)*AA35+(1-EXP(-LN(2)/25))/(LN(2)/25)*Calculateur!V36*Calculateur!X36*VLOOKUP('Données projet'!$B$9,Paramètres!$A$1:$I$89,3,0)*0.475*44/12</f>
        <v>2.4010271140322508</v>
      </c>
      <c r="AB36" s="23">
        <f>EXP(-LN(2)/2)*AB35+(1-EXP(-LN(2)/2))/(LN(2)/2)*V36*Y36*VLOOKUP('Données projet'!$B$9,Paramètres!$A$1:$I$89,3,0)*0.475*44/12</f>
        <v>1.8333508864988051</v>
      </c>
      <c r="AC36" s="24">
        <f t="shared" si="3"/>
        <v>7.3892040693741619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</v>
      </c>
      <c r="N37" s="14">
        <f>IF('Données projet'!$A$36&gt;35,N36+M37-V36,IF(A37&lt;'Données projet'!$A$36,$K$205^A37,IF(A37='Données projet'!$A$36,'Données projet'!$B$36,N36+M37-V36)))</f>
        <v>260</v>
      </c>
      <c r="O37" s="14">
        <f>N37*VLOOKUP('Données projet'!$B$9,Paramètres!$A$1:$I$89,3,0)*VLOOKUP('Données projet'!$B$9,Paramètres!$A$1:$I$89,5,0)</f>
        <v>235.24799999999999</v>
      </c>
      <c r="P37" s="14">
        <f t="shared" si="33"/>
        <v>57.41592756883739</v>
      </c>
      <c r="Q37" s="22">
        <f t="shared" si="53"/>
        <v>509.72300718239177</v>
      </c>
      <c r="R37" s="62">
        <f t="shared" si="0"/>
        <v>803.05634051572508</v>
      </c>
      <c r="S37" s="62">
        <f ca="1">AVERAGE(OFFSET($R$3,0,0,'Données projet'!$E$9+1,1))-AVERAGE(OFFSET($H$3,0,0,'Données projet'!$E$9+1,1))</f>
        <v>366.86025470473652</v>
      </c>
      <c r="T37" s="62">
        <f t="shared" si="34"/>
        <v>513.80016421153414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3.0929618538869899</v>
      </c>
      <c r="AA37" s="23">
        <f>EXP(-LN(2)/25)*AA36+(1-EXP(-LN(2)/25))/(LN(2)/25)*Calculateur!V37*Calculateur!X37*VLOOKUP('Données projet'!$B$9,Paramètres!$A$1:$I$89,3,0)*0.475*44/12</f>
        <v>2.3353709013345108</v>
      </c>
      <c r="AB37" s="23">
        <f>EXP(-LN(2)/2)*AB36+(1-EXP(-LN(2)/2))/(LN(2)/2)*V37*Y37*VLOOKUP('Données projet'!$B$9,Paramètres!$A$1:$I$89,3,0)*0.475*44/12</f>
        <v>1.2963748441376737</v>
      </c>
      <c r="AC37" s="24">
        <f t="shared" si="3"/>
        <v>6.7247075993591743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267</v>
      </c>
      <c r="L38" s="13">
        <f>VLOOKUP(A38,'Données projet'!$A$35:$I$55,9,0)</f>
        <v>7</v>
      </c>
      <c r="M38" s="13">
        <f t="array" ref="M38">INDEX(L:L,MIN(IF(ISNUMBER(L38:L234),ROW(L38:L234),"")))</f>
        <v>7</v>
      </c>
      <c r="N38" s="14">
        <f>IF('Données projet'!$A$36&gt;35,N37+M38-V37,IF(A38&lt;'Données projet'!$A$36,$K$205^A38,IF(A38='Données projet'!$A$36,'Données projet'!$B$36,N37+M38-V37)))</f>
        <v>267</v>
      </c>
      <c r="O38" s="14">
        <f>N38*VLOOKUP('Données projet'!$B$9,Paramètres!$A$1:$I$89,3,0)*VLOOKUP('Données projet'!$B$9,Paramètres!$A$1:$I$89,5,0)</f>
        <v>241.58159999999998</v>
      </c>
      <c r="P38" s="14">
        <f t="shared" si="33"/>
        <v>58.779689232021951</v>
      </c>
      <c r="Q38" s="22">
        <f t="shared" si="53"/>
        <v>523.12924541243819</v>
      </c>
      <c r="R38" s="62">
        <f t="shared" si="0"/>
        <v>816.46257874577145</v>
      </c>
      <c r="S38" s="62">
        <f ca="1">AVERAGE(OFFSET($R$3,0,0,'Données projet'!$E$9+1,1))-AVERAGE(OFFSET($H$3,0,0,'Données projet'!$E$9+1,1))</f>
        <v>366.86025470473652</v>
      </c>
      <c r="T38" s="62">
        <f t="shared" si="34"/>
        <v>513.80016421153414</v>
      </c>
      <c r="U38" s="16">
        <f>IF(ISNA(VLOOKUP(A38,'Données projet'!$A$35:$I$55,3,0)),0,VLOOKUP(A38,'Données projet'!$A$35:$I$55,3,0))</f>
        <v>7</v>
      </c>
      <c r="V38" s="16">
        <f>IF(ISNA(VLOOKUP(A38,'Données projet'!$A$35:$I$55,4,0)),0,VLOOKUP(A38,'Données projet'!$A$35:$I$55,4,0))</f>
        <v>9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3.0323107584527182</v>
      </c>
      <c r="AA38" s="23">
        <f>EXP(-LN(2)/25)*AA37+(1-EXP(-LN(2)/25))/(LN(2)/25)*Calculateur!V38*Calculateur!X38*VLOOKUP('Données projet'!$B$9,Paramètres!$A$1:$I$89,3,0)*0.475*44/12</f>
        <v>2.2715100612257002</v>
      </c>
      <c r="AB38" s="23">
        <f>EXP(-LN(2)/2)*AB37+(1-EXP(-LN(2)/2))/(LN(2)/2)*V38*Y38*VLOOKUP('Données projet'!$B$9,Paramètres!$A$1:$I$89,3,0)*0.475*44/12</f>
        <v>0.91667544324940275</v>
      </c>
      <c r="AC38" s="24">
        <f t="shared" si="3"/>
        <v>6.2204962629278215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6.2</v>
      </c>
      <c r="N39" s="14">
        <f>IF('Données projet'!$A$36&gt;35,N38+M39-V38,IF(A39&lt;'Données projet'!$A$36,$K$205^A39,IF(A39='Données projet'!$A$36,'Données projet'!$B$36,N38+M39-V38)))</f>
        <v>264.2</v>
      </c>
      <c r="O39" s="14">
        <f>N39*VLOOKUP('Données projet'!$B$9,Paramètres!$A$1:$I$89,3,0)*VLOOKUP('Données projet'!$B$9,Paramètres!$A$1:$I$89,5,0)</f>
        <v>239.04816</v>
      </c>
      <c r="P39" s="14">
        <f t="shared" si="33"/>
        <v>58.234690128947292</v>
      </c>
      <c r="Q39" s="22">
        <f t="shared" si="53"/>
        <v>517.76763064124987</v>
      </c>
      <c r="R39" s="62">
        <f t="shared" si="0"/>
        <v>811.10096397458324</v>
      </c>
      <c r="S39" s="62">
        <f ca="1">AVERAGE(OFFSET($R$3,0,0,'Données projet'!$E$9+1,1))-AVERAGE(OFFSET($H$3,0,0,'Données projet'!$E$9+1,1))</f>
        <v>366.86025470473652</v>
      </c>
      <c r="T39" s="62">
        <f t="shared" si="34"/>
        <v>513.80016421153414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2.9728489940063976</v>
      </c>
      <c r="AA39" s="23">
        <f>EXP(-LN(2)/25)*AA38+(1-EXP(-LN(2)/25))/(LN(2)/25)*Calculateur!V39*Calculateur!X39*VLOOKUP('Données projet'!$B$9,Paramètres!$A$1:$I$89,3,0)*0.475*44/12</f>
        <v>2.209395499147961</v>
      </c>
      <c r="AB39" s="23">
        <f>EXP(-LN(2)/2)*AB38+(1-EXP(-LN(2)/2))/(LN(2)/2)*V39*Y39*VLOOKUP('Données projet'!$B$9,Paramètres!$A$1:$I$89,3,0)*0.475*44/12</f>
        <v>0.64818742206883695</v>
      </c>
      <c r="AC39" s="24">
        <f t="shared" si="3"/>
        <v>5.8304319152231958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6.2</v>
      </c>
      <c r="N40" s="14">
        <f>IF('Données projet'!$A$36&gt;35,N39+M40-V39,IF(A40&lt;'Données projet'!$A$36,$K$205^A40,IF(A40='Données projet'!$A$36,'Données projet'!$B$36,N39+M40-V39)))</f>
        <v>270.39999999999998</v>
      </c>
      <c r="O40" s="14">
        <f>N40*VLOOKUP('Données projet'!$B$9,Paramètres!$A$1:$I$89,3,0)*VLOOKUP('Données projet'!$B$9,Paramètres!$A$1:$I$89,5,0)</f>
        <v>244.65791999999996</v>
      </c>
      <c r="P40" s="14">
        <f t="shared" si="33"/>
        <v>59.44058075210868</v>
      </c>
      <c r="Q40" s="22">
        <f t="shared" si="53"/>
        <v>529.6382221432558</v>
      </c>
      <c r="R40" s="62">
        <f t="shared" si="0"/>
        <v>822.97155547658917</v>
      </c>
      <c r="S40" s="62">
        <f ca="1">AVERAGE(OFFSET($R$3,0,0,'Données projet'!$E$9+1,1))-AVERAGE(OFFSET($H$3,0,0,'Données projet'!$E$9+1,1))</f>
        <v>366.86025470473652</v>
      </c>
      <c r="T40" s="62">
        <f t="shared" si="34"/>
        <v>513.80016421153414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2.9145532384927741</v>
      </c>
      <c r="AA40" s="23">
        <f>EXP(-LN(2)/25)*AA39+(1-EXP(-LN(2)/25))/(LN(2)/25)*Calculateur!V40*Calculateur!X40*VLOOKUP('Données projet'!$B$9,Paramètres!$A$1:$I$89,3,0)*0.475*44/12</f>
        <v>2.1489794630367003</v>
      </c>
      <c r="AB40" s="23">
        <f>EXP(-LN(2)/2)*AB39+(1-EXP(-LN(2)/2))/(LN(2)/2)*V40*Y40*VLOOKUP('Données projet'!$B$9,Paramètres!$A$1:$I$89,3,0)*0.475*44/12</f>
        <v>0.45833772162470143</v>
      </c>
      <c r="AC40" s="24">
        <f t="shared" si="3"/>
        <v>5.5218704231541764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6.2</v>
      </c>
      <c r="N41" s="14">
        <f>IF('Données projet'!$A$36&gt;35,N40+M41-V40,IF(A41&lt;'Données projet'!$A$36,$K$205^A41,IF(A41='Données projet'!$A$36,'Données projet'!$B$36,N40+M41-V40)))</f>
        <v>276.59999999999997</v>
      </c>
      <c r="O41" s="14">
        <f>N41*VLOOKUP('Données projet'!$B$9,Paramètres!$A$1:$I$89,3,0)*VLOOKUP('Données projet'!$B$9,Paramètres!$A$1:$I$89,5,0)</f>
        <v>250.26767999999996</v>
      </c>
      <c r="P41" s="14">
        <f t="shared" si="33"/>
        <v>60.643256925083442</v>
      </c>
      <c r="Q41" s="22">
        <f t="shared" si="53"/>
        <v>541.50321514452014</v>
      </c>
      <c r="R41" s="62">
        <f t="shared" si="0"/>
        <v>834.83654847785351</v>
      </c>
      <c r="S41" s="62">
        <f ca="1">AVERAGE(OFFSET($R$3,0,0,'Données projet'!$E$9+1,1))-AVERAGE(OFFSET($H$3,0,0,'Données projet'!$E$9+1,1))</f>
        <v>366.86025470473652</v>
      </c>
      <c r="T41" s="62">
        <f t="shared" si="34"/>
        <v>513.80016421153414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2.8574006271878729</v>
      </c>
      <c r="AA41" s="23">
        <f>EXP(-LN(2)/25)*AA40+(1-EXP(-LN(2)/25))/(LN(2)/25)*Calculateur!V41*Calculateur!X41*VLOOKUP('Données projet'!$B$9,Paramètres!$A$1:$I$89,3,0)*0.475*44/12</f>
        <v>2.0902155066100434</v>
      </c>
      <c r="AB41" s="23">
        <f>EXP(-LN(2)/2)*AB40+(1-EXP(-LN(2)/2))/(LN(2)/2)*V41*Y41*VLOOKUP('Données projet'!$B$9,Paramètres!$A$1:$I$89,3,0)*0.475*44/12</f>
        <v>0.32409371103441853</v>
      </c>
      <c r="AC41" s="24">
        <f t="shared" si="3"/>
        <v>5.2717098448323352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6.2</v>
      </c>
      <c r="N42" s="14">
        <f>IF('Données projet'!$A$36&gt;35,N41+M42-V41,IF(A42&lt;'Données projet'!$A$36,$K$205^A42,IF(A42='Données projet'!$A$36,'Données projet'!$B$36,N41+M42-V41)))</f>
        <v>282.79999999999995</v>
      </c>
      <c r="O42" s="14">
        <f>N42*VLOOKUP('Données projet'!$B$9,Paramètres!$A$1:$I$89,3,0)*VLOOKUP('Données projet'!$B$9,Paramètres!$A$1:$I$89,5,0)</f>
        <v>255.87743999999998</v>
      </c>
      <c r="P42" s="14">
        <f t="shared" si="33"/>
        <v>61.842798995505326</v>
      </c>
      <c r="Q42" s="22">
        <f t="shared" si="53"/>
        <v>553.36274958383854</v>
      </c>
      <c r="R42" s="62">
        <f t="shared" si="0"/>
        <v>846.69608291717191</v>
      </c>
      <c r="S42" s="62">
        <f ca="1">AVERAGE(OFFSET($R$3,0,0,'Données projet'!$E$9+1,1))-AVERAGE(OFFSET($H$3,0,0,'Données projet'!$E$9+1,1))</f>
        <v>366.86025470473652</v>
      </c>
      <c r="T42" s="62">
        <f t="shared" si="34"/>
        <v>513.80016421153414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2.8013687437310097</v>
      </c>
      <c r="AA42" s="23">
        <f>EXP(-LN(2)/25)*AA41+(1-EXP(-LN(2)/25))/(LN(2)/25)*Calculateur!V42*Calculateur!X42*VLOOKUP('Données projet'!$B$9,Paramètres!$A$1:$I$89,3,0)*0.475*44/12</f>
        <v>2.0330584536621354</v>
      </c>
      <c r="AB42" s="23">
        <f>EXP(-LN(2)/2)*AB41+(1-EXP(-LN(2)/2))/(LN(2)/2)*V42*Y42*VLOOKUP('Données projet'!$B$9,Paramètres!$A$1:$I$89,3,0)*0.475*44/12</f>
        <v>0.22916886081235077</v>
      </c>
      <c r="AC42" s="24">
        <f t="shared" si="3"/>
        <v>5.063596058205496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289</v>
      </c>
      <c r="L43" s="13">
        <f>VLOOKUP(A43,'Données projet'!$A$35:$I$55,9,0)</f>
        <v>6.2</v>
      </c>
      <c r="M43" s="13">
        <f t="array" ref="M43">INDEX(L:L,MIN(IF(ISNUMBER(L43:L239),ROW(L43:L239),"")))</f>
        <v>6.2</v>
      </c>
      <c r="N43" s="14">
        <f>IF('Données projet'!$A$36&gt;35,N42+M43-V42,IF(A43&lt;'Données projet'!$A$36,$K$205^A43,IF(A43='Données projet'!$A$36,'Données projet'!$B$36,N42+M43-V42)))</f>
        <v>288.99999999999994</v>
      </c>
      <c r="O43" s="14">
        <f>N43*VLOOKUP('Données projet'!$B$9,Paramètres!$A$1:$I$89,3,0)*VLOOKUP('Données projet'!$B$9,Paramètres!$A$1:$I$89,5,0)</f>
        <v>261.48719999999992</v>
      </c>
      <c r="P43" s="14">
        <f t="shared" si="33"/>
        <v>63.039283586802391</v>
      </c>
      <c r="Q43" s="22">
        <f t="shared" si="53"/>
        <v>565.21695891368074</v>
      </c>
      <c r="R43" s="62">
        <f t="shared" si="0"/>
        <v>858.55029224701411</v>
      </c>
      <c r="S43" s="62">
        <f ca="1">AVERAGE(OFFSET($R$3,0,0,'Données projet'!$E$9+1,1))-AVERAGE(OFFSET($H$3,0,0,'Données projet'!$E$9+1,1))</f>
        <v>366.86025470473652</v>
      </c>
      <c r="T43" s="62">
        <f t="shared" si="34"/>
        <v>513.80016421153414</v>
      </c>
      <c r="U43" s="16">
        <f>IF(ISNA(VLOOKUP(A43,'Données projet'!$A$35:$I$55,3,0)),0,VLOOKUP(A43,'Données projet'!$A$35:$I$55,3,0))</f>
        <v>8</v>
      </c>
      <c r="V43" s="16">
        <f>IF(ISNA(VLOOKUP(A43,'Données projet'!$A$35:$I$55,4,0)),0,VLOOKUP(A43,'Données projet'!$A$35:$I$55,4,0))</f>
        <v>7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2.7464356113326613</v>
      </c>
      <c r="AA43" s="23">
        <f>EXP(-LN(2)/25)*AA42+(1-EXP(-LN(2)/25))/(LN(2)/25)*Calculateur!V43*Calculateur!X43*VLOOKUP('Données projet'!$B$9,Paramètres!$A$1:$I$89,3,0)*0.475*44/12</f>
        <v>1.9774643633328468</v>
      </c>
      <c r="AB43" s="23">
        <f>EXP(-LN(2)/2)*AB42+(1-EXP(-LN(2)/2))/(LN(2)/2)*V43*Y43*VLOOKUP('Données projet'!$B$9,Paramètres!$A$1:$I$89,3,0)*0.475*44/12</f>
        <v>0.16204685551720929</v>
      </c>
      <c r="AC43" s="24">
        <f t="shared" si="3"/>
        <v>4.8859468301827178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6</v>
      </c>
      <c r="N44" s="14">
        <f>IF('Données projet'!$A$36&gt;35,N43+M44-V43,IF(A44&lt;'Données projet'!$A$36,$K$205^A44,IF(A44='Données projet'!$A$36,'Données projet'!$B$36,N43+M44-V43)))</f>
        <v>287.99999999999994</v>
      </c>
      <c r="O44" s="14">
        <f>N44*VLOOKUP('Données projet'!$B$9,Paramètres!$A$1:$I$89,3,0)*VLOOKUP('Données projet'!$B$9,Paramètres!$A$1:$I$89,5,0)</f>
        <v>260.58239999999995</v>
      </c>
      <c r="P44" s="14">
        <f t="shared" si="33"/>
        <v>62.846505929896907</v>
      </c>
      <c r="Q44" s="22">
        <f t="shared" si="53"/>
        <v>563.30534449457025</v>
      </c>
      <c r="R44" s="62">
        <f t="shared" si="0"/>
        <v>856.63867782790362</v>
      </c>
      <c r="S44" s="62">
        <f ca="1">AVERAGE(OFFSET($R$3,0,0,'Données projet'!$E$9+1,1))-AVERAGE(OFFSET($H$3,0,0,'Données projet'!$E$9+1,1))</f>
        <v>366.86025470473652</v>
      </c>
      <c r="T44" s="62">
        <f t="shared" si="34"/>
        <v>513.80016421153414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2.6925796841547425</v>
      </c>
      <c r="AA44" s="23">
        <f>EXP(-LN(2)/25)*AA43+(1-EXP(-LN(2)/25))/(LN(2)/25)*Calculateur!V44*Calculateur!X44*VLOOKUP('Données projet'!$B$9,Paramètres!$A$1:$I$89,3,0)*0.475*44/12</f>
        <v>1.9233904963271788</v>
      </c>
      <c r="AB44" s="23">
        <f>EXP(-LN(2)/2)*AB43+(1-EXP(-LN(2)/2))/(LN(2)/2)*V44*Y44*VLOOKUP('Données projet'!$B$9,Paramètres!$A$1:$I$89,3,0)*0.475*44/12</f>
        <v>0.1145844304061754</v>
      </c>
      <c r="AC44" s="24">
        <f t="shared" si="3"/>
        <v>4.7305546108880971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6</v>
      </c>
      <c r="N45" s="14">
        <f>IF('Données projet'!$A$36&gt;35,N44+M45-V44,IF(A45&lt;'Données projet'!$A$36,$K$205^A45,IF(A45='Données projet'!$A$36,'Données projet'!$B$36,N44+M45-V44)))</f>
        <v>293.99999999999994</v>
      </c>
      <c r="O45" s="14">
        <f>N45*VLOOKUP('Données projet'!$B$9,Paramètres!$A$1:$I$89,3,0)*VLOOKUP('Données projet'!$B$9,Paramètres!$A$1:$I$89,5,0)</f>
        <v>266.01119999999992</v>
      </c>
      <c r="P45" s="14">
        <f t="shared" si="33"/>
        <v>64.00201337612566</v>
      </c>
      <c r="Q45" s="22">
        <f t="shared" si="53"/>
        <v>574.77301329675208</v>
      </c>
      <c r="R45" s="62">
        <f t="shared" si="0"/>
        <v>868.10634663008545</v>
      </c>
      <c r="S45" s="62">
        <f ca="1">AVERAGE(OFFSET($R$3,0,0,'Données projet'!$E$9+1,1))-AVERAGE(OFFSET($H$3,0,0,'Données projet'!$E$9+1,1))</f>
        <v>366.86025470473652</v>
      </c>
      <c r="T45" s="62">
        <f t="shared" si="34"/>
        <v>513.80016421153414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2.6397798388599103</v>
      </c>
      <c r="AA45" s="23">
        <f>EXP(-LN(2)/25)*AA44+(1-EXP(-LN(2)/25))/(LN(2)/25)*Calculateur!V45*Calculateur!X45*VLOOKUP('Données projet'!$B$9,Paramètres!$A$1:$I$89,3,0)*0.475*44/12</f>
        <v>1.870795282058402</v>
      </c>
      <c r="AB45" s="23">
        <f>EXP(-LN(2)/2)*AB44+(1-EXP(-LN(2)/2))/(LN(2)/2)*V45*Y45*VLOOKUP('Données projet'!$B$9,Paramètres!$A$1:$I$89,3,0)*0.475*44/12</f>
        <v>8.102342775860466E-2</v>
      </c>
      <c r="AC45" s="24">
        <f t="shared" si="3"/>
        <v>4.5915985486769166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6</v>
      </c>
      <c r="N46" s="14">
        <f>IF('Données projet'!$A$36&gt;35,N45+M46-V45,IF(A46&lt;'Données projet'!$A$36,$K$205^A46,IF(A46='Données projet'!$A$36,'Données projet'!$B$36,N45+M46-V45)))</f>
        <v>299.99999999999994</v>
      </c>
      <c r="O46" s="14">
        <f>N46*VLOOKUP('Données projet'!$B$9,Paramètres!$A$1:$I$89,3,0)*VLOOKUP('Données projet'!$B$9,Paramètres!$A$1:$I$89,5,0)</f>
        <v>271.43999999999994</v>
      </c>
      <c r="P46" s="14">
        <f t="shared" si="33"/>
        <v>65.154778959151173</v>
      </c>
      <c r="Q46" s="22">
        <f t="shared" si="53"/>
        <v>586.23590668718805</v>
      </c>
      <c r="R46" s="62">
        <f t="shared" si="0"/>
        <v>879.56924002052142</v>
      </c>
      <c r="S46" s="62">
        <f ca="1">AVERAGE(OFFSET($R$3,0,0,'Données projet'!$E$9+1,1))-AVERAGE(OFFSET($H$3,0,0,'Données projet'!$E$9+1,1))</f>
        <v>366.86025470473652</v>
      </c>
      <c r="T46" s="62">
        <f t="shared" si="34"/>
        <v>513.80016421153414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2.5880153663265841</v>
      </c>
      <c r="AA46" s="23">
        <f>EXP(-LN(2)/25)*AA45+(1-EXP(-LN(2)/25))/(LN(2)/25)*Calculateur!V46*Calculateur!X46*VLOOKUP('Données projet'!$B$9,Paramètres!$A$1:$I$89,3,0)*0.475*44/12</f>
        <v>1.8196382866896668</v>
      </c>
      <c r="AB46" s="23">
        <f>EXP(-LN(2)/2)*AB45+(1-EXP(-LN(2)/2))/(LN(2)/2)*V46*Y46*VLOOKUP('Données projet'!$B$9,Paramètres!$A$1:$I$89,3,0)*0.475*44/12</f>
        <v>5.7292215203087707E-2</v>
      </c>
      <c r="AC46" s="24">
        <f t="shared" si="3"/>
        <v>4.4649458682193384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6</v>
      </c>
      <c r="N47" s="14">
        <f>IF('Données projet'!$A$36&gt;35,N46+M47-V46,IF(A47&lt;'Données projet'!$A$36,$K$205^A47,IF(A47='Données projet'!$A$36,'Données projet'!$B$36,N46+M47-V46)))</f>
        <v>305.99999999999994</v>
      </c>
      <c r="O47" s="14">
        <f>N47*VLOOKUP('Données projet'!$B$9,Paramètres!$A$1:$I$89,3,0)*VLOOKUP('Données projet'!$B$9,Paramètres!$A$1:$I$89,5,0)</f>
        <v>276.86879999999996</v>
      </c>
      <c r="P47" s="14">
        <f t="shared" si="33"/>
        <v>66.30486383631866</v>
      </c>
      <c r="Q47" s="22">
        <f t="shared" si="53"/>
        <v>597.6941311815882</v>
      </c>
      <c r="R47" s="62">
        <f t="shared" si="0"/>
        <v>891.02746451492158</v>
      </c>
      <c r="S47" s="62">
        <f ca="1">AVERAGE(OFFSET($R$3,0,0,'Données projet'!$E$9+1,1))-AVERAGE(OFFSET($H$3,0,0,'Données projet'!$E$9+1,1))</f>
        <v>366.86025470473652</v>
      </c>
      <c r="T47" s="62">
        <f t="shared" si="34"/>
        <v>513.80016421153414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2.5372659635264259</v>
      </c>
      <c r="AA47" s="23">
        <f>EXP(-LN(2)/25)*AA46+(1-EXP(-LN(2)/25))/(LN(2)/25)*Calculateur!V47*Calculateur!X47*VLOOKUP('Données projet'!$B$9,Paramètres!$A$1:$I$89,3,0)*0.475*44/12</f>
        <v>1.7698801820495191</v>
      </c>
      <c r="AB47" s="23">
        <f>EXP(-LN(2)/2)*AB46+(1-EXP(-LN(2)/2))/(LN(2)/2)*V47*Y47*VLOOKUP('Données projet'!$B$9,Paramètres!$A$1:$I$89,3,0)*0.475*44/12</f>
        <v>4.051171387930233E-2</v>
      </c>
      <c r="AC47" s="24">
        <f t="shared" si="3"/>
        <v>4.3476578594552482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312</v>
      </c>
      <c r="L48" s="13">
        <f>VLOOKUP(A48,'Données projet'!$A$35:$I$55,9,0)</f>
        <v>6</v>
      </c>
      <c r="M48" s="13">
        <f t="array" ref="M48">INDEX(L:L,MIN(IF(ISNUMBER(L48:L244),ROW(L48:L244),"")))</f>
        <v>6</v>
      </c>
      <c r="N48" s="14">
        <f>IF('Données projet'!$A$36&gt;35,N47+M48-V47,IF(A48&lt;'Données projet'!$A$36,$K$205^A48,IF(A48='Données projet'!$A$36,'Données projet'!$B$36,N47+M48-V47)))</f>
        <v>311.99999999999994</v>
      </c>
      <c r="O48" s="14">
        <f>N48*VLOOKUP('Données projet'!$B$9,Paramètres!$A$1:$I$89,3,0)*VLOOKUP('Données projet'!$B$9,Paramètres!$A$1:$I$89,5,0)</f>
        <v>282.29759999999993</v>
      </c>
      <c r="P48" s="14">
        <f t="shared" si="33"/>
        <v>67.452326629470178</v>
      </c>
      <c r="Q48" s="22">
        <f t="shared" si="53"/>
        <v>609.14778887966042</v>
      </c>
      <c r="R48" s="62">
        <f t="shared" si="0"/>
        <v>902.4811222129938</v>
      </c>
      <c r="S48" s="62">
        <f ca="1">AVERAGE(OFFSET($R$3,0,0,'Données projet'!$E$9+1,1))-AVERAGE(OFFSET($H$3,0,0,'Données projet'!$E$9+1,1))</f>
        <v>366.86025470473652</v>
      </c>
      <c r="T48" s="62">
        <f t="shared" si="34"/>
        <v>513.80016421153414</v>
      </c>
      <c r="U48" s="16">
        <f>IF(ISNA(VLOOKUP(A48,'Données projet'!$A$35:$I$55,3,0)),0,VLOOKUP(A48,'Données projet'!$A$35:$I$55,3,0))</f>
        <v>9</v>
      </c>
      <c r="V48" s="16">
        <f>IF(ISNA(VLOOKUP(A48,'Données projet'!$A$35:$I$55,4,0)),0,VLOOKUP(A48,'Données projet'!$A$35:$I$55,4,0))</f>
        <v>312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2.4875117255610997</v>
      </c>
      <c r="AA48" s="23">
        <f>EXP(-LN(2)/25)*AA47+(1-EXP(-LN(2)/25))/(LN(2)/25)*Calculateur!V48*Calculateur!X48*VLOOKUP('Données projet'!$B$9,Paramètres!$A$1:$I$89,3,0)*0.475*44/12</f>
        <v>1.7214827153974215</v>
      </c>
      <c r="AB48" s="23">
        <f>EXP(-LN(2)/2)*AB47+(1-EXP(-LN(2)/2))/(LN(2)/2)*V48*Y48*VLOOKUP('Données projet'!$B$9,Paramètres!$A$1:$I$89,3,0)*0.475*44/12</f>
        <v>2.8646107601543853E-2</v>
      </c>
      <c r="AC48" s="24">
        <f t="shared" si="3"/>
        <v>4.2376405485600648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-5.6843418860808015E-14</v>
      </c>
      <c r="O49" s="14">
        <f>N49*VLOOKUP('Données projet'!$B$9,Paramètres!$A$1:$I$89,3,0)*VLOOKUP('Données projet'!$B$9,Paramètres!$A$1:$I$89,5,0)</f>
        <v>-5.1431925385259088E-14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366.86025470473652</v>
      </c>
      <c r="T49" s="62">
        <f t="shared" si="34"/>
        <v>513.80016421153414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2.4387331378551846</v>
      </c>
      <c r="AA49" s="23">
        <f>EXP(-LN(2)/25)*AA48+(1-EXP(-LN(2)/25))/(LN(2)/25)*Calculateur!V49*Calculateur!X49*VLOOKUP('Données projet'!$B$9,Paramètres!$A$1:$I$89,3,0)*0.475*44/12</f>
        <v>1.6744086800160376</v>
      </c>
      <c r="AB49" s="23">
        <f>EXP(-LN(2)/2)*AB48+(1-EXP(-LN(2)/2))/(LN(2)/2)*V49*Y49*VLOOKUP('Données projet'!$B$9,Paramètres!$A$1:$I$89,3,0)*0.475*44/12</f>
        <v>2.0255856939651165E-2</v>
      </c>
      <c r="AC49" s="24">
        <f t="shared" si="3"/>
        <v>4.1333976748108734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-5.6843418860808015E-14</v>
      </c>
      <c r="O50" s="14">
        <f>N50*VLOOKUP('Données projet'!$B$9,Paramètres!$A$1:$I$89,3,0)*VLOOKUP('Données projet'!$B$9,Paramètres!$A$1:$I$89,5,0)</f>
        <v>-5.1431925385259088E-14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366.86025470473652</v>
      </c>
      <c r="T50" s="62">
        <f t="shared" si="34"/>
        <v>513.80016421153414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2.3909110685021822</v>
      </c>
      <c r="AA50" s="23">
        <f>EXP(-LN(2)/25)*AA49+(1-EXP(-LN(2)/25))/(LN(2)/25)*Calculateur!V50*Calculateur!X50*VLOOKUP('Données projet'!$B$9,Paramètres!$A$1:$I$89,3,0)*0.475*44/12</f>
        <v>1.6286218866076734</v>
      </c>
      <c r="AB50" s="23">
        <f>EXP(-LN(2)/2)*AB49+(1-EXP(-LN(2)/2))/(LN(2)/2)*V50*Y50*VLOOKUP('Données projet'!$B$9,Paramètres!$A$1:$I$89,3,0)*0.475*44/12</f>
        <v>1.4323053800771927E-2</v>
      </c>
      <c r="AC50" s="24">
        <f t="shared" si="3"/>
        <v>4.0338560089106279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-5.6843418860808015E-14</v>
      </c>
      <c r="O51" s="14">
        <f>N51*VLOOKUP('Données projet'!$B$9,Paramètres!$A$1:$I$89,3,0)*VLOOKUP('Données projet'!$B$9,Paramètres!$A$1:$I$89,5,0)</f>
        <v>-5.1431925385259088E-14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366.86025470473652</v>
      </c>
      <c r="T51" s="62">
        <f t="shared" si="34"/>
        <v>513.80016421153414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2.34402676076061</v>
      </c>
      <c r="AA51" s="23">
        <f>EXP(-LN(2)/25)*AA50+(1-EXP(-LN(2)/25))/(LN(2)/25)*Calculateur!V51*Calculateur!X51*VLOOKUP('Données projet'!$B$9,Paramètres!$A$1:$I$89,3,0)*0.475*44/12</f>
        <v>1.5840871354728838</v>
      </c>
      <c r="AB51" s="23">
        <f>EXP(-LN(2)/2)*AB50+(1-EXP(-LN(2)/2))/(LN(2)/2)*V51*Y51*VLOOKUP('Données projet'!$B$9,Paramètres!$A$1:$I$89,3,0)*0.475*44/12</f>
        <v>1.0127928469825583E-2</v>
      </c>
      <c r="AC51" s="24">
        <f t="shared" si="3"/>
        <v>3.9382418247033195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-5.6843418860808015E-14</v>
      </c>
      <c r="O52" s="14">
        <f>N52*VLOOKUP('Données projet'!$B$9,Paramètres!$A$1:$I$89,3,0)*VLOOKUP('Données projet'!$B$9,Paramètres!$A$1:$I$89,5,0)</f>
        <v>-5.1431925385259088E-14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366.86025470473652</v>
      </c>
      <c r="T52" s="62">
        <f t="shared" si="34"/>
        <v>513.80016421153414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2.2980618256972458</v>
      </c>
      <c r="AA52" s="23">
        <f>EXP(-LN(2)/25)*AA51+(1-EXP(-LN(2)/25))/(LN(2)/25)*Calculateur!V52*Calculateur!X52*VLOOKUP('Données projet'!$B$9,Paramètres!$A$1:$I$89,3,0)*0.475*44/12</f>
        <v>1.5407701894498558</v>
      </c>
      <c r="AB52" s="23">
        <f>EXP(-LN(2)/2)*AB51+(1-EXP(-LN(2)/2))/(LN(2)/2)*V52*Y52*VLOOKUP('Données projet'!$B$9,Paramètres!$A$1:$I$89,3,0)*0.475*44/12</f>
        <v>7.1615269003859634E-3</v>
      </c>
      <c r="AC52" s="24">
        <f t="shared" si="3"/>
        <v>3.8459935420474873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-5.6843418860808015E-14</v>
      </c>
      <c r="O53" s="14">
        <f>N53*VLOOKUP('Données projet'!$B$9,Paramètres!$A$1:$I$89,3,0)*VLOOKUP('Données projet'!$B$9,Paramètres!$A$1:$I$89,5,0)</f>
        <v>-5.1431925385259088E-14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366.86025470473652</v>
      </c>
      <c r="T53" s="62">
        <f t="shared" si="34"/>
        <v>513.80016421153414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2.252998234974632</v>
      </c>
      <c r="AA53" s="23">
        <f>EXP(-LN(2)/25)*AA52+(1-EXP(-LN(2)/25))/(LN(2)/25)*Calculateur!V53*Calculateur!X53*VLOOKUP('Données projet'!$B$9,Paramètres!$A$1:$I$89,3,0)*0.475*44/12</f>
        <v>1.4986377475937667</v>
      </c>
      <c r="AB53" s="23">
        <f>EXP(-LN(2)/2)*AB52+(1-EXP(-LN(2)/2))/(LN(2)/2)*V53*Y53*VLOOKUP('Données projet'!$B$9,Paramètres!$A$1:$I$89,3,0)*0.475*44/12</f>
        <v>5.0639642349127913E-3</v>
      </c>
      <c r="AC53" s="24">
        <f t="shared" si="3"/>
        <v>3.7566999468033111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-5.6843418860808015E-14</v>
      </c>
      <c r="O54" s="14">
        <f>N54*VLOOKUP('Données projet'!$B$9,Paramètres!$A$1:$I$89,3,0)*VLOOKUP('Données projet'!$B$9,Paramètres!$A$1:$I$89,5,0)</f>
        <v>-5.1431925385259088E-14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366.86025470473652</v>
      </c>
      <c r="T54" s="62">
        <f t="shared" si="34"/>
        <v>513.80016421153414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2.2088183137800126</v>
      </c>
      <c r="AA54" s="23">
        <f>EXP(-LN(2)/25)*AA53+(1-EXP(-LN(2)/25))/(LN(2)/25)*Calculateur!V54*Calculateur!X54*VLOOKUP('Données projet'!$B$9,Paramètres!$A$1:$I$89,3,0)*0.475*44/12</f>
        <v>1.4576574195758811</v>
      </c>
      <c r="AB54" s="23">
        <f>EXP(-LN(2)/2)*AB53+(1-EXP(-LN(2)/2))/(LN(2)/2)*V54*Y54*VLOOKUP('Données projet'!$B$9,Paramètres!$A$1:$I$89,3,0)*0.475*44/12</f>
        <v>3.5807634501929817E-3</v>
      </c>
      <c r="AC54" s="24">
        <f t="shared" si="3"/>
        <v>3.6700564968060867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-5.6843418860808015E-14</v>
      </c>
      <c r="O55" s="14">
        <f>N55*VLOOKUP('Données projet'!$B$9,Paramètres!$A$1:$I$89,3,0)*VLOOKUP('Données projet'!$B$9,Paramètres!$A$1:$I$89,5,0)</f>
        <v>-5.1431925385259088E-14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366.86025470473652</v>
      </c>
      <c r="T55" s="62">
        <f t="shared" si="34"/>
        <v>513.80016421153414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2.1655047338929285</v>
      </c>
      <c r="AA55" s="23">
        <f>EXP(-LN(2)/25)*AA54+(1-EXP(-LN(2)/25))/(LN(2)/25)*Calculateur!V55*Calculateur!X55*VLOOKUP('Données projet'!$B$9,Paramètres!$A$1:$I$89,3,0)*0.475*44/12</f>
        <v>1.4177977007827065</v>
      </c>
      <c r="AB55" s="23">
        <f>EXP(-LN(2)/2)*AB54+(1-EXP(-LN(2)/2))/(LN(2)/2)*V55*Y55*VLOOKUP('Données projet'!$B$9,Paramètres!$A$1:$I$89,3,0)*0.475*44/12</f>
        <v>2.5319821174563956E-3</v>
      </c>
      <c r="AC55" s="24">
        <f t="shared" si="3"/>
        <v>3.5858344167930913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-5.6843418860808015E-14</v>
      </c>
      <c r="O56" s="14">
        <f>N56*VLOOKUP('Données projet'!$B$9,Paramètres!$A$1:$I$89,3,0)*VLOOKUP('Données projet'!$B$9,Paramètres!$A$1:$I$89,5,0)</f>
        <v>-5.1431925385259088E-14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366.86025470473652</v>
      </c>
      <c r="T56" s="62">
        <f t="shared" si="34"/>
        <v>513.80016421153414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2.123040506888755</v>
      </c>
      <c r="AA56" s="23">
        <f>EXP(-LN(2)/25)*AA55+(1-EXP(-LN(2)/25))/(LN(2)/25)*Calculateur!V56*Calculateur!X56*VLOOKUP('Données projet'!$B$9,Paramètres!$A$1:$I$89,3,0)*0.475*44/12</f>
        <v>1.3790279480960628</v>
      </c>
      <c r="AB56" s="23">
        <f>EXP(-LN(2)/2)*AB55+(1-EXP(-LN(2)/2))/(LN(2)/2)*V56*Y56*VLOOKUP('Données projet'!$B$9,Paramètres!$A$1:$I$89,3,0)*0.475*44/12</f>
        <v>1.7903817250964908E-3</v>
      </c>
      <c r="AC56" s="24">
        <f t="shared" si="3"/>
        <v>3.5038588367099144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-5.6843418860808015E-14</v>
      </c>
      <c r="O57" s="14">
        <f>N57*VLOOKUP('Données projet'!$B$9,Paramètres!$A$1:$I$89,3,0)*VLOOKUP('Données projet'!$B$9,Paramètres!$A$1:$I$89,5,0)</f>
        <v>-5.1431925385259088E-14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366.86025470473652</v>
      </c>
      <c r="T57" s="62">
        <f t="shared" si="34"/>
        <v>513.80016421153414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2.0814089774755122</v>
      </c>
      <c r="AA57" s="23">
        <f>EXP(-LN(2)/25)*AA56+(1-EXP(-LN(2)/25))/(LN(2)/25)*Calculateur!V57*Calculateur!X57*VLOOKUP('Données projet'!$B$9,Paramètres!$A$1:$I$89,3,0)*0.475*44/12</f>
        <v>1.341318356335448</v>
      </c>
      <c r="AB57" s="23">
        <f>EXP(-LN(2)/2)*AB56+(1-EXP(-LN(2)/2))/(LN(2)/2)*V57*Y57*VLOOKUP('Données projet'!$B$9,Paramètres!$A$1:$I$89,3,0)*0.475*44/12</f>
        <v>1.2659910587281978E-3</v>
      </c>
      <c r="AC57" s="24">
        <f t="shared" si="3"/>
        <v>3.4239933248696883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-5.6843418860808015E-14</v>
      </c>
      <c r="O58" s="14">
        <f>N58*VLOOKUP('Données projet'!$B$9,Paramètres!$A$1:$I$89,3,0)*VLOOKUP('Données projet'!$B$9,Paramètres!$A$1:$I$89,5,0)</f>
        <v>-5.1431925385259088E-14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366.86025470473652</v>
      </c>
      <c r="T58" s="62">
        <f t="shared" si="34"/>
        <v>513.80016421153414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2.0405938169613376</v>
      </c>
      <c r="AA58" s="23">
        <f>EXP(-LN(2)/25)*AA57+(1-EXP(-LN(2)/25))/(LN(2)/25)*Calculateur!V58*Calculateur!X58*VLOOKUP('Données projet'!$B$9,Paramètres!$A$1:$I$89,3,0)*0.475*44/12</f>
        <v>1.3046399353445886</v>
      </c>
      <c r="AB58" s="23">
        <f>EXP(-LN(2)/2)*AB57+(1-EXP(-LN(2)/2))/(LN(2)/2)*V58*Y58*VLOOKUP('Données projet'!$B$9,Paramètres!$A$1:$I$89,3,0)*0.475*44/12</f>
        <v>8.9519086254824542E-4</v>
      </c>
      <c r="AC58" s="24">
        <f t="shared" si="3"/>
        <v>3.3461289431684746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-5.6843418860808015E-14</v>
      </c>
      <c r="O59" s="14">
        <f>N59*VLOOKUP('Données projet'!$B$9,Paramètres!$A$1:$I$89,3,0)*VLOOKUP('Données projet'!$B$9,Paramètres!$A$1:$I$89,5,0)</f>
        <v>-5.1431925385259088E-14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366.86025470473652</v>
      </c>
      <c r="T59" s="62">
        <f t="shared" si="34"/>
        <v>513.80016421153414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2.0005790168500561</v>
      </c>
      <c r="AA59" s="23">
        <f>EXP(-LN(2)/25)*AA58+(1-EXP(-LN(2)/25))/(LN(2)/25)*Calculateur!V59*Calculateur!X59*VLOOKUP('Données projet'!$B$9,Paramètres!$A$1:$I$89,3,0)*0.475*44/12</f>
        <v>1.2689644877045583</v>
      </c>
      <c r="AB59" s="23">
        <f>EXP(-LN(2)/2)*AB58+(1-EXP(-LN(2)/2))/(LN(2)/2)*V59*Y59*VLOOKUP('Données projet'!$B$9,Paramètres!$A$1:$I$89,3,0)*0.475*44/12</f>
        <v>6.3299552936409891E-4</v>
      </c>
      <c r="AC59" s="24">
        <f t="shared" si="3"/>
        <v>3.2701765000839789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-5.6843418860808015E-14</v>
      </c>
      <c r="O60" s="14">
        <f>N60*VLOOKUP('Données projet'!$B$9,Paramètres!$A$1:$I$89,3,0)*VLOOKUP('Données projet'!$B$9,Paramètres!$A$1:$I$89,5,0)</f>
        <v>-5.1431925385259088E-14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366.86025470473652</v>
      </c>
      <c r="T60" s="62">
        <f t="shared" si="34"/>
        <v>513.80016421153414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1.9613488825623389</v>
      </c>
      <c r="AA60" s="23">
        <f>EXP(-LN(2)/25)*AA59+(1-EXP(-LN(2)/25))/(LN(2)/25)*Calculateur!V60*Calculateur!X60*VLOOKUP('Données projet'!$B$9,Paramètres!$A$1:$I$89,3,0)*0.475*44/12</f>
        <v>1.2342645870563349</v>
      </c>
      <c r="AB60" s="23">
        <f>EXP(-LN(2)/2)*AB59+(1-EXP(-LN(2)/2))/(LN(2)/2)*V60*Y60*VLOOKUP('Données projet'!$B$9,Paramètres!$A$1:$I$89,3,0)*0.475*44/12</f>
        <v>4.4759543127412271E-4</v>
      </c>
      <c r="AC60" s="24">
        <f t="shared" si="3"/>
        <v>3.1960610650499475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-5.6843418860808015E-14</v>
      </c>
      <c r="O61" s="14">
        <f>N61*VLOOKUP('Données projet'!$B$9,Paramètres!$A$1:$I$89,3,0)*VLOOKUP('Données projet'!$B$9,Paramètres!$A$1:$I$89,5,0)</f>
        <v>-5.1431925385259088E-14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366.86025470473652</v>
      </c>
      <c r="T61" s="62">
        <f t="shared" si="34"/>
        <v>513.80016421153414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1.9228880272799844</v>
      </c>
      <c r="AA61" s="23">
        <f>EXP(-LN(2)/25)*AA60+(1-EXP(-LN(2)/25))/(LN(2)/25)*Calculateur!V61*Calculateur!X61*VLOOKUP('Données projet'!$B$9,Paramètres!$A$1:$I$89,3,0)*0.475*44/12</f>
        <v>1.2005135570161258</v>
      </c>
      <c r="AB61" s="23">
        <f>EXP(-LN(2)/2)*AB60+(1-EXP(-LN(2)/2))/(LN(2)/2)*V61*Y61*VLOOKUP('Données projet'!$B$9,Paramètres!$A$1:$I$89,3,0)*0.475*44/12</f>
        <v>3.1649776468204945E-4</v>
      </c>
      <c r="AC61" s="24">
        <f t="shared" si="3"/>
        <v>3.1237180820607926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-5.6843418860808015E-14</v>
      </c>
      <c r="O62" s="14">
        <f>N62*VLOOKUP('Données projet'!$B$9,Paramètres!$A$1:$I$89,3,0)*VLOOKUP('Données projet'!$B$9,Paramètres!$A$1:$I$89,5,0)</f>
        <v>-5.1431925385259088E-14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366.86025470473652</v>
      </c>
      <c r="T62" s="62">
        <f t="shared" si="34"/>
        <v>513.80016421153414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1.8851813659109116</v>
      </c>
      <c r="AA62" s="23">
        <f>EXP(-LN(2)/25)*AA61+(1-EXP(-LN(2)/25))/(LN(2)/25)*Calculateur!V62*Calculateur!X62*VLOOKUP('Données projet'!$B$9,Paramètres!$A$1:$I$89,3,0)*0.475*44/12</f>
        <v>1.1676854506672558</v>
      </c>
      <c r="AB62" s="23">
        <f>EXP(-LN(2)/2)*AB61+(1-EXP(-LN(2)/2))/(LN(2)/2)*V62*Y62*VLOOKUP('Données projet'!$B$9,Paramètres!$A$1:$I$89,3,0)*0.475*44/12</f>
        <v>2.2379771563706135E-4</v>
      </c>
      <c r="AC62" s="24">
        <f t="shared" si="3"/>
        <v>3.0530906142938048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-5.6843418860808015E-14</v>
      </c>
      <c r="O63" s="14">
        <f>N63*VLOOKUP('Données projet'!$B$9,Paramètres!$A$1:$I$89,3,0)*VLOOKUP('Données projet'!$B$9,Paramètres!$A$1:$I$89,5,0)</f>
        <v>-5.1431925385259088E-14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366.86025470473652</v>
      </c>
      <c r="T63" s="62">
        <f t="shared" si="34"/>
        <v>513.80016421153414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1.8482141091724937</v>
      </c>
      <c r="AA63" s="23">
        <f>EXP(-LN(2)/25)*AA62+(1-EXP(-LN(2)/25))/(LN(2)/25)*Calculateur!V63*Calculateur!X63*VLOOKUP('Données projet'!$B$9,Paramètres!$A$1:$I$89,3,0)*0.475*44/12</f>
        <v>1.1357550306128505</v>
      </c>
      <c r="AB63" s="23">
        <f>EXP(-LN(2)/2)*AB62+(1-EXP(-LN(2)/2))/(LN(2)/2)*V63*Y63*VLOOKUP('Données projet'!$B$9,Paramètres!$A$1:$I$89,3,0)*0.475*44/12</f>
        <v>1.5824888234102473E-4</v>
      </c>
      <c r="AC63" s="24">
        <f t="shared" si="3"/>
        <v>2.9841273886676851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-5.6843418860808015E-14</v>
      </c>
      <c r="O64" s="14">
        <f>N64*VLOOKUP('Données projet'!$B$9,Paramètres!$A$1:$I$89,3,0)*VLOOKUP('Données projet'!$B$9,Paramètres!$A$1:$I$89,5,0)</f>
        <v>-5.1431925385259088E-14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366.86025470473652</v>
      </c>
      <c r="T64" s="62">
        <f t="shared" si="34"/>
        <v>513.80016421153414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1.8119717577909162</v>
      </c>
      <c r="AA64" s="23">
        <f>EXP(-LN(2)/25)*AA63+(1-EXP(-LN(2)/25))/(LN(2)/25)*Calculateur!V64*Calculateur!X64*VLOOKUP('Données projet'!$B$9,Paramètres!$A$1:$I$89,3,0)*0.475*44/12</f>
        <v>1.1046977495739809</v>
      </c>
      <c r="AB64" s="23">
        <f>EXP(-LN(2)/2)*AB63+(1-EXP(-LN(2)/2))/(LN(2)/2)*V64*Y64*VLOOKUP('Données projet'!$B$9,Paramètres!$A$1:$I$89,3,0)*0.475*44/12</f>
        <v>1.1189885781853068E-4</v>
      </c>
      <c r="AC64" s="24">
        <f t="shared" si="3"/>
        <v>2.9167814062227158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-5.6843418860808015E-14</v>
      </c>
      <c r="O65" s="14">
        <f>N65*VLOOKUP('Données projet'!$B$9,Paramètres!$A$1:$I$89,3,0)*VLOOKUP('Données projet'!$B$9,Paramètres!$A$1:$I$89,5,0)</f>
        <v>-5.1431925385259088E-14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366.86025470473652</v>
      </c>
      <c r="T65" s="62">
        <f t="shared" si="34"/>
        <v>513.80016421153414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1.7764400968142797</v>
      </c>
      <c r="AA65" s="23">
        <f>EXP(-LN(2)/25)*AA64+(1-EXP(-LN(2)/25))/(LN(2)/25)*Calculateur!V65*Calculateur!X65*VLOOKUP('Données projet'!$B$9,Paramètres!$A$1:$I$89,3,0)*0.475*44/12</f>
        <v>1.0744897315183506</v>
      </c>
      <c r="AB65" s="23">
        <f>EXP(-LN(2)/2)*AB64+(1-EXP(-LN(2)/2))/(LN(2)/2)*V65*Y65*VLOOKUP('Données projet'!$B$9,Paramètres!$A$1:$I$89,3,0)*0.475*44/12</f>
        <v>7.9124441170512364E-5</v>
      </c>
      <c r="AC65" s="24">
        <f t="shared" si="3"/>
        <v>2.851008952773801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-5.6843418860808015E-14</v>
      </c>
      <c r="O66" s="14">
        <f>N66*VLOOKUP('Données projet'!$B$9,Paramètres!$A$1:$I$89,3,0)*VLOOKUP('Données projet'!$B$9,Paramètres!$A$1:$I$89,5,0)</f>
        <v>-5.1431925385259088E-14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366.86025470473652</v>
      </c>
      <c r="T66" s="62">
        <f t="shared" si="34"/>
        <v>513.80016421153414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1.7416051900372218</v>
      </c>
      <c r="AA66" s="23">
        <f>EXP(-LN(2)/25)*AA65+(1-EXP(-LN(2)/25))/(LN(2)/25)*Calculateur!V66*Calculateur!X66*VLOOKUP('Données projet'!$B$9,Paramètres!$A$1:$I$89,3,0)*0.475*44/12</f>
        <v>1.0451077533050221</v>
      </c>
      <c r="AB66" s="23">
        <f>EXP(-LN(2)/2)*AB65+(1-EXP(-LN(2)/2))/(LN(2)/2)*V66*Y66*VLOOKUP('Données projet'!$B$9,Paramètres!$A$1:$I$89,3,0)*0.475*44/12</f>
        <v>5.5949428909265339E-5</v>
      </c>
      <c r="AC66" s="24">
        <f t="shared" si="3"/>
        <v>2.7867688927711534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-5.6843418860808015E-14</v>
      </c>
      <c r="O67" s="14">
        <f>N67*VLOOKUP('Données projet'!$B$9,Paramètres!$A$1:$I$89,3,0)*VLOOKUP('Données projet'!$B$9,Paramètres!$A$1:$I$89,5,0)</f>
        <v>-5.1431925385259088E-14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366.86025470473652</v>
      </c>
      <c r="T67" s="62">
        <f t="shared" si="34"/>
        <v>513.80016421153414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1.707453374534867</v>
      </c>
      <c r="AA67" s="23">
        <f>EXP(-LN(2)/25)*AA66+(1-EXP(-LN(2)/25))/(LN(2)/25)*Calculateur!V67*Calculateur!X67*VLOOKUP('Données projet'!$B$9,Paramètres!$A$1:$I$89,3,0)*0.475*44/12</f>
        <v>1.0165292268310682</v>
      </c>
      <c r="AB67" s="23">
        <f>EXP(-LN(2)/2)*AB66+(1-EXP(-LN(2)/2))/(LN(2)/2)*V67*Y67*VLOOKUP('Données projet'!$B$9,Paramètres!$A$1:$I$89,3,0)*0.475*44/12</f>
        <v>3.9562220585256182E-5</v>
      </c>
      <c r="AC67" s="24">
        <f t="shared" si="3"/>
        <v>2.7240221635865205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-5.6843418860808015E-14</v>
      </c>
      <c r="O68" s="14">
        <f>N68*VLOOKUP('Données projet'!$B$9,Paramètres!$A$1:$I$89,3,0)*VLOOKUP('Données projet'!$B$9,Paramètres!$A$1:$I$89,5,0)</f>
        <v>-5.1431925385259088E-14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366.86025470473652</v>
      </c>
      <c r="T68" s="62">
        <f t="shared" si="34"/>
        <v>513.80016421153414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1.6739712553039627</v>
      </c>
      <c r="AA68" s="23">
        <f>EXP(-LN(2)/25)*AA67+(1-EXP(-LN(2)/25))/(LN(2)/25)*Calculateur!V68*Calculateur!X68*VLOOKUP('Données projet'!$B$9,Paramètres!$A$1:$I$89,3,0)*0.475*44/12</f>
        <v>0.98873218166642385</v>
      </c>
      <c r="AB68" s="23">
        <f>EXP(-LN(2)/2)*AB67+(1-EXP(-LN(2)/2))/(LN(2)/2)*V68*Y68*VLOOKUP('Données projet'!$B$9,Paramètres!$A$1:$I$89,3,0)*0.475*44/12</f>
        <v>2.7974714454632669E-5</v>
      </c>
      <c r="AC68" s="24">
        <f t="shared" ref="AC68:AC131" si="57">SUM(Z68:AB68)</f>
        <v>2.6627314116848413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-5.6843418860808015E-14</v>
      </c>
      <c r="O69" s="14">
        <f>N69*VLOOKUP('Données projet'!$B$9,Paramètres!$A$1:$I$89,3,0)*VLOOKUP('Données projet'!$B$9,Paramètres!$A$1:$I$89,5,0)</f>
        <v>-5.1431925385259088E-14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366.86025470473652</v>
      </c>
      <c r="T69" s="62">
        <f t="shared" ref="T69:T132" si="88">$T$3</f>
        <v>513.80016421153414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1.6411457000091003</v>
      </c>
      <c r="AA69" s="23">
        <f>EXP(-LN(2)/25)*AA68+(1-EXP(-LN(2)/25))/(LN(2)/25)*Calculateur!V69*Calculateur!X69*VLOOKUP('Données projet'!$B$9,Paramètres!$A$1:$I$89,3,0)*0.475*44/12</f>
        <v>0.96169524816358987</v>
      </c>
      <c r="AB69" s="23">
        <f>EXP(-LN(2)/2)*AB68+(1-EXP(-LN(2)/2))/(LN(2)/2)*V69*Y69*VLOOKUP('Données projet'!$B$9,Paramètres!$A$1:$I$89,3,0)*0.475*44/12</f>
        <v>1.9781110292628091E-5</v>
      </c>
      <c r="AC69" s="24">
        <f t="shared" si="57"/>
        <v>2.6028607292829826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-5.6843418860808015E-14</v>
      </c>
      <c r="O70" s="14">
        <f>N70*VLOOKUP('Données projet'!$B$9,Paramètres!$A$1:$I$89,3,0)*VLOOKUP('Données projet'!$B$9,Paramètres!$A$1:$I$89,5,0)</f>
        <v>-5.1431925385259088E-14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366.86025470473652</v>
      </c>
      <c r="T70" s="62">
        <f t="shared" si="88"/>
        <v>513.80016421153414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1.6089638338319583</v>
      </c>
      <c r="AA70" s="23">
        <f>EXP(-LN(2)/25)*AA69+(1-EXP(-LN(2)/25))/(LN(2)/25)*Calculateur!V70*Calculateur!X70*VLOOKUP('Données projet'!$B$9,Paramètres!$A$1:$I$89,3,0)*0.475*44/12</f>
        <v>0.93539764102920142</v>
      </c>
      <c r="AB70" s="23">
        <f>EXP(-LN(2)/2)*AB69+(1-EXP(-LN(2)/2))/(LN(2)/2)*V70*Y70*VLOOKUP('Données projet'!$B$9,Paramètres!$A$1:$I$89,3,0)*0.475*44/12</f>
        <v>1.3987357227316335E-5</v>
      </c>
      <c r="AC70" s="24">
        <f t="shared" si="57"/>
        <v>2.5443754622183867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-5.6843418860808015E-14</v>
      </c>
      <c r="O71" s="14">
        <f>N71*VLOOKUP('Données projet'!$B$9,Paramètres!$A$1:$I$89,3,0)*VLOOKUP('Données projet'!$B$9,Paramètres!$A$1:$I$89,5,0)</f>
        <v>-5.1431925385259088E-14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366.86025470473652</v>
      </c>
      <c r="T71" s="62">
        <f t="shared" si="88"/>
        <v>513.80016421153414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1.5774130344215498</v>
      </c>
      <c r="AA71" s="23">
        <f>EXP(-LN(2)/25)*AA70+(1-EXP(-LN(2)/25))/(LN(2)/25)*Calculateur!V71*Calculateur!X71*VLOOKUP('Données projet'!$B$9,Paramètres!$A$1:$I$89,3,0)*0.475*44/12</f>
        <v>0.90981914334483383</v>
      </c>
      <c r="AB71" s="23">
        <f>EXP(-LN(2)/2)*AB70+(1-EXP(-LN(2)/2))/(LN(2)/2)*V71*Y71*VLOOKUP('Données projet'!$B$9,Paramètres!$A$1:$I$89,3,0)*0.475*44/12</f>
        <v>9.8905551463140454E-6</v>
      </c>
      <c r="AC71" s="24">
        <f t="shared" si="57"/>
        <v>2.4872420683215299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-5.6843418860808015E-14</v>
      </c>
      <c r="O72" s="14">
        <f>N72*VLOOKUP('Données projet'!$B$9,Paramètres!$A$1:$I$89,3,0)*VLOOKUP('Données projet'!$B$9,Paramètres!$A$1:$I$89,5,0)</f>
        <v>-5.1431925385259088E-14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366.86025470473652</v>
      </c>
      <c r="T72" s="62">
        <f t="shared" si="88"/>
        <v>513.80016421153414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1.546480926943492</v>
      </c>
      <c r="AA72" s="23">
        <f>EXP(-LN(2)/25)*AA71+(1-EXP(-LN(2)/25))/(LN(2)/25)*Calculateur!V72*Calculateur!X72*VLOOKUP('Données projet'!$B$9,Paramètres!$A$1:$I$89,3,0)*0.475*44/12</f>
        <v>0.88494009102476001</v>
      </c>
      <c r="AB72" s="23">
        <f>EXP(-LN(2)/2)*AB71+(1-EXP(-LN(2)/2))/(LN(2)/2)*V72*Y72*VLOOKUP('Données projet'!$B$9,Paramètres!$A$1:$I$89,3,0)*0.475*44/12</f>
        <v>6.9936786136581673E-6</v>
      </c>
      <c r="AC72" s="24">
        <f t="shared" si="57"/>
        <v>2.4314280116468656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-5.6843418860808015E-14</v>
      </c>
      <c r="O73" s="14">
        <f>N73*VLOOKUP('Données projet'!$B$9,Paramètres!$A$1:$I$89,3,0)*VLOOKUP('Données projet'!$B$9,Paramètres!$A$1:$I$89,5,0)</f>
        <v>-5.1431925385259088E-14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366.86025470473652</v>
      </c>
      <c r="T73" s="62">
        <f t="shared" si="88"/>
        <v>513.80016421153414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1.5161553792263565</v>
      </c>
      <c r="AA73" s="23">
        <f>EXP(-LN(2)/25)*AA72+(1-EXP(-LN(2)/25))/(LN(2)/25)*Calculateur!V73*Calculateur!X73*VLOOKUP('Données projet'!$B$9,Paramètres!$A$1:$I$89,3,0)*0.475*44/12</f>
        <v>0.86074135769871107</v>
      </c>
      <c r="AB73" s="23">
        <f>EXP(-LN(2)/2)*AB72+(1-EXP(-LN(2)/2))/(LN(2)/2)*V73*Y73*VLOOKUP('Données projet'!$B$9,Paramètres!$A$1:$I$89,3,0)*0.475*44/12</f>
        <v>4.9452775731570227E-6</v>
      </c>
      <c r="AC73" s="24">
        <f t="shared" si="57"/>
        <v>2.3769016822026408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-5.6843418860808015E-14</v>
      </c>
      <c r="O74" s="14">
        <f>N74*VLOOKUP('Données projet'!$B$9,Paramètres!$A$1:$I$89,3,0)*VLOOKUP('Données projet'!$B$9,Paramètres!$A$1:$I$89,5,0)</f>
        <v>-5.1431925385259088E-14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366.86025470473652</v>
      </c>
      <c r="T74" s="62">
        <f t="shared" si="88"/>
        <v>513.80016421153414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1.4864244970031961</v>
      </c>
      <c r="AA74" s="23">
        <f>EXP(-LN(2)/25)*AA73+(1-EXP(-LN(2)/25))/(LN(2)/25)*Calculateur!V74*Calculateur!X74*VLOOKUP('Données projet'!$B$9,Paramètres!$A$1:$I$89,3,0)*0.475*44/12</f>
        <v>0.83720434000801902</v>
      </c>
      <c r="AB74" s="23">
        <f>EXP(-LN(2)/2)*AB73+(1-EXP(-LN(2)/2))/(LN(2)/2)*V74*Y74*VLOOKUP('Données projet'!$B$9,Paramètres!$A$1:$I$89,3,0)*0.475*44/12</f>
        <v>3.4968393068290837E-6</v>
      </c>
      <c r="AC74" s="24">
        <f t="shared" si="57"/>
        <v>2.3236323338505223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-5.6843418860808015E-14</v>
      </c>
      <c r="O75" s="14">
        <f>N75*VLOOKUP('Données projet'!$B$9,Paramètres!$A$1:$I$89,3,0)*VLOOKUP('Données projet'!$B$9,Paramètres!$A$1:$I$89,5,0)</f>
        <v>-5.1431925385259088E-14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366.86025470473652</v>
      </c>
      <c r="T75" s="62">
        <f t="shared" si="88"/>
        <v>513.80016421153414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1.4572766192463844</v>
      </c>
      <c r="AA75" s="23">
        <f>EXP(-LN(2)/25)*AA74+(1-EXP(-LN(2)/25))/(LN(2)/25)*Calculateur!V75*Calculateur!X75*VLOOKUP('Données projet'!$B$9,Paramètres!$A$1:$I$89,3,0)*0.475*44/12</f>
        <v>0.81431094330383691</v>
      </c>
      <c r="AB75" s="23">
        <f>EXP(-LN(2)/2)*AB74+(1-EXP(-LN(2)/2))/(LN(2)/2)*V75*Y75*VLOOKUP('Données projet'!$B$9,Paramètres!$A$1:$I$89,3,0)*0.475*44/12</f>
        <v>2.4726387865785114E-6</v>
      </c>
      <c r="AC75" s="24">
        <f t="shared" si="57"/>
        <v>2.2715900351890079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-5.6843418860808015E-14</v>
      </c>
      <c r="O76" s="14">
        <f>N76*VLOOKUP('Données projet'!$B$9,Paramètres!$A$1:$I$89,3,0)*VLOOKUP('Données projet'!$B$9,Paramètres!$A$1:$I$89,5,0)</f>
        <v>-5.1431925385259088E-14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366.86025470473652</v>
      </c>
      <c r="T76" s="62">
        <f t="shared" si="88"/>
        <v>513.80016421153414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1.4287003135939338</v>
      </c>
      <c r="AA76" s="23">
        <f>EXP(-LN(2)/25)*AA75+(1-EXP(-LN(2)/25))/(LN(2)/25)*Calculateur!V76*Calculateur!X76*VLOOKUP('Données projet'!$B$9,Paramètres!$A$1:$I$89,3,0)*0.475*44/12</f>
        <v>0.79204356773644213</v>
      </c>
      <c r="AB76" s="23">
        <f>EXP(-LN(2)/2)*AB75+(1-EXP(-LN(2)/2))/(LN(2)/2)*V76*Y76*VLOOKUP('Données projet'!$B$9,Paramètres!$A$1:$I$89,3,0)*0.475*44/12</f>
        <v>1.7484196534145418E-6</v>
      </c>
      <c r="AC76" s="24">
        <f t="shared" si="57"/>
        <v>2.2207456297500294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-5.6843418860808015E-14</v>
      </c>
      <c r="O77" s="14">
        <f>N77*VLOOKUP('Données projet'!$B$9,Paramètres!$A$1:$I$89,3,0)*VLOOKUP('Données projet'!$B$9,Paramètres!$A$1:$I$89,5,0)</f>
        <v>-5.1431925385259088E-14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366.86025470473652</v>
      </c>
      <c r="T77" s="62">
        <f t="shared" si="88"/>
        <v>513.80016421153414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1.4006843718655024</v>
      </c>
      <c r="AA77" s="23">
        <f>EXP(-LN(2)/25)*AA76+(1-EXP(-LN(2)/25))/(LN(2)/25)*Calculateur!V77*Calculateur!X77*VLOOKUP('Données projet'!$B$9,Paramètres!$A$1:$I$89,3,0)*0.475*44/12</f>
        <v>0.77038509472492811</v>
      </c>
      <c r="AB77" s="23">
        <f>EXP(-LN(2)/2)*AB76+(1-EXP(-LN(2)/2))/(LN(2)/2)*V77*Y77*VLOOKUP('Données projet'!$B$9,Paramètres!$A$1:$I$89,3,0)*0.475*44/12</f>
        <v>1.2363193932892557E-6</v>
      </c>
      <c r="AC77" s="24">
        <f t="shared" si="57"/>
        <v>2.1710707029098235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-5.6843418860808015E-14</v>
      </c>
      <c r="O78" s="14">
        <f>N78*VLOOKUP('Données projet'!$B$9,Paramètres!$A$1:$I$89,3,0)*VLOOKUP('Données projet'!$B$9,Paramètres!$A$1:$I$89,5,0)</f>
        <v>-5.1431925385259088E-14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366.86025470473652</v>
      </c>
      <c r="T78" s="62">
        <f t="shared" si="88"/>
        <v>513.80016421153414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1.3732178056663285</v>
      </c>
      <c r="AA78" s="23">
        <f>EXP(-LN(2)/25)*AA77+(1-EXP(-LN(2)/25))/(LN(2)/25)*Calculateur!V78*Calculateur!X78*VLOOKUP('Données projet'!$B$9,Paramètres!$A$1:$I$89,3,0)*0.475*44/12</f>
        <v>0.74931887379688356</v>
      </c>
      <c r="AB78" s="23">
        <f>EXP(-LN(2)/2)*AB77+(1-EXP(-LN(2)/2))/(LN(2)/2)*V78*Y78*VLOOKUP('Données projet'!$B$9,Paramètres!$A$1:$I$89,3,0)*0.475*44/12</f>
        <v>8.7420982670727092E-7</v>
      </c>
      <c r="AC78" s="24">
        <f t="shared" si="57"/>
        <v>2.1225375536730389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-5.6843418860808015E-14</v>
      </c>
      <c r="O79" s="14">
        <f>N79*VLOOKUP('Données projet'!$B$9,Paramètres!$A$1:$I$89,3,0)*VLOOKUP('Données projet'!$B$9,Paramètres!$A$1:$I$89,5,0)</f>
        <v>-5.1431925385259088E-14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366.86025470473652</v>
      </c>
      <c r="T79" s="62">
        <f t="shared" si="88"/>
        <v>513.80016421153414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1.346289842077369</v>
      </c>
      <c r="AA79" s="23">
        <f>EXP(-LN(2)/25)*AA78+(1-EXP(-LN(2)/25))/(LN(2)/25)*Calculateur!V79*Calculateur!X79*VLOOKUP('Données projet'!$B$9,Paramètres!$A$1:$I$89,3,0)*0.475*44/12</f>
        <v>0.72882870978794079</v>
      </c>
      <c r="AB79" s="23">
        <f>EXP(-LN(2)/2)*AB78+(1-EXP(-LN(2)/2))/(LN(2)/2)*V79*Y79*VLOOKUP('Données projet'!$B$9,Paramètres!$A$1:$I$89,3,0)*0.475*44/12</f>
        <v>6.1815969664462784E-7</v>
      </c>
      <c r="AC79" s="24">
        <f t="shared" si="57"/>
        <v>2.0751191700250065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-5.6843418860808015E-14</v>
      </c>
      <c r="O80" s="14">
        <f>N80*VLOOKUP('Données projet'!$B$9,Paramètres!$A$1:$I$89,3,0)*VLOOKUP('Données projet'!$B$9,Paramètres!$A$1:$I$89,5,0)</f>
        <v>-5.1431925385259088E-14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366.86025470473652</v>
      </c>
      <c r="T80" s="62">
        <f t="shared" si="88"/>
        <v>513.80016421153414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1.3198899194299532</v>
      </c>
      <c r="AA80" s="23">
        <f>EXP(-LN(2)/25)*AA79+(1-EXP(-LN(2)/25))/(LN(2)/25)*Calculateur!V80*Calculateur!X80*VLOOKUP('Données projet'!$B$9,Paramètres!$A$1:$I$89,3,0)*0.475*44/12</f>
        <v>0.70889885039135347</v>
      </c>
      <c r="AB80" s="23">
        <f>EXP(-LN(2)/2)*AB79+(1-EXP(-LN(2)/2))/(LN(2)/2)*V80*Y80*VLOOKUP('Données projet'!$B$9,Paramètres!$A$1:$I$89,3,0)*0.475*44/12</f>
        <v>4.3710491335363546E-7</v>
      </c>
      <c r="AC80" s="24">
        <f t="shared" si="57"/>
        <v>2.0287892069262199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-5.6843418860808015E-14</v>
      </c>
      <c r="O81" s="14">
        <f>N81*VLOOKUP('Données projet'!$B$9,Paramètres!$A$1:$I$89,3,0)*VLOOKUP('Données projet'!$B$9,Paramètres!$A$1:$I$89,5,0)</f>
        <v>-5.1431925385259088E-14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366.86025470473652</v>
      </c>
      <c r="T81" s="62">
        <f t="shared" si="88"/>
        <v>513.80016421153414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1.2940076831632903</v>
      </c>
      <c r="AA81" s="23">
        <f>EXP(-LN(2)/25)*AA80+(1-EXP(-LN(2)/25))/(LN(2)/25)*Calculateur!V81*Calculateur!X81*VLOOKUP('Données projet'!$B$9,Paramètres!$A$1:$I$89,3,0)*0.475*44/12</f>
        <v>0.68951397404803161</v>
      </c>
      <c r="AB81" s="23">
        <f>EXP(-LN(2)/2)*AB80+(1-EXP(-LN(2)/2))/(LN(2)/2)*V81*Y81*VLOOKUP('Données projet'!$B$9,Paramètres!$A$1:$I$89,3,0)*0.475*44/12</f>
        <v>3.0907984832231392E-7</v>
      </c>
      <c r="AC81" s="24">
        <f t="shared" si="57"/>
        <v>1.9835219662911703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-5.6843418860808015E-14</v>
      </c>
      <c r="O82" s="14">
        <f>N82*VLOOKUP('Données projet'!$B$9,Paramètres!$A$1:$I$89,3,0)*VLOOKUP('Données projet'!$B$9,Paramètres!$A$1:$I$89,5,0)</f>
        <v>-5.1431925385259088E-14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366.86025470473652</v>
      </c>
      <c r="T82" s="62">
        <f t="shared" si="88"/>
        <v>513.80016421153414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1.2686329817632114</v>
      </c>
      <c r="AA82" s="23">
        <f>EXP(-LN(2)/25)*AA81+(1-EXP(-LN(2)/25))/(LN(2)/25)*Calculateur!V82*Calculateur!X82*VLOOKUP('Données projet'!$B$9,Paramètres!$A$1:$I$89,3,0)*0.475*44/12</f>
        <v>0.67065917816772425</v>
      </c>
      <c r="AB82" s="23">
        <f>EXP(-LN(2)/2)*AB81+(1-EXP(-LN(2)/2))/(LN(2)/2)*V82*Y82*VLOOKUP('Données projet'!$B$9,Paramètres!$A$1:$I$89,3,0)*0.475*44/12</f>
        <v>2.1855245667681773E-7</v>
      </c>
      <c r="AC82" s="24">
        <f t="shared" si="57"/>
        <v>1.9392923784833922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-5.6843418860808015E-14</v>
      </c>
      <c r="O83" s="14">
        <f>N83*VLOOKUP('Données projet'!$B$9,Paramètres!$A$1:$I$89,3,0)*VLOOKUP('Données projet'!$B$9,Paramètres!$A$1:$I$89,5,0)</f>
        <v>-5.1431925385259088E-14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366.86025470473652</v>
      </c>
      <c r="T83" s="62">
        <f t="shared" si="88"/>
        <v>513.80016421153414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1.2437558627805483</v>
      </c>
      <c r="AA83" s="23">
        <f>EXP(-LN(2)/25)*AA82+(1-EXP(-LN(2)/25))/(LN(2)/25)*Calculateur!V83*Calculateur!X83*VLOOKUP('Données projet'!$B$9,Paramètres!$A$1:$I$89,3,0)*0.475*44/12</f>
        <v>0.6523199676722945</v>
      </c>
      <c r="AB83" s="23">
        <f>EXP(-LN(2)/2)*AB82+(1-EXP(-LN(2)/2))/(LN(2)/2)*V83*Y83*VLOOKUP('Données projet'!$B$9,Paramètres!$A$1:$I$89,3,0)*0.475*44/12</f>
        <v>1.5453992416115696E-7</v>
      </c>
      <c r="AC83" s="24">
        <f t="shared" si="57"/>
        <v>1.8960759849927669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-5.6843418860808015E-14</v>
      </c>
      <c r="O84" s="14">
        <f>N84*VLOOKUP('Données projet'!$B$9,Paramètres!$A$1:$I$89,3,0)*VLOOKUP('Données projet'!$B$9,Paramètres!$A$1:$I$89,5,0)</f>
        <v>-5.1431925385259088E-14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366.86025470473652</v>
      </c>
      <c r="T84" s="62">
        <f t="shared" si="88"/>
        <v>513.80016421153414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1.219366568927591</v>
      </c>
      <c r="AA84" s="23">
        <f>EXP(-LN(2)/25)*AA83+(1-EXP(-LN(2)/25))/(LN(2)/25)*Calculateur!V84*Calculateur!X84*VLOOKUP('Données projet'!$B$9,Paramètres!$A$1:$I$89,3,0)*0.475*44/12</f>
        <v>0.63448224385227936</v>
      </c>
      <c r="AB84" s="23">
        <f>EXP(-LN(2)/2)*AB83+(1-EXP(-LN(2)/2))/(LN(2)/2)*V84*Y84*VLOOKUP('Données projet'!$B$9,Paramètres!$A$1:$I$89,3,0)*0.475*44/12</f>
        <v>1.0927622833840886E-7</v>
      </c>
      <c r="AC84" s="24">
        <f t="shared" si="57"/>
        <v>1.8538489220560985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-5.6843418860808015E-14</v>
      </c>
      <c r="O85" s="14">
        <f>N85*VLOOKUP('Données projet'!$B$9,Paramètres!$A$1:$I$89,3,0)*VLOOKUP('Données projet'!$B$9,Paramètres!$A$1:$I$89,5,0)</f>
        <v>-5.1431925385259088E-14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366.86025470473652</v>
      </c>
      <c r="T85" s="62">
        <f t="shared" si="88"/>
        <v>513.80016421153414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1.1954555342510897</v>
      </c>
      <c r="AA85" s="23">
        <f>EXP(-LN(2)/25)*AA84+(1-EXP(-LN(2)/25))/(LN(2)/25)*Calculateur!V85*Calculateur!X85*VLOOKUP('Données projet'!$B$9,Paramètres!$A$1:$I$89,3,0)*0.475*44/12</f>
        <v>0.61713229352816767</v>
      </c>
      <c r="AB85" s="23">
        <f>EXP(-LN(2)/2)*AB84+(1-EXP(-LN(2)/2))/(LN(2)/2)*V85*Y85*VLOOKUP('Données projet'!$B$9,Paramètres!$A$1:$I$89,3,0)*0.475*44/12</f>
        <v>7.726996208057848E-8</v>
      </c>
      <c r="AC85" s="24">
        <f t="shared" si="57"/>
        <v>1.8125879050492193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-5.6843418860808015E-14</v>
      </c>
      <c r="O86" s="14">
        <f>N86*VLOOKUP('Données projet'!$B$9,Paramètres!$A$1:$I$89,3,0)*VLOOKUP('Données projet'!$B$9,Paramètres!$A$1:$I$89,5,0)</f>
        <v>-5.1431925385259088E-14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366.86025470473652</v>
      </c>
      <c r="T86" s="62">
        <f t="shared" si="88"/>
        <v>513.80016421153414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1.1720133803803037</v>
      </c>
      <c r="AA86" s="23">
        <f>EXP(-LN(2)/25)*AA85+(1-EXP(-LN(2)/25))/(LN(2)/25)*Calculateur!V86*Calculateur!X86*VLOOKUP('Données projet'!$B$9,Paramètres!$A$1:$I$89,3,0)*0.475*44/12</f>
        <v>0.60025677850806314</v>
      </c>
      <c r="AB86" s="23">
        <f>EXP(-LN(2)/2)*AB85+(1-EXP(-LN(2)/2))/(LN(2)/2)*V86*Y86*VLOOKUP('Données projet'!$B$9,Paramètres!$A$1:$I$89,3,0)*0.475*44/12</f>
        <v>5.4638114169204432E-8</v>
      </c>
      <c r="AC86" s="24">
        <f t="shared" si="57"/>
        <v>1.772270213526481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-5.6843418860808015E-14</v>
      </c>
      <c r="O87" s="14">
        <f>N87*VLOOKUP('Données projet'!$B$9,Paramètres!$A$1:$I$89,3,0)*VLOOKUP('Données projet'!$B$9,Paramètres!$A$1:$I$89,5,0)</f>
        <v>-5.1431925385259088E-14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366.86025470473652</v>
      </c>
      <c r="T87" s="62">
        <f t="shared" si="88"/>
        <v>513.80016421153414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1.1490309128486216</v>
      </c>
      <c r="AA87" s="23">
        <f>EXP(-LN(2)/25)*AA86+(1-EXP(-LN(2)/25))/(LN(2)/25)*Calculateur!V87*Calculateur!X87*VLOOKUP('Données projet'!$B$9,Paramètres!$A$1:$I$89,3,0)*0.475*44/12</f>
        <v>0.58384272533362802</v>
      </c>
      <c r="AB87" s="23">
        <f>EXP(-LN(2)/2)*AB86+(1-EXP(-LN(2)/2))/(LN(2)/2)*V87*Y87*VLOOKUP('Données projet'!$B$9,Paramètres!$A$1:$I$89,3,0)*0.475*44/12</f>
        <v>3.863498104028924E-8</v>
      </c>
      <c r="AC87" s="24">
        <f t="shared" si="57"/>
        <v>1.7328736768172306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-5.6843418860808015E-14</v>
      </c>
      <c r="O88" s="14">
        <f>N88*VLOOKUP('Données projet'!$B$9,Paramètres!$A$1:$I$89,3,0)*VLOOKUP('Données projet'!$B$9,Paramètres!$A$1:$I$89,5,0)</f>
        <v>-5.1431925385259088E-14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366.86025470473652</v>
      </c>
      <c r="T88" s="62">
        <f t="shared" si="88"/>
        <v>513.80016421153414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1.1264991174873147</v>
      </c>
      <c r="AA88" s="23">
        <f>EXP(-LN(2)/25)*AA87+(1-EXP(-LN(2)/25))/(LN(2)/25)*Calculateur!V88*Calculateur!X88*VLOOKUP('Données projet'!$B$9,Paramètres!$A$1:$I$89,3,0)*0.475*44/12</f>
        <v>0.56787751530642538</v>
      </c>
      <c r="AB88" s="23">
        <f>EXP(-LN(2)/2)*AB87+(1-EXP(-LN(2)/2))/(LN(2)/2)*V88*Y88*VLOOKUP('Données projet'!$B$9,Paramètres!$A$1:$I$89,3,0)*0.475*44/12</f>
        <v>2.7319057084602216E-8</v>
      </c>
      <c r="AC88" s="24">
        <f t="shared" si="57"/>
        <v>1.6943766601127972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-5.6843418860808015E-14</v>
      </c>
      <c r="O89" s="14">
        <f>N89*VLOOKUP('Données projet'!$B$9,Paramètres!$A$1:$I$89,3,0)*VLOOKUP('Données projet'!$B$9,Paramètres!$A$1:$I$89,5,0)</f>
        <v>-5.1431925385259088E-14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366.86025470473652</v>
      </c>
      <c r="T89" s="62">
        <f t="shared" si="88"/>
        <v>513.80016421153414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1.104409156890005</v>
      </c>
      <c r="AA89" s="23">
        <f>EXP(-LN(2)/25)*AA88+(1-EXP(-LN(2)/25))/(LN(2)/25)*Calculateur!V89*Calculateur!X89*VLOOKUP('Données projet'!$B$9,Paramètres!$A$1:$I$89,3,0)*0.475*44/12</f>
        <v>0.55234887478699057</v>
      </c>
      <c r="AB89" s="23">
        <f>EXP(-LN(2)/2)*AB88+(1-EXP(-LN(2)/2))/(LN(2)/2)*V89*Y89*VLOOKUP('Données projet'!$B$9,Paramètres!$A$1:$I$89,3,0)*0.475*44/12</f>
        <v>1.931749052014462E-8</v>
      </c>
      <c r="AC89" s="24">
        <f t="shared" si="57"/>
        <v>1.6567580509944861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-5.6843418860808015E-14</v>
      </c>
      <c r="O90" s="14">
        <f>N90*VLOOKUP('Données projet'!$B$9,Paramètres!$A$1:$I$89,3,0)*VLOOKUP('Données projet'!$B$9,Paramètres!$A$1:$I$89,5,0)</f>
        <v>-5.1431925385259088E-14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366.86025470473652</v>
      </c>
      <c r="T90" s="62">
        <f t="shared" si="88"/>
        <v>513.80016421153414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1.0827523669464629</v>
      </c>
      <c r="AA90" s="23">
        <f>EXP(-LN(2)/25)*AA89+(1-EXP(-LN(2)/25))/(LN(2)/25)*Calculateur!V90*Calculateur!X90*VLOOKUP('Données projet'!$B$9,Paramètres!$A$1:$I$89,3,0)*0.475*44/12</f>
        <v>0.53724486575917541</v>
      </c>
      <c r="AB90" s="23">
        <f>EXP(-LN(2)/2)*AB89+(1-EXP(-LN(2)/2))/(LN(2)/2)*V90*Y90*VLOOKUP('Données projet'!$B$9,Paramètres!$A$1:$I$89,3,0)*0.475*44/12</f>
        <v>1.3659528542301108E-8</v>
      </c>
      <c r="AC90" s="24">
        <f t="shared" si="57"/>
        <v>1.6199972463651671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-5.6843418860808015E-14</v>
      </c>
      <c r="O91" s="14">
        <f>N91*VLOOKUP('Données projet'!$B$9,Paramètres!$A$1:$I$89,3,0)*VLOOKUP('Données projet'!$B$9,Paramètres!$A$1:$I$89,5,0)</f>
        <v>-5.1431925385259088E-14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366.86025470473652</v>
      </c>
      <c r="T91" s="62">
        <f t="shared" si="88"/>
        <v>513.80016421153414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1.0615202534443762</v>
      </c>
      <c r="AA91" s="23">
        <f>EXP(-LN(2)/25)*AA90+(1-EXP(-LN(2)/25))/(LN(2)/25)*Calculateur!V91*Calculateur!X91*VLOOKUP('Données projet'!$B$9,Paramètres!$A$1:$I$89,3,0)*0.475*44/12</f>
        <v>0.52255387665251118</v>
      </c>
      <c r="AB91" s="23">
        <f>EXP(-LN(2)/2)*AB90+(1-EXP(-LN(2)/2))/(LN(2)/2)*V91*Y91*VLOOKUP('Données projet'!$B$9,Paramètres!$A$1:$I$89,3,0)*0.475*44/12</f>
        <v>9.65874526007231E-9</v>
      </c>
      <c r="AC91" s="24">
        <f t="shared" si="57"/>
        <v>1.5840741397556326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-5.6843418860808015E-14</v>
      </c>
      <c r="O92" s="14">
        <f>N92*VLOOKUP('Données projet'!$B$9,Paramètres!$A$1:$I$89,3,0)*VLOOKUP('Données projet'!$B$9,Paramètres!$A$1:$I$89,5,0)</f>
        <v>-5.1431925385259088E-14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366.86025470473652</v>
      </c>
      <c r="T92" s="62">
        <f t="shared" si="88"/>
        <v>513.80016421153414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1.0407044887377548</v>
      </c>
      <c r="AA92" s="23">
        <f>EXP(-LN(2)/25)*AA91+(1-EXP(-LN(2)/25))/(LN(2)/25)*Calculateur!V92*Calculateur!X92*VLOOKUP('Données projet'!$B$9,Paramètres!$A$1:$I$89,3,0)*0.475*44/12</f>
        <v>0.50826461341553419</v>
      </c>
      <c r="AB92" s="23">
        <f>EXP(-LN(2)/2)*AB91+(1-EXP(-LN(2)/2))/(LN(2)/2)*V92*Y92*VLOOKUP('Données projet'!$B$9,Paramètres!$A$1:$I$89,3,0)*0.475*44/12</f>
        <v>6.829764271150554E-9</v>
      </c>
      <c r="AC92" s="24">
        <f t="shared" si="57"/>
        <v>1.5489691089830533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-5.6843418860808015E-14</v>
      </c>
      <c r="O93" s="14">
        <f>N93*VLOOKUP('Données projet'!$B$9,Paramètres!$A$1:$I$89,3,0)*VLOOKUP('Données projet'!$B$9,Paramètres!$A$1:$I$89,5,0)</f>
        <v>-5.1431925385259088E-14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366.86025470473652</v>
      </c>
      <c r="T93" s="62">
        <f t="shared" si="88"/>
        <v>513.80016421153414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1.0202969084806675</v>
      </c>
      <c r="AA93" s="23">
        <f>EXP(-LN(2)/25)*AA92+(1-EXP(-LN(2)/25))/(LN(2)/25)*Calculateur!V93*Calculateur!X93*VLOOKUP('Données projet'!$B$9,Paramètres!$A$1:$I$89,3,0)*0.475*44/12</f>
        <v>0.49436609083321204</v>
      </c>
      <c r="AB93" s="23">
        <f>EXP(-LN(2)/2)*AB92+(1-EXP(-LN(2)/2))/(LN(2)/2)*V93*Y93*VLOOKUP('Données projet'!$B$9,Paramètres!$A$1:$I$89,3,0)*0.475*44/12</f>
        <v>4.829372630036155E-9</v>
      </c>
      <c r="AC93" s="24">
        <f t="shared" si="57"/>
        <v>1.5146630041432523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-5.6843418860808015E-14</v>
      </c>
      <c r="O94" s="14">
        <f>N94*VLOOKUP('Données projet'!$B$9,Paramètres!$A$1:$I$89,3,0)*VLOOKUP('Données projet'!$B$9,Paramètres!$A$1:$I$89,5,0)</f>
        <v>-5.1431925385259088E-14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366.86025470473652</v>
      </c>
      <c r="T94" s="62">
        <f t="shared" si="88"/>
        <v>513.80016421153414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1.0002895084250267</v>
      </c>
      <c r="AA94" s="23">
        <f>EXP(-LN(2)/25)*AA93+(1-EXP(-LN(2)/25))/(LN(2)/25)*Calculateur!V94*Calculateur!X94*VLOOKUP('Données projet'!$B$9,Paramètres!$A$1:$I$89,3,0)*0.475*44/12</f>
        <v>0.48084762408179504</v>
      </c>
      <c r="AB94" s="23">
        <f>EXP(-LN(2)/2)*AB93+(1-EXP(-LN(2)/2))/(LN(2)/2)*V94*Y94*VLOOKUP('Données projet'!$B$9,Paramètres!$A$1:$I$89,3,0)*0.475*44/12</f>
        <v>3.414882135575277E-9</v>
      </c>
      <c r="AC94" s="24">
        <f t="shared" si="57"/>
        <v>1.481137135921704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-5.6843418860808015E-14</v>
      </c>
      <c r="O95" s="14">
        <f>N95*VLOOKUP('Données projet'!$B$9,Paramètres!$A$1:$I$89,3,0)*VLOOKUP('Données projet'!$B$9,Paramètres!$A$1:$I$89,5,0)</f>
        <v>-5.1431925385259088E-14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366.86025470473652</v>
      </c>
      <c r="T95" s="62">
        <f t="shared" si="88"/>
        <v>513.80016421153414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0.9806744412811681</v>
      </c>
      <c r="AA95" s="23">
        <f>EXP(-LN(2)/25)*AA94+(1-EXP(-LN(2)/25))/(LN(2)/25)*Calculateur!V95*Calculateur!X95*VLOOKUP('Données projet'!$B$9,Paramètres!$A$1:$I$89,3,0)*0.475*44/12</f>
        <v>0.46769882051460082</v>
      </c>
      <c r="AB95" s="23">
        <f>EXP(-LN(2)/2)*AB94+(1-EXP(-LN(2)/2))/(LN(2)/2)*V95*Y95*VLOOKUP('Données projet'!$B$9,Paramètres!$A$1:$I$89,3,0)*0.475*44/12</f>
        <v>2.4146863150180775E-9</v>
      </c>
      <c r="AC95" s="24">
        <f t="shared" si="57"/>
        <v>1.4483732642104552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-5.6843418860808015E-14</v>
      </c>
      <c r="O96" s="14">
        <f>N96*VLOOKUP('Données projet'!$B$9,Paramètres!$A$1:$I$89,3,0)*VLOOKUP('Données projet'!$B$9,Paramètres!$A$1:$I$89,5,0)</f>
        <v>-5.1431925385259088E-14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366.86025470473652</v>
      </c>
      <c r="T96" s="62">
        <f t="shared" si="88"/>
        <v>513.80016421153414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0.96144401363999088</v>
      </c>
      <c r="AA96" s="23">
        <f>EXP(-LN(2)/25)*AA95+(1-EXP(-LN(2)/25))/(LN(2)/25)*Calculateur!V96*Calculateur!X96*VLOOKUP('Données projet'!$B$9,Paramètres!$A$1:$I$89,3,0)*0.475*44/12</f>
        <v>0.45490957167241702</v>
      </c>
      <c r="AB96" s="23">
        <f>EXP(-LN(2)/2)*AB95+(1-EXP(-LN(2)/2))/(LN(2)/2)*V96*Y96*VLOOKUP('Données projet'!$B$9,Paramètres!$A$1:$I$89,3,0)*0.475*44/12</f>
        <v>1.7074410677876385E-9</v>
      </c>
      <c r="AC96" s="24">
        <f t="shared" si="57"/>
        <v>1.4163535870198489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-5.6843418860808015E-14</v>
      </c>
      <c r="O97" s="14">
        <f>N97*VLOOKUP('Données projet'!$B$9,Paramètres!$A$1:$I$89,3,0)*VLOOKUP('Données projet'!$B$9,Paramètres!$A$1:$I$89,5,0)</f>
        <v>-5.1431925385259088E-14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366.86025470473652</v>
      </c>
      <c r="T97" s="62">
        <f t="shared" si="88"/>
        <v>513.80016421153414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0.94259068295545456</v>
      </c>
      <c r="AA97" s="23">
        <f>EXP(-LN(2)/25)*AA96+(1-EXP(-LN(2)/25))/(LN(2)/25)*Calculateur!V97*Calculateur!X97*VLOOKUP('Données projet'!$B$9,Paramètres!$A$1:$I$89,3,0)*0.475*44/12</f>
        <v>0.44247004551238012</v>
      </c>
      <c r="AB97" s="23">
        <f>EXP(-LN(2)/2)*AB96+(1-EXP(-LN(2)/2))/(LN(2)/2)*V97*Y97*VLOOKUP('Données projet'!$B$9,Paramètres!$A$1:$I$89,3,0)*0.475*44/12</f>
        <v>1.2073431575090388E-9</v>
      </c>
      <c r="AC97" s="24">
        <f t="shared" si="57"/>
        <v>1.3850607296751778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-5.6843418860808015E-14</v>
      </c>
      <c r="O98" s="14">
        <f>N98*VLOOKUP('Données projet'!$B$9,Paramètres!$A$1:$I$89,3,0)*VLOOKUP('Données projet'!$B$9,Paramètres!$A$1:$I$89,5,0)</f>
        <v>-5.1431925385259088E-14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366.86025470473652</v>
      </c>
      <c r="T98" s="62">
        <f t="shared" si="88"/>
        <v>513.80016421153414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0.92410705458624576</v>
      </c>
      <c r="AA98" s="23">
        <f>EXP(-LN(2)/25)*AA97+(1-EXP(-LN(2)/25))/(LN(2)/25)*Calculateur!V98*Calculateur!X98*VLOOKUP('Données projet'!$B$9,Paramètres!$A$1:$I$89,3,0)*0.475*44/12</f>
        <v>0.43037067884935565</v>
      </c>
      <c r="AB98" s="23">
        <f>EXP(-LN(2)/2)*AB97+(1-EXP(-LN(2)/2))/(LN(2)/2)*V98*Y98*VLOOKUP('Données projet'!$B$9,Paramètres!$A$1:$I$89,3,0)*0.475*44/12</f>
        <v>8.5372053389381926E-10</v>
      </c>
      <c r="AC98" s="24">
        <f t="shared" si="57"/>
        <v>1.3544777342893217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-5.6843418860808015E-14</v>
      </c>
      <c r="O99" s="14">
        <f>N99*VLOOKUP('Données projet'!$B$9,Paramètres!$A$1:$I$89,3,0)*VLOOKUP('Données projet'!$B$9,Paramètres!$A$1:$I$89,5,0)</f>
        <v>-5.1431925385259088E-14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366.86025470473652</v>
      </c>
      <c r="T99" s="62">
        <f t="shared" si="88"/>
        <v>513.80016421153414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0.90598587889545701</v>
      </c>
      <c r="AA99" s="23">
        <f>EXP(-LN(2)/25)*AA98+(1-EXP(-LN(2)/25))/(LN(2)/25)*Calculateur!V99*Calculateur!X99*VLOOKUP('Données projet'!$B$9,Paramètres!$A$1:$I$89,3,0)*0.475*44/12</f>
        <v>0.41860217000400962</v>
      </c>
      <c r="AB99" s="23">
        <f>EXP(-LN(2)/2)*AB98+(1-EXP(-LN(2)/2))/(LN(2)/2)*V99*Y99*VLOOKUP('Données projet'!$B$9,Paramètres!$A$1:$I$89,3,0)*0.475*44/12</f>
        <v>6.0367157875451938E-10</v>
      </c>
      <c r="AC99" s="24">
        <f t="shared" si="57"/>
        <v>1.3245880495031381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-5.6843418860808015E-14</v>
      </c>
      <c r="O100" s="14">
        <f>N100*VLOOKUP('Données projet'!$B$9,Paramètres!$A$1:$I$89,3,0)*VLOOKUP('Données projet'!$B$9,Paramètres!$A$1:$I$89,5,0)</f>
        <v>-5.1431925385259088E-14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366.86025470473652</v>
      </c>
      <c r="T100" s="62">
        <f t="shared" si="88"/>
        <v>513.80016421153414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0.88822004840713886</v>
      </c>
      <c r="AA100" s="23">
        <f>EXP(-LN(2)/25)*AA99+(1-EXP(-LN(2)/25))/(LN(2)/25)*Calculateur!V100*Calculateur!X100*VLOOKUP('Données projet'!$B$9,Paramètres!$A$1:$I$89,3,0)*0.475*44/12</f>
        <v>0.40715547165191857</v>
      </c>
      <c r="AB100" s="23">
        <f>EXP(-LN(2)/2)*AB99+(1-EXP(-LN(2)/2))/(LN(2)/2)*V100*Y100*VLOOKUP('Données projet'!$B$9,Paramètres!$A$1:$I$89,3,0)*0.475*44/12</f>
        <v>4.2686026694690963E-10</v>
      </c>
      <c r="AC100" s="24">
        <f t="shared" si="57"/>
        <v>1.2953755204859179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-5.6843418860808015E-14</v>
      </c>
      <c r="O101" s="14">
        <f>N101*VLOOKUP('Données projet'!$B$9,Paramètres!$A$1:$I$89,3,0)*VLOOKUP('Données projet'!$B$9,Paramètres!$A$1:$I$89,5,0)</f>
        <v>-5.1431925385259088E-14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366.86025470473652</v>
      </c>
      <c r="T101" s="62">
        <f t="shared" si="88"/>
        <v>513.80016421153414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0.87080259501861002</v>
      </c>
      <c r="AA101" s="23">
        <f>EXP(-LN(2)/25)*AA100+(1-EXP(-LN(2)/25))/(LN(2)/25)*Calculateur!V101*Calculateur!X101*VLOOKUP('Données projet'!$B$9,Paramètres!$A$1:$I$89,3,0)*0.475*44/12</f>
        <v>0.39602178386822118</v>
      </c>
      <c r="AB101" s="23">
        <f>EXP(-LN(2)/2)*AB100+(1-EXP(-LN(2)/2))/(LN(2)/2)*V101*Y101*VLOOKUP('Données projet'!$B$9,Paramètres!$A$1:$I$89,3,0)*0.475*44/12</f>
        <v>3.0183578937725969E-10</v>
      </c>
      <c r="AC101" s="24">
        <f t="shared" si="57"/>
        <v>1.2668243791886671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-5.6843418860808015E-14</v>
      </c>
      <c r="O102" s="14">
        <f>N102*VLOOKUP('Données projet'!$B$9,Paramètres!$A$1:$I$89,3,0)*VLOOKUP('Données projet'!$B$9,Paramètres!$A$1:$I$89,5,0)</f>
        <v>-5.1431925385259088E-14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366.86025470473652</v>
      </c>
      <c r="T102" s="62">
        <f t="shared" si="88"/>
        <v>513.80016421153414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0.85372668726743262</v>
      </c>
      <c r="AA102" s="23">
        <f>EXP(-LN(2)/25)*AA101+(1-EXP(-LN(2)/25))/(LN(2)/25)*Calculateur!V102*Calculateur!X102*VLOOKUP('Données projet'!$B$9,Paramètres!$A$1:$I$89,3,0)*0.475*44/12</f>
        <v>0.38519254736246417</v>
      </c>
      <c r="AB102" s="23">
        <f>EXP(-LN(2)/2)*AB101+(1-EXP(-LN(2)/2))/(LN(2)/2)*V102*Y102*VLOOKUP('Données projet'!$B$9,Paramètres!$A$1:$I$89,3,0)*0.475*44/12</f>
        <v>2.1343013347345481E-10</v>
      </c>
      <c r="AC102" s="24">
        <f t="shared" si="57"/>
        <v>1.2389192348433269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-5.6843418860808015E-14</v>
      </c>
      <c r="O103" s="14">
        <f>N103*VLOOKUP('Données projet'!$B$9,Paramètres!$A$1:$I$89,3,0)*VLOOKUP('Données projet'!$B$9,Paramètres!$A$1:$I$89,5,0)</f>
        <v>-5.1431925385259088E-14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366.86025470473652</v>
      </c>
      <c r="T103" s="62">
        <f t="shared" si="88"/>
        <v>513.80016421153414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0.83698562765198048</v>
      </c>
      <c r="AA103" s="23">
        <f>EXP(-LN(2)/25)*AA102+(1-EXP(-LN(2)/25))/(LN(2)/25)*Calculateur!V103*Calculateur!X103*VLOOKUP('Données projet'!$B$9,Paramètres!$A$1:$I$89,3,0)*0.475*44/12</f>
        <v>0.37465943689844189</v>
      </c>
      <c r="AB103" s="23">
        <f>EXP(-LN(2)/2)*AB102+(1-EXP(-LN(2)/2))/(LN(2)/2)*V103*Y103*VLOOKUP('Données projet'!$B$9,Paramètres!$A$1:$I$89,3,0)*0.475*44/12</f>
        <v>1.5091789468862984E-10</v>
      </c>
      <c r="AC103" s="24">
        <f t="shared" si="57"/>
        <v>1.2116450647013404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-5.6843418860808015E-14</v>
      </c>
      <c r="O104" s="14">
        <f>N104*VLOOKUP('Données projet'!$B$9,Paramètres!$A$1:$I$89,3,0)*VLOOKUP('Données projet'!$B$9,Paramètres!$A$1:$I$89,5,0)</f>
        <v>-5.1431925385259088E-14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366.86025470473652</v>
      </c>
      <c r="T104" s="62">
        <f t="shared" si="88"/>
        <v>513.80016421153414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0.82057285000454927</v>
      </c>
      <c r="AA104" s="23">
        <f>EXP(-LN(2)/25)*AA103+(1-EXP(-LN(2)/25))/(LN(2)/25)*Calculateur!V104*Calculateur!X104*VLOOKUP('Données projet'!$B$9,Paramètres!$A$1:$I$89,3,0)*0.475*44/12</f>
        <v>0.3644143548939705</v>
      </c>
      <c r="AB104" s="23">
        <f>EXP(-LN(2)/2)*AB103+(1-EXP(-LN(2)/2))/(LN(2)/2)*V104*Y104*VLOOKUP('Données projet'!$B$9,Paramètres!$A$1:$I$89,3,0)*0.475*44/12</f>
        <v>1.0671506673672741E-10</v>
      </c>
      <c r="AC104" s="24">
        <f t="shared" si="57"/>
        <v>1.1849872050052348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-5.6843418860808015E-14</v>
      </c>
      <c r="O105" s="14">
        <f>N105*VLOOKUP('Données projet'!$B$9,Paramètres!$A$1:$I$89,3,0)*VLOOKUP('Données projet'!$B$9,Paramètres!$A$1:$I$89,5,0)</f>
        <v>-5.1431925385259088E-14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366.86025470473652</v>
      </c>
      <c r="T105" s="62">
        <f t="shared" si="88"/>
        <v>513.80016421153414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0.80448191691597826</v>
      </c>
      <c r="AA105" s="23">
        <f>EXP(-LN(2)/25)*AA104+(1-EXP(-LN(2)/25))/(LN(2)/25)*Calculateur!V105*Calculateur!X105*VLOOKUP('Données projet'!$B$9,Paramètres!$A$1:$I$89,3,0)*0.475*44/12</f>
        <v>0.35444942519567685</v>
      </c>
      <c r="AB105" s="23">
        <f>EXP(-LN(2)/2)*AB104+(1-EXP(-LN(2)/2))/(LN(2)/2)*V105*Y105*VLOOKUP('Données projet'!$B$9,Paramètres!$A$1:$I$89,3,0)*0.475*44/12</f>
        <v>7.5458947344314922E-11</v>
      </c>
      <c r="AC105" s="24">
        <f t="shared" si="57"/>
        <v>1.1589313421871141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-5.6843418860808015E-14</v>
      </c>
      <c r="O106" s="14">
        <f>N106*VLOOKUP('Données projet'!$B$9,Paramètres!$A$1:$I$89,3,0)*VLOOKUP('Données projet'!$B$9,Paramètres!$A$1:$I$89,5,0)</f>
        <v>-5.1431925385259088E-14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366.86025470473652</v>
      </c>
      <c r="T106" s="62">
        <f t="shared" si="88"/>
        <v>513.80016421153414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0.78870651721077412</v>
      </c>
      <c r="AA106" s="23">
        <f>EXP(-LN(2)/25)*AA105+(1-EXP(-LN(2)/25))/(LN(2)/25)*Calculateur!V106*Calculateur!X106*VLOOKUP('Données projet'!$B$9,Paramètres!$A$1:$I$89,3,0)*0.475*44/12</f>
        <v>0.34475698702401592</v>
      </c>
      <c r="AB106" s="23">
        <f>EXP(-LN(2)/2)*AB105+(1-EXP(-LN(2)/2))/(LN(2)/2)*V106*Y106*VLOOKUP('Données projet'!$B$9,Paramètres!$A$1:$I$89,3,0)*0.475*44/12</f>
        <v>5.3357533368363703E-11</v>
      </c>
      <c r="AC106" s="24">
        <f t="shared" si="57"/>
        <v>1.1334635042881476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-5.6843418860808015E-14</v>
      </c>
      <c r="O107" s="14">
        <f>N107*VLOOKUP('Données projet'!$B$9,Paramètres!$A$1:$I$89,3,0)*VLOOKUP('Données projet'!$B$9,Paramètres!$A$1:$I$89,5,0)</f>
        <v>-5.1431925385259088E-14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366.86025470473652</v>
      </c>
      <c r="T107" s="62">
        <f t="shared" si="88"/>
        <v>513.80016421153414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0.77324046347174524</v>
      </c>
      <c r="AA107" s="23">
        <f>EXP(-LN(2)/25)*AA106+(1-EXP(-LN(2)/25))/(LN(2)/25)*Calculateur!V107*Calculateur!X107*VLOOKUP('Données projet'!$B$9,Paramètres!$A$1:$I$89,3,0)*0.475*44/12</f>
        <v>0.33532958908386218</v>
      </c>
      <c r="AB107" s="23">
        <f>EXP(-LN(2)/2)*AB106+(1-EXP(-LN(2)/2))/(LN(2)/2)*V107*Y107*VLOOKUP('Données projet'!$B$9,Paramètres!$A$1:$I$89,3,0)*0.475*44/12</f>
        <v>3.7729473672157461E-11</v>
      </c>
      <c r="AC107" s="24">
        <f t="shared" si="57"/>
        <v>1.1085700525933369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-5.6843418860808015E-14</v>
      </c>
      <c r="O108" s="14">
        <f>N108*VLOOKUP('Données projet'!$B$9,Paramètres!$A$1:$I$89,3,0)*VLOOKUP('Données projet'!$B$9,Paramètres!$A$1:$I$89,5,0)</f>
        <v>-5.1431925385259088E-14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366.86025470473652</v>
      </c>
      <c r="T108" s="62">
        <f t="shared" si="88"/>
        <v>513.80016421153414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0.75807768961317745</v>
      </c>
      <c r="AA108" s="23">
        <f>EXP(-LN(2)/25)*AA107+(1-EXP(-LN(2)/25))/(LN(2)/25)*Calculateur!V108*Calculateur!X108*VLOOKUP('Données projet'!$B$9,Paramètres!$A$1:$I$89,3,0)*0.475*44/12</f>
        <v>0.3261599838361473</v>
      </c>
      <c r="AB108" s="23">
        <f>EXP(-LN(2)/2)*AB107+(1-EXP(-LN(2)/2))/(LN(2)/2)*V108*Y108*VLOOKUP('Données projet'!$B$9,Paramètres!$A$1:$I$89,3,0)*0.475*44/12</f>
        <v>2.6678766684181852E-11</v>
      </c>
      <c r="AC108" s="24">
        <f t="shared" si="57"/>
        <v>1.0842376734760033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-5.6843418860808015E-14</v>
      </c>
      <c r="O109" s="14">
        <f>N109*VLOOKUP('Données projet'!$B$9,Paramètres!$A$1:$I$89,3,0)*VLOOKUP('Données projet'!$B$9,Paramètres!$A$1:$I$89,5,0)</f>
        <v>-5.1431925385259088E-14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366.86025470473652</v>
      </c>
      <c r="T109" s="62">
        <f t="shared" si="88"/>
        <v>513.80016421153414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0.74321224850159728</v>
      </c>
      <c r="AA109" s="23">
        <f>EXP(-LN(2)/25)*AA108+(1-EXP(-LN(2)/25))/(LN(2)/25)*Calculateur!V109*Calculateur!X109*VLOOKUP('Données projet'!$B$9,Paramètres!$A$1:$I$89,3,0)*0.475*44/12</f>
        <v>0.31724112192613974</v>
      </c>
      <c r="AB109" s="23">
        <f>EXP(-LN(2)/2)*AB108+(1-EXP(-LN(2)/2))/(LN(2)/2)*V109*Y109*VLOOKUP('Données projet'!$B$9,Paramètres!$A$1:$I$89,3,0)*0.475*44/12</f>
        <v>1.886473683607873E-11</v>
      </c>
      <c r="AC109" s="24">
        <f t="shared" si="57"/>
        <v>1.0604533704466017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-5.6843418860808015E-14</v>
      </c>
      <c r="O110" s="14">
        <f>N110*VLOOKUP('Données projet'!$B$9,Paramètres!$A$1:$I$89,3,0)*VLOOKUP('Données projet'!$B$9,Paramètres!$A$1:$I$89,5,0)</f>
        <v>-5.1431925385259088E-14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366.86025470473652</v>
      </c>
      <c r="T110" s="62">
        <f t="shared" si="88"/>
        <v>513.80016421153414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0.72863830962319143</v>
      </c>
      <c r="AA110" s="23">
        <f>EXP(-LN(2)/25)*AA109+(1-EXP(-LN(2)/25))/(LN(2)/25)*Calculateur!V110*Calculateur!X110*VLOOKUP('Données projet'!$B$9,Paramètres!$A$1:$I$89,3,0)*0.475*44/12</f>
        <v>0.30856614676408389</v>
      </c>
      <c r="AB110" s="23">
        <f>EXP(-LN(2)/2)*AB109+(1-EXP(-LN(2)/2))/(LN(2)/2)*V110*Y110*VLOOKUP('Données projet'!$B$9,Paramètres!$A$1:$I$89,3,0)*0.475*44/12</f>
        <v>1.3339383342090926E-11</v>
      </c>
      <c r="AC110" s="24">
        <f t="shared" si="57"/>
        <v>1.0372044564006146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-5.6843418860808015E-14</v>
      </c>
      <c r="O111" s="14">
        <f>N111*VLOOKUP('Données projet'!$B$9,Paramètres!$A$1:$I$89,3,0)*VLOOKUP('Données projet'!$B$9,Paramètres!$A$1:$I$89,5,0)</f>
        <v>-5.1431925385259088E-14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366.86025470473652</v>
      </c>
      <c r="T111" s="62">
        <f t="shared" si="88"/>
        <v>513.80016421153414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0.71435015679696612</v>
      </c>
      <c r="AA111" s="23">
        <f>EXP(-LN(2)/25)*AA110+(1-EXP(-LN(2)/25))/(LN(2)/25)*Calculateur!V111*Calculateur!X111*VLOOKUP('Données projet'!$B$9,Paramètres!$A$1:$I$89,3,0)*0.475*44/12</f>
        <v>0.30012838925403162</v>
      </c>
      <c r="AB111" s="23">
        <f>EXP(-LN(2)/2)*AB110+(1-EXP(-LN(2)/2))/(LN(2)/2)*V111*Y111*VLOOKUP('Données projet'!$B$9,Paramètres!$A$1:$I$89,3,0)*0.475*44/12</f>
        <v>9.4323684180393652E-12</v>
      </c>
      <c r="AC111" s="24">
        <f t="shared" si="57"/>
        <v>1.0144785460604302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-5.6843418860808015E-14</v>
      </c>
      <c r="O112" s="14">
        <f>N112*VLOOKUP('Données projet'!$B$9,Paramètres!$A$1:$I$89,3,0)*VLOOKUP('Données projet'!$B$9,Paramètres!$A$1:$I$89,5,0)</f>
        <v>-5.1431925385259088E-14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366.86025470473652</v>
      </c>
      <c r="T112" s="62">
        <f t="shared" si="88"/>
        <v>513.80016421153414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0.70034218593275044</v>
      </c>
      <c r="AA112" s="23">
        <f>EXP(-LN(2)/25)*AA111+(1-EXP(-LN(2)/25))/(LN(2)/25)*Calculateur!V112*Calculateur!X112*VLOOKUP('Données projet'!$B$9,Paramètres!$A$1:$I$89,3,0)*0.475*44/12</f>
        <v>0.29192136266681407</v>
      </c>
      <c r="AB112" s="23">
        <f>EXP(-LN(2)/2)*AB111+(1-EXP(-LN(2)/2))/(LN(2)/2)*V112*Y112*VLOOKUP('Données projet'!$B$9,Paramètres!$A$1:$I$89,3,0)*0.475*44/12</f>
        <v>6.6696916710454629E-12</v>
      </c>
      <c r="AC112" s="24">
        <f t="shared" si="57"/>
        <v>0.99226354860623422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-5.6843418860808015E-14</v>
      </c>
      <c r="O113" s="14">
        <f>N113*VLOOKUP('Données projet'!$B$9,Paramètres!$A$1:$I$89,3,0)*VLOOKUP('Données projet'!$B$9,Paramètres!$A$1:$I$89,5,0)</f>
        <v>-5.1431925385259088E-14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366.86025470473652</v>
      </c>
      <c r="T113" s="62">
        <f t="shared" si="88"/>
        <v>513.80016421153414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0.68660890283316345</v>
      </c>
      <c r="AA113" s="23">
        <f>EXP(-LN(2)/25)*AA112+(1-EXP(-LN(2)/25))/(LN(2)/25)*Calculateur!V113*Calculateur!X113*VLOOKUP('Données projet'!$B$9,Paramètres!$A$1:$I$89,3,0)*0.475*44/12</f>
        <v>0.28393875765321275</v>
      </c>
      <c r="AB113" s="23">
        <f>EXP(-LN(2)/2)*AB112+(1-EXP(-LN(2)/2))/(LN(2)/2)*V113*Y113*VLOOKUP('Données projet'!$B$9,Paramètres!$A$1:$I$89,3,0)*0.475*44/12</f>
        <v>4.7161842090196826E-12</v>
      </c>
      <c r="AC113" s="24">
        <f t="shared" si="57"/>
        <v>0.97054766049109242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-5.6843418860808015E-14</v>
      </c>
      <c r="O114" s="14">
        <f>N114*VLOOKUP('Données projet'!$B$9,Paramètres!$A$1:$I$89,3,0)*VLOOKUP('Données projet'!$B$9,Paramètres!$A$1:$I$89,5,0)</f>
        <v>-5.1431925385259088E-14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366.86025470473652</v>
      </c>
      <c r="T114" s="62">
        <f t="shared" si="88"/>
        <v>513.80016421153414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0.67314492103868373</v>
      </c>
      <c r="AA114" s="23">
        <f>EXP(-LN(2)/25)*AA113+(1-EXP(-LN(2)/25))/(LN(2)/25)*Calculateur!V114*Calculateur!X114*VLOOKUP('Données projet'!$B$9,Paramètres!$A$1:$I$89,3,0)*0.475*44/12</f>
        <v>0.27617443739349534</v>
      </c>
      <c r="AB114" s="23">
        <f>EXP(-LN(2)/2)*AB113+(1-EXP(-LN(2)/2))/(LN(2)/2)*V114*Y114*VLOOKUP('Données projet'!$B$9,Paramètres!$A$1:$I$89,3,0)*0.475*44/12</f>
        <v>3.3348458355227315E-12</v>
      </c>
      <c r="AC114" s="24">
        <f t="shared" si="57"/>
        <v>0.94931935843551396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-5.6843418860808015E-14</v>
      </c>
      <c r="O115" s="14">
        <f>N115*VLOOKUP('Données projet'!$B$9,Paramètres!$A$1:$I$89,3,0)*VLOOKUP('Données projet'!$B$9,Paramètres!$A$1:$I$89,5,0)</f>
        <v>-5.1431925385259088E-14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366.86025470473652</v>
      </c>
      <c r="T115" s="62">
        <f t="shared" si="88"/>
        <v>513.80016421153414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0.6599449597149758</v>
      </c>
      <c r="AA115" s="23">
        <f>EXP(-LN(2)/25)*AA114+(1-EXP(-LN(2)/25))/(LN(2)/25)*Calculateur!V115*Calculateur!X115*VLOOKUP('Données projet'!$B$9,Paramètres!$A$1:$I$89,3,0)*0.475*44/12</f>
        <v>0.26862243287958776</v>
      </c>
      <c r="AB115" s="23">
        <f>EXP(-LN(2)/2)*AB114+(1-EXP(-LN(2)/2))/(LN(2)/2)*V115*Y115*VLOOKUP('Données projet'!$B$9,Paramètres!$A$1:$I$89,3,0)*0.475*44/12</f>
        <v>2.3580921045098413E-12</v>
      </c>
      <c r="AC115" s="24">
        <f t="shared" si="57"/>
        <v>0.92856739259692167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-5.6843418860808015E-14</v>
      </c>
      <c r="O116" s="14">
        <f>N116*VLOOKUP('Données projet'!$B$9,Paramètres!$A$1:$I$89,3,0)*VLOOKUP('Données projet'!$B$9,Paramètres!$A$1:$I$89,5,0)</f>
        <v>-5.1431925385259088E-14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366.86025470473652</v>
      </c>
      <c r="T116" s="62">
        <f t="shared" si="88"/>
        <v>513.80016421153414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0.64700384158164437</v>
      </c>
      <c r="AA116" s="23">
        <f>EXP(-LN(2)/25)*AA115+(1-EXP(-LN(2)/25))/(LN(2)/25)*Calculateur!V116*Calculateur!X116*VLOOKUP('Données projet'!$B$9,Paramètres!$A$1:$I$89,3,0)*0.475*44/12</f>
        <v>0.26127693832625565</v>
      </c>
      <c r="AB116" s="23">
        <f>EXP(-LN(2)/2)*AB115+(1-EXP(-LN(2)/2))/(LN(2)/2)*V116*Y116*VLOOKUP('Données projet'!$B$9,Paramètres!$A$1:$I$89,3,0)*0.475*44/12</f>
        <v>1.6674229177613657E-12</v>
      </c>
      <c r="AC116" s="24">
        <f t="shared" si="57"/>
        <v>0.90828077990956746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-5.6843418860808015E-14</v>
      </c>
      <c r="O117" s="14">
        <f>N117*VLOOKUP('Données projet'!$B$9,Paramètres!$A$1:$I$89,3,0)*VLOOKUP('Données projet'!$B$9,Paramètres!$A$1:$I$89,5,0)</f>
        <v>-5.1431925385259088E-14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366.86025470473652</v>
      </c>
      <c r="T117" s="62">
        <f t="shared" si="88"/>
        <v>513.80016421153414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0.63431649088160491</v>
      </c>
      <c r="AA117" s="23">
        <f>EXP(-LN(2)/25)*AA116+(1-EXP(-LN(2)/25))/(LN(2)/25)*Calculateur!V117*Calculateur!X117*VLOOKUP('Données projet'!$B$9,Paramètres!$A$1:$I$89,3,0)*0.475*44/12</f>
        <v>0.25413230670776715</v>
      </c>
      <c r="AB117" s="23">
        <f>EXP(-LN(2)/2)*AB116+(1-EXP(-LN(2)/2))/(LN(2)/2)*V117*Y117*VLOOKUP('Données projet'!$B$9,Paramètres!$A$1:$I$89,3,0)*0.475*44/12</f>
        <v>1.1790460522549207E-12</v>
      </c>
      <c r="AC117" s="24">
        <f t="shared" si="57"/>
        <v>0.88844879759055106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-5.6843418860808015E-14</v>
      </c>
      <c r="O118" s="14">
        <f>N118*VLOOKUP('Données projet'!$B$9,Paramètres!$A$1:$I$89,3,0)*VLOOKUP('Données projet'!$B$9,Paramètres!$A$1:$I$89,5,0)</f>
        <v>-5.1431925385259088E-14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366.86025470473652</v>
      </c>
      <c r="T118" s="62">
        <f t="shared" si="88"/>
        <v>513.80016421153414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0.62187793139027336</v>
      </c>
      <c r="AA118" s="23">
        <f>EXP(-LN(2)/25)*AA117+(1-EXP(-LN(2)/25))/(LN(2)/25)*Calculateur!V118*Calculateur!X118*VLOOKUP('Données projet'!$B$9,Paramètres!$A$1:$I$89,3,0)*0.475*44/12</f>
        <v>0.24718304541660607</v>
      </c>
      <c r="AB118" s="23">
        <f>EXP(-LN(2)/2)*AB117+(1-EXP(-LN(2)/2))/(LN(2)/2)*V118*Y118*VLOOKUP('Données projet'!$B$9,Paramètres!$A$1:$I$89,3,0)*0.475*44/12</f>
        <v>8.3371145888068287E-13</v>
      </c>
      <c r="AC118" s="24">
        <f t="shared" si="57"/>
        <v>0.8690609768077131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-5.6843418860808015E-14</v>
      </c>
      <c r="O119" s="14">
        <f>N119*VLOOKUP('Données projet'!$B$9,Paramètres!$A$1:$I$89,3,0)*VLOOKUP('Données projet'!$B$9,Paramètres!$A$1:$I$89,5,0)</f>
        <v>-5.1431925385259088E-14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366.86025470473652</v>
      </c>
      <c r="T119" s="62">
        <f t="shared" si="88"/>
        <v>513.80016421153414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0.60968328446379472</v>
      </c>
      <c r="AA119" s="23">
        <f>EXP(-LN(2)/25)*AA118+(1-EXP(-LN(2)/25))/(LN(2)/25)*Calculateur!V119*Calculateur!X119*VLOOKUP('Données projet'!$B$9,Paramètres!$A$1:$I$89,3,0)*0.475*44/12</f>
        <v>0.24042381204089758</v>
      </c>
      <c r="AB119" s="23">
        <f>EXP(-LN(2)/2)*AB118+(1-EXP(-LN(2)/2))/(LN(2)/2)*V119*Y119*VLOOKUP('Données projet'!$B$9,Paramètres!$A$1:$I$89,3,0)*0.475*44/12</f>
        <v>5.8952302612746033E-13</v>
      </c>
      <c r="AC119" s="24">
        <f t="shared" si="57"/>
        <v>0.85010709650528182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-5.6843418860808015E-14</v>
      </c>
      <c r="O120" s="14">
        <f>N120*VLOOKUP('Données projet'!$B$9,Paramètres!$A$1:$I$89,3,0)*VLOOKUP('Données projet'!$B$9,Paramètres!$A$1:$I$89,5,0)</f>
        <v>-5.1431925385259088E-14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366.86025470473652</v>
      </c>
      <c r="T120" s="62">
        <f t="shared" si="88"/>
        <v>513.80016421153414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0.5977277671255441</v>
      </c>
      <c r="AA120" s="23">
        <f>EXP(-LN(2)/25)*AA119+(1-EXP(-LN(2)/25))/(LN(2)/25)*Calculateur!V120*Calculateur!X120*VLOOKUP('Données projet'!$B$9,Paramètres!$A$1:$I$89,3,0)*0.475*44/12</f>
        <v>0.23384941025730047</v>
      </c>
      <c r="AB120" s="23">
        <f>EXP(-LN(2)/2)*AB119+(1-EXP(-LN(2)/2))/(LN(2)/2)*V120*Y120*VLOOKUP('Données projet'!$B$9,Paramètres!$A$1:$I$89,3,0)*0.475*44/12</f>
        <v>4.1685572944034143E-13</v>
      </c>
      <c r="AC120" s="24">
        <f t="shared" si="57"/>
        <v>0.83157717738326142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-5.6843418860808015E-14</v>
      </c>
      <c r="O121" s="14">
        <f>N121*VLOOKUP('Données projet'!$B$9,Paramètres!$A$1:$I$89,3,0)*VLOOKUP('Données projet'!$B$9,Paramètres!$A$1:$I$89,5,0)</f>
        <v>-5.1431925385259088E-14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366.86025470473652</v>
      </c>
      <c r="T121" s="62">
        <f t="shared" si="88"/>
        <v>513.80016421153414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0.58600669019015106</v>
      </c>
      <c r="AA121" s="23">
        <f>EXP(-LN(2)/25)*AA120+(1-EXP(-LN(2)/25))/(LN(2)/25)*Calculateur!V121*Calculateur!X121*VLOOKUP('Données projet'!$B$9,Paramètres!$A$1:$I$89,3,0)*0.475*44/12</f>
        <v>0.22745478583620857</v>
      </c>
      <c r="AB121" s="23">
        <f>EXP(-LN(2)/2)*AB120+(1-EXP(-LN(2)/2))/(LN(2)/2)*V121*Y121*VLOOKUP('Données projet'!$B$9,Paramètres!$A$1:$I$89,3,0)*0.475*44/12</f>
        <v>2.9476151306373016E-13</v>
      </c>
      <c r="AC121" s="24">
        <f t="shared" si="57"/>
        <v>0.81346147602665442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-5.6843418860808015E-14</v>
      </c>
      <c r="O122" s="14">
        <f>N122*VLOOKUP('Données projet'!$B$9,Paramètres!$A$1:$I$89,3,0)*VLOOKUP('Données projet'!$B$9,Paramètres!$A$1:$I$89,5,0)</f>
        <v>-5.1431925385259088E-14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366.86025470473652</v>
      </c>
      <c r="T122" s="62">
        <f t="shared" si="88"/>
        <v>513.80016421153414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0.57451545642431001</v>
      </c>
      <c r="AA122" s="23">
        <f>EXP(-LN(2)/25)*AA121+(1-EXP(-LN(2)/25))/(LN(2)/25)*Calculateur!V122*Calculateur!X122*VLOOKUP('Données projet'!$B$9,Paramètres!$A$1:$I$89,3,0)*0.475*44/12</f>
        <v>0.22123502275619011</v>
      </c>
      <c r="AB122" s="23">
        <f>EXP(-LN(2)/2)*AB121+(1-EXP(-LN(2)/2))/(LN(2)/2)*V122*Y122*VLOOKUP('Données projet'!$B$9,Paramètres!$A$1:$I$89,3,0)*0.475*44/12</f>
        <v>2.0842786472017072E-13</v>
      </c>
      <c r="AC122" s="24">
        <f t="shared" si="57"/>
        <v>0.79575047918070851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-5.6843418860808015E-14</v>
      </c>
      <c r="O123" s="14">
        <f>N123*VLOOKUP('Données projet'!$B$9,Paramètres!$A$1:$I$89,3,0)*VLOOKUP('Données projet'!$B$9,Paramètres!$A$1:$I$89,5,0)</f>
        <v>-5.1431925385259088E-14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366.86025470473652</v>
      </c>
      <c r="T123" s="62">
        <f t="shared" si="88"/>
        <v>513.80016421153414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0.56324955874365668</v>
      </c>
      <c r="AA123" s="23">
        <f>EXP(-LN(2)/25)*AA122+(1-EXP(-LN(2)/25))/(LN(2)/25)*Calculateur!V123*Calculateur!X123*VLOOKUP('Données projet'!$B$9,Paramètres!$A$1:$I$89,3,0)*0.475*44/12</f>
        <v>0.21518533942467788</v>
      </c>
      <c r="AB123" s="23">
        <f>EXP(-LN(2)/2)*AB122+(1-EXP(-LN(2)/2))/(LN(2)/2)*V123*Y123*VLOOKUP('Données projet'!$B$9,Paramètres!$A$1:$I$89,3,0)*0.475*44/12</f>
        <v>1.4738075653186508E-13</v>
      </c>
      <c r="AC123" s="24">
        <f t="shared" si="57"/>
        <v>0.77843489816848188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-5.1431925385259088E-14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366.86025470473652</v>
      </c>
      <c r="T124" s="62">
        <f t="shared" si="88"/>
        <v>513.80016421153414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0.55220457844500181</v>
      </c>
      <c r="AA124" s="23">
        <f>EXP(-LN(2)/25)*AA123+(1-EXP(-LN(2)/25))/(LN(2)/25)*Calculateur!V124*Calculateur!X124*VLOOKUP('Données projet'!$B$9,Paramètres!$A$1:$I$89,3,0)*0.475*44/12</f>
        <v>0.20930108500200487</v>
      </c>
      <c r="AB124" s="23">
        <f>EXP(-LN(2)/2)*AB123+(1-EXP(-LN(2)/2))/(LN(2)/2)*V124*Y124*VLOOKUP('Données projet'!$B$9,Paramètres!$A$1:$I$89,3,0)*0.475*44/12</f>
        <v>1.0421393236008536E-13</v>
      </c>
      <c r="AC124" s="24">
        <f t="shared" si="57"/>
        <v>0.7615056634471109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-5.1431925385259088E-14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366.86025470473652</v>
      </c>
      <c r="T125" s="62">
        <f t="shared" si="88"/>
        <v>513.80016421153414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0.5413761834732308</v>
      </c>
      <c r="AA125" s="23">
        <f>EXP(-LN(2)/25)*AA124+(1-EXP(-LN(2)/25))/(LN(2)/25)*Calculateur!V125*Calculateur!X125*VLOOKUP('Données projet'!$B$9,Paramètres!$A$1:$I$89,3,0)*0.475*44/12</f>
        <v>0.20357773582595934</v>
      </c>
      <c r="AB125" s="23">
        <f>EXP(-LN(2)/2)*AB124+(1-EXP(-LN(2)/2))/(LN(2)/2)*V125*Y125*VLOOKUP('Données projet'!$B$9,Paramètres!$A$1:$I$89,3,0)*0.475*44/12</f>
        <v>7.3690378265932541E-14</v>
      </c>
      <c r="AC125" s="24">
        <f t="shared" si="57"/>
        <v>0.7449539192992638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-5.1431925385259088E-14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366.86025470473652</v>
      </c>
      <c r="T126" s="62">
        <f t="shared" si="88"/>
        <v>513.80016421153414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0.53076012672218742</v>
      </c>
      <c r="AA126" s="23">
        <f>EXP(-LN(2)/25)*AA125+(1-EXP(-LN(2)/25))/(LN(2)/25)*Calculateur!V126*Calculateur!X126*VLOOKUP('Données projet'!$B$9,Paramètres!$A$1:$I$89,3,0)*0.475*44/12</f>
        <v>0.19801089193411064</v>
      </c>
      <c r="AB126" s="23">
        <f>EXP(-LN(2)/2)*AB125+(1-EXP(-LN(2)/2))/(LN(2)/2)*V126*Y126*VLOOKUP('Données projet'!$B$9,Paramètres!$A$1:$I$89,3,0)*0.475*44/12</f>
        <v>5.2106966180042679E-14</v>
      </c>
      <c r="AC126" s="24">
        <f t="shared" si="57"/>
        <v>0.72877101865635019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-5.1431925385259088E-14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366.86025470473652</v>
      </c>
      <c r="T127" s="62">
        <f t="shared" si="88"/>
        <v>513.80016421153414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0.52035224436887673</v>
      </c>
      <c r="AA127" s="23">
        <f>EXP(-LN(2)/25)*AA126+(1-EXP(-LN(2)/25))/(LN(2)/25)*Calculateur!V127*Calculateur!X127*VLOOKUP('Données projet'!$B$9,Paramètres!$A$1:$I$89,3,0)*0.475*44/12</f>
        <v>0.19259627368123214</v>
      </c>
      <c r="AB127" s="23">
        <f>EXP(-LN(2)/2)*AB126+(1-EXP(-LN(2)/2))/(LN(2)/2)*V127*Y127*VLOOKUP('Données projet'!$B$9,Paramètres!$A$1:$I$89,3,0)*0.475*44/12</f>
        <v>3.684518913296627E-14</v>
      </c>
      <c r="AC127" s="24">
        <f t="shared" si="57"/>
        <v>0.7129485180501457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-5.1431925385259088E-14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366.86025470473652</v>
      </c>
      <c r="T128" s="62">
        <f t="shared" si="88"/>
        <v>513.80016421153414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0.51014845424033306</v>
      </c>
      <c r="AA128" s="23">
        <f>EXP(-LN(2)/25)*AA127+(1-EXP(-LN(2)/25))/(LN(2)/25)*Calculateur!V128*Calculateur!X128*VLOOKUP('Données projet'!$B$9,Paramètres!$A$1:$I$89,3,0)*0.475*44/12</f>
        <v>0.187329718449221</v>
      </c>
      <c r="AB128" s="23">
        <f>EXP(-LN(2)/2)*AB127+(1-EXP(-LN(2)/2))/(LN(2)/2)*V128*Y128*VLOOKUP('Données projet'!$B$9,Paramètres!$A$1:$I$89,3,0)*0.475*44/12</f>
        <v>2.605348309002134E-14</v>
      </c>
      <c r="AC128" s="24">
        <f t="shared" si="57"/>
        <v>0.69747817268958012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-5.1431925385259088E-14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366.86025470473652</v>
      </c>
      <c r="T129" s="62">
        <f t="shared" si="88"/>
        <v>513.80016421153414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0.5001447542125127</v>
      </c>
      <c r="AA129" s="23">
        <f>EXP(-LN(2)/25)*AA128+(1-EXP(-LN(2)/25))/(LN(2)/25)*Calculateur!V129*Calculateur!X129*VLOOKUP('Données projet'!$B$9,Paramètres!$A$1:$I$89,3,0)*0.475*44/12</f>
        <v>0.18220717744698531</v>
      </c>
      <c r="AB129" s="23">
        <f>EXP(-LN(2)/2)*AB128+(1-EXP(-LN(2)/2))/(LN(2)/2)*V129*Y129*VLOOKUP('Données projet'!$B$9,Paramètres!$A$1:$I$89,3,0)*0.475*44/12</f>
        <v>1.8422594566483135E-14</v>
      </c>
      <c r="AC129" s="24">
        <f t="shared" si="57"/>
        <v>0.68235193165951646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-5.1431925385259088E-14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366.86025470473652</v>
      </c>
      <c r="T130" s="62">
        <f t="shared" si="88"/>
        <v>513.80016421153414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0.49033722064058338</v>
      </c>
      <c r="AA130" s="23">
        <f>EXP(-LN(2)/25)*AA129+(1-EXP(-LN(2)/25))/(LN(2)/25)*Calculateur!V130*Calculateur!X130*VLOOKUP('Données projet'!$B$9,Paramètres!$A$1:$I$89,3,0)*0.475*44/12</f>
        <v>0.17722471259783848</v>
      </c>
      <c r="AB130" s="23">
        <f>EXP(-LN(2)/2)*AB129+(1-EXP(-LN(2)/2))/(LN(2)/2)*V130*Y130*VLOOKUP('Données projet'!$B$9,Paramètres!$A$1:$I$89,3,0)*0.475*44/12</f>
        <v>1.302674154501067E-14</v>
      </c>
      <c r="AC130" s="24">
        <f t="shared" si="57"/>
        <v>0.66756193323843482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-5.1431925385259088E-14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366.86025470473652</v>
      </c>
      <c r="T131" s="62">
        <f t="shared" si="88"/>
        <v>513.80016421153414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0.48072200681999483</v>
      </c>
      <c r="AA131" s="23">
        <f>EXP(-LN(2)/25)*AA130+(1-EXP(-LN(2)/25))/(LN(2)/25)*Calculateur!V131*Calculateur!X131*VLOOKUP('Données projet'!$B$9,Paramètres!$A$1:$I$89,3,0)*0.475*44/12</f>
        <v>0.17237849351200801</v>
      </c>
      <c r="AB131" s="23">
        <f>EXP(-LN(2)/2)*AB130+(1-EXP(-LN(2)/2))/(LN(2)/2)*V131*Y131*VLOOKUP('Données projet'!$B$9,Paramètres!$A$1:$I$89,3,0)*0.475*44/12</f>
        <v>9.2112972832415676E-15</v>
      </c>
      <c r="AC131" s="24">
        <f t="shared" si="57"/>
        <v>0.65310050033201206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-5.1431925385259088E-14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366.86025470473652</v>
      </c>
      <c r="T132" s="62">
        <f t="shared" si="88"/>
        <v>513.80016421153414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0.47129534147772667</v>
      </c>
      <c r="AA132" s="23">
        <f>EXP(-LN(2)/25)*AA131+(1-EXP(-LN(2)/25))/(LN(2)/25)*Calculateur!V132*Calculateur!X132*VLOOKUP('Données projet'!$B$9,Paramètres!$A$1:$I$89,3,0)*0.475*44/12</f>
        <v>0.16766479454193114</v>
      </c>
      <c r="AB132" s="23">
        <f>EXP(-LN(2)/2)*AB131+(1-EXP(-LN(2)/2))/(LN(2)/2)*V132*Y132*VLOOKUP('Données projet'!$B$9,Paramètres!$A$1:$I$89,3,0)*0.475*44/12</f>
        <v>6.5133707725053349E-15</v>
      </c>
      <c r="AC132" s="24">
        <f t="shared" ref="AC132:AC153" si="111">SUM(Z132:AB132)</f>
        <v>0.63896013601966439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-5.1431925385259088E-14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366.86025470473652</v>
      </c>
      <c r="T133" s="62">
        <f t="shared" ref="T133:T196" si="142">$T$3</f>
        <v>513.80016421153414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0.46205352729312227</v>
      </c>
      <c r="AA133" s="23">
        <f>EXP(-LN(2)/25)*AA132+(1-EXP(-LN(2)/25))/(LN(2)/25)*Calculateur!V133*Calculateur!X133*VLOOKUP('Données projet'!$B$9,Paramètres!$A$1:$I$89,3,0)*0.475*44/12</f>
        <v>0.16307999191807371</v>
      </c>
      <c r="AB133" s="23">
        <f>EXP(-LN(2)/2)*AB132+(1-EXP(-LN(2)/2))/(LN(2)/2)*V133*Y133*VLOOKUP('Données projet'!$B$9,Paramètres!$A$1:$I$89,3,0)*0.475*44/12</f>
        <v>4.6056486416207838E-15</v>
      </c>
      <c r="AC133" s="24">
        <f t="shared" si="111"/>
        <v>0.62513351921120053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-5.1431925385259088E-14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366.86025470473652</v>
      </c>
      <c r="T134" s="62">
        <f t="shared" si="142"/>
        <v>513.80016421153414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0.45299293944772789</v>
      </c>
      <c r="AA134" s="23">
        <f>EXP(-LN(2)/25)*AA133+(1-EXP(-LN(2)/25))/(LN(2)/25)*Calculateur!V134*Calculateur!X134*VLOOKUP('Données projet'!$B$9,Paramètres!$A$1:$I$89,3,0)*0.475*44/12</f>
        <v>0.15862056096306992</v>
      </c>
      <c r="AB134" s="23">
        <f>EXP(-LN(2)/2)*AB133+(1-EXP(-LN(2)/2))/(LN(2)/2)*V134*Y134*VLOOKUP('Données projet'!$B$9,Paramètres!$A$1:$I$89,3,0)*0.475*44/12</f>
        <v>3.2566853862526674E-15</v>
      </c>
      <c r="AC134" s="24">
        <f t="shared" si="111"/>
        <v>0.61161350041080109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-5.1431925385259088E-14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366.86025470473652</v>
      </c>
      <c r="T135" s="62">
        <f t="shared" si="142"/>
        <v>513.80016421153414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0.44411002420356882</v>
      </c>
      <c r="AA135" s="23">
        <f>EXP(-LN(2)/25)*AA134+(1-EXP(-LN(2)/25))/(LN(2)/25)*Calculateur!V135*Calculateur!X135*VLOOKUP('Données projet'!$B$9,Paramètres!$A$1:$I$89,3,0)*0.475*44/12</f>
        <v>0.154283073382042</v>
      </c>
      <c r="AB135" s="23">
        <f>EXP(-LN(2)/2)*AB134+(1-EXP(-LN(2)/2))/(LN(2)/2)*V135*Y135*VLOOKUP('Données projet'!$B$9,Paramètres!$A$1:$I$89,3,0)*0.475*44/12</f>
        <v>2.3028243208103919E-15</v>
      </c>
      <c r="AC135" s="24">
        <f t="shared" si="111"/>
        <v>0.59839309758561321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-5.1431925385259088E-14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366.86025470473652</v>
      </c>
      <c r="T136" s="62">
        <f t="shared" si="142"/>
        <v>513.80016421153414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0.4354012975093044</v>
      </c>
      <c r="AA136" s="23">
        <f>EXP(-LN(2)/25)*AA135+(1-EXP(-LN(2)/25))/(LN(2)/25)*Calculateur!V136*Calculateur!X136*VLOOKUP('Données projet'!$B$9,Paramètres!$A$1:$I$89,3,0)*0.475*44/12</f>
        <v>0.15006419462701584</v>
      </c>
      <c r="AB136" s="23">
        <f>EXP(-LN(2)/2)*AB135+(1-EXP(-LN(2)/2))/(LN(2)/2)*V136*Y136*VLOOKUP('Données projet'!$B$9,Paramètres!$A$1:$I$89,3,0)*0.475*44/12</f>
        <v>1.6283426931263337E-15</v>
      </c>
      <c r="AC136" s="24">
        <f t="shared" si="111"/>
        <v>0.58546549213632193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-5.1431925385259088E-14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366.86025470473652</v>
      </c>
      <c r="T137" s="62">
        <f t="shared" si="142"/>
        <v>513.80016421153414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0.4268633436337157</v>
      </c>
      <c r="AA137" s="23">
        <f>EXP(-LN(2)/25)*AA136+(1-EXP(-LN(2)/25))/(LN(2)/25)*Calculateur!V137*Calculateur!X137*VLOOKUP('Données projet'!$B$9,Paramètres!$A$1:$I$89,3,0)*0.475*44/12</f>
        <v>0.14596068133340706</v>
      </c>
      <c r="AB137" s="23">
        <f>EXP(-LN(2)/2)*AB136+(1-EXP(-LN(2)/2))/(LN(2)/2)*V137*Y137*VLOOKUP('Données projet'!$B$9,Paramètres!$A$1:$I$89,3,0)*0.475*44/12</f>
        <v>1.151412160405196E-15</v>
      </c>
      <c r="AC137" s="24">
        <f t="shared" si="111"/>
        <v>0.57282402496712392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-5.1431925385259088E-14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366.86025470473652</v>
      </c>
      <c r="T138" s="62">
        <f t="shared" si="142"/>
        <v>513.80016421153414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0.41849281382598963</v>
      </c>
      <c r="AA138" s="23">
        <f>EXP(-LN(2)/25)*AA137+(1-EXP(-LN(2)/25))/(LN(2)/25)*Calculateur!V138*Calculateur!X138*VLOOKUP('Données projet'!$B$9,Paramètres!$A$1:$I$89,3,0)*0.475*44/12</f>
        <v>0.1419693788266064</v>
      </c>
      <c r="AB138" s="23">
        <f>EXP(-LN(2)/2)*AB137+(1-EXP(-LN(2)/2))/(LN(2)/2)*V138*Y138*VLOOKUP('Données projet'!$B$9,Paramètres!$A$1:$I$89,3,0)*0.475*44/12</f>
        <v>8.1417134656316686E-16</v>
      </c>
      <c r="AC138" s="24">
        <f t="shared" si="111"/>
        <v>0.56046219265259678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-5.1431925385259088E-14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366.86025470473652</v>
      </c>
      <c r="T139" s="62">
        <f t="shared" si="142"/>
        <v>513.80016421153414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0.41028642500227402</v>
      </c>
      <c r="AA139" s="23">
        <f>EXP(-LN(2)/25)*AA138+(1-EXP(-LN(2)/25))/(LN(2)/25)*Calculateur!V139*Calculateur!X139*VLOOKUP('Données projet'!$B$9,Paramètres!$A$1:$I$89,3,0)*0.475*44/12</f>
        <v>0.1380872186967477</v>
      </c>
      <c r="AB139" s="23">
        <f>EXP(-LN(2)/2)*AB138+(1-EXP(-LN(2)/2))/(LN(2)/2)*V139*Y139*VLOOKUP('Données projet'!$B$9,Paramètres!$A$1:$I$89,3,0)*0.475*44/12</f>
        <v>5.7570608020259798E-16</v>
      </c>
      <c r="AC139" s="24">
        <f t="shared" si="111"/>
        <v>0.54837364369902231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-5.1431925385259088E-14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366.86025470473652</v>
      </c>
      <c r="T140" s="62">
        <f t="shared" si="142"/>
        <v>513.80016421153414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0.40224095845798857</v>
      </c>
      <c r="AA140" s="23">
        <f>EXP(-LN(2)/25)*AA139+(1-EXP(-LN(2)/25))/(LN(2)/25)*Calculateur!V140*Calculateur!X140*VLOOKUP('Données projet'!$B$9,Paramètres!$A$1:$I$89,3,0)*0.475*44/12</f>
        <v>0.13431121643979391</v>
      </c>
      <c r="AB140" s="23">
        <f>EXP(-LN(2)/2)*AB139+(1-EXP(-LN(2)/2))/(LN(2)/2)*V140*Y140*VLOOKUP('Données projet'!$B$9,Paramètres!$A$1:$I$89,3,0)*0.475*44/12</f>
        <v>4.0708567328158343E-16</v>
      </c>
      <c r="AC140" s="24">
        <f t="shared" si="111"/>
        <v>0.53655217489778295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-5.1431925385259088E-14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366.86025470473652</v>
      </c>
      <c r="T141" s="62">
        <f t="shared" si="142"/>
        <v>513.80016421153414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0.3943532586053865</v>
      </c>
      <c r="AA141" s="23">
        <f>EXP(-LN(2)/25)*AA140+(1-EXP(-LN(2)/25))/(LN(2)/25)*Calculateur!V141*Calculateur!X141*VLOOKUP('Données projet'!$B$9,Paramètres!$A$1:$I$89,3,0)*0.475*44/12</f>
        <v>0.13063846916312785</v>
      </c>
      <c r="AB141" s="23">
        <f>EXP(-LN(2)/2)*AB140+(1-EXP(-LN(2)/2))/(LN(2)/2)*V141*Y141*VLOOKUP('Données projet'!$B$9,Paramètres!$A$1:$I$89,3,0)*0.475*44/12</f>
        <v>2.8785304010129899E-16</v>
      </c>
      <c r="AC141" s="24">
        <f t="shared" si="111"/>
        <v>0.52499172776851466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-5.1431925385259088E-14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366.86025470473652</v>
      </c>
      <c r="T142" s="62">
        <f t="shared" si="142"/>
        <v>513.80016421153414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0.38662023173587207</v>
      </c>
      <c r="AA142" s="23">
        <f>EXP(-LN(2)/25)*AA141+(1-EXP(-LN(2)/25))/(LN(2)/25)*Calculateur!V142*Calculateur!X142*VLOOKUP('Données projet'!$B$9,Paramètres!$A$1:$I$89,3,0)*0.475*44/12</f>
        <v>0.1270661533538836</v>
      </c>
      <c r="AB142" s="23">
        <f>EXP(-LN(2)/2)*AB141+(1-EXP(-LN(2)/2))/(LN(2)/2)*V142*Y142*VLOOKUP('Données projet'!$B$9,Paramètres!$A$1:$I$89,3,0)*0.475*44/12</f>
        <v>2.0354283664079172E-16</v>
      </c>
      <c r="AC142" s="24">
        <f t="shared" si="111"/>
        <v>0.51368638508975595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-5.1431925385259088E-14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366.86025470473652</v>
      </c>
      <c r="T143" s="62">
        <f t="shared" si="142"/>
        <v>513.80016421153414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0.37903884480658817</v>
      </c>
      <c r="AA143" s="23">
        <f>EXP(-LN(2)/25)*AA142+(1-EXP(-LN(2)/25))/(LN(2)/25)*Calculateur!V143*Calculateur!X143*VLOOKUP('Données projet'!$B$9,Paramètres!$A$1:$I$89,3,0)*0.475*44/12</f>
        <v>0.12359152270830306</v>
      </c>
      <c r="AB143" s="23">
        <f>EXP(-LN(2)/2)*AB142+(1-EXP(-LN(2)/2))/(LN(2)/2)*V143*Y143*VLOOKUP('Données projet'!$B$9,Paramètres!$A$1:$I$89,3,0)*0.475*44/12</f>
        <v>1.4392652005064949E-16</v>
      </c>
      <c r="AC143" s="24">
        <f t="shared" si="111"/>
        <v>0.50263036751489132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-5.1431925385259088E-14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366.86025470473652</v>
      </c>
      <c r="T144" s="62">
        <f t="shared" si="142"/>
        <v>513.80016421153414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0.37160612425079809</v>
      </c>
      <c r="AA144" s="23">
        <f>EXP(-LN(2)/25)*AA143+(1-EXP(-LN(2)/25))/(LN(2)/25)*Calculateur!V144*Calculateur!X144*VLOOKUP('Données projet'!$B$9,Paramètres!$A$1:$I$89,3,0)*0.475*44/12</f>
        <v>0.12021190602044882</v>
      </c>
      <c r="AB144" s="23">
        <f>EXP(-LN(2)/2)*AB143+(1-EXP(-LN(2)/2))/(LN(2)/2)*V144*Y144*VLOOKUP('Données projet'!$B$9,Paramètres!$A$1:$I$89,3,0)*0.475*44/12</f>
        <v>1.0177141832039586E-16</v>
      </c>
      <c r="AC144" s="24">
        <f t="shared" si="111"/>
        <v>0.49181803027124704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-5.1431925385259088E-14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366.86025470473652</v>
      </c>
      <c r="T145" s="62">
        <f t="shared" si="142"/>
        <v>513.80016421153414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0.36431915481159516</v>
      </c>
      <c r="AA145" s="23">
        <f>EXP(-LN(2)/25)*AA144+(1-EXP(-LN(2)/25))/(LN(2)/25)*Calculateur!V145*Calculateur!X145*VLOOKUP('Données projet'!$B$9,Paramètres!$A$1:$I$89,3,0)*0.475*44/12</f>
        <v>0.11692470512865026</v>
      </c>
      <c r="AB145" s="23">
        <f>EXP(-LN(2)/2)*AB144+(1-EXP(-LN(2)/2))/(LN(2)/2)*V145*Y145*VLOOKUP('Données projet'!$B$9,Paramètres!$A$1:$I$89,3,0)*0.475*44/12</f>
        <v>7.1963260025324747E-17</v>
      </c>
      <c r="AC145" s="24">
        <f t="shared" si="111"/>
        <v>0.48124385994024549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-5.1431925385259088E-14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366.86025470473652</v>
      </c>
      <c r="T146" s="62">
        <f t="shared" si="142"/>
        <v>513.80016421153414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0.3571750783984825</v>
      </c>
      <c r="AA146" s="23">
        <f>EXP(-LN(2)/25)*AA145+(1-EXP(-LN(2)/25))/(LN(2)/25)*Calculateur!V146*Calculateur!X146*VLOOKUP('Données projet'!$B$9,Paramètres!$A$1:$I$89,3,0)*0.475*44/12</f>
        <v>0.11372739291810431</v>
      </c>
      <c r="AB146" s="23">
        <f>EXP(-LN(2)/2)*AB145+(1-EXP(-LN(2)/2))/(LN(2)/2)*V146*Y146*VLOOKUP('Données projet'!$B$9,Paramètres!$A$1:$I$89,3,0)*0.475*44/12</f>
        <v>5.0885709160197929E-17</v>
      </c>
      <c r="AC146" s="24">
        <f t="shared" si="111"/>
        <v>0.47090247131658686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-5.1431925385259088E-14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366.86025470473652</v>
      </c>
      <c r="T147" s="62">
        <f t="shared" si="142"/>
        <v>513.80016421153414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0.35017109296637466</v>
      </c>
      <c r="AA147" s="23">
        <f>EXP(-LN(2)/25)*AA146+(1-EXP(-LN(2)/25))/(LN(2)/25)*Calculateur!V147*Calculateur!X147*VLOOKUP('Données projet'!$B$9,Paramètres!$A$1:$I$89,3,0)*0.475*44/12</f>
        <v>0.11061751137809508</v>
      </c>
      <c r="AB147" s="23">
        <f>EXP(-LN(2)/2)*AB146+(1-EXP(-LN(2)/2))/(LN(2)/2)*V147*Y147*VLOOKUP('Données projet'!$B$9,Paramètres!$A$1:$I$89,3,0)*0.475*44/12</f>
        <v>3.5981630012662374E-17</v>
      </c>
      <c r="AC147" s="24">
        <f t="shared" si="111"/>
        <v>0.46078860434446983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-5.1431925385259088E-14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366.86025470473652</v>
      </c>
      <c r="T148" s="62">
        <f t="shared" si="142"/>
        <v>513.80016421153414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0.34330445141658117</v>
      </c>
      <c r="AA148" s="23">
        <f>EXP(-LN(2)/25)*AA147+(1-EXP(-LN(2)/25))/(LN(2)/25)*Calculateur!V148*Calculateur!X148*VLOOKUP('Données projet'!$B$9,Paramètres!$A$1:$I$89,3,0)*0.475*44/12</f>
        <v>0.10759266971233897</v>
      </c>
      <c r="AB148" s="23">
        <f>EXP(-LN(2)/2)*AB147+(1-EXP(-LN(2)/2))/(LN(2)/2)*V148*Y148*VLOOKUP('Données projet'!$B$9,Paramètres!$A$1:$I$89,3,0)*0.475*44/12</f>
        <v>2.5442854580098964E-17</v>
      </c>
      <c r="AC148" s="24">
        <f t="shared" si="111"/>
        <v>0.45089712112892011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-5.1431925385259088E-14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366.86025470473652</v>
      </c>
      <c r="T149" s="62">
        <f t="shared" si="142"/>
        <v>513.80016421153414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0.33657246051934131</v>
      </c>
      <c r="AA149" s="23">
        <f>EXP(-LN(2)/25)*AA148+(1-EXP(-LN(2)/25))/(LN(2)/25)*Calculateur!V149*Calculateur!X149*VLOOKUP('Données projet'!$B$9,Paramètres!$A$1:$I$89,3,0)*0.475*44/12</f>
        <v>0.10465054250100246</v>
      </c>
      <c r="AB149" s="23">
        <f>EXP(-LN(2)/2)*AB148+(1-EXP(-LN(2)/2))/(LN(2)/2)*V149*Y149*VLOOKUP('Données projet'!$B$9,Paramètres!$A$1:$I$89,3,0)*0.475*44/12</f>
        <v>1.7990815006331187E-17</v>
      </c>
      <c r="AC149" s="24">
        <f t="shared" si="111"/>
        <v>0.44122300302034378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-5.1431925385259088E-14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366.86025470473652</v>
      </c>
      <c r="T150" s="62">
        <f t="shared" si="142"/>
        <v>513.80016421153414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0.32997247985748734</v>
      </c>
      <c r="AA150" s="23">
        <f>EXP(-LN(2)/25)*AA149+(1-EXP(-LN(2)/25))/(LN(2)/25)*Calculateur!V150*Calculateur!X150*VLOOKUP('Données projet'!$B$9,Paramètres!$A$1:$I$89,3,0)*0.475*44/12</f>
        <v>0.1017888679129797</v>
      </c>
      <c r="AB150" s="23">
        <f>EXP(-LN(2)/2)*AB149+(1-EXP(-LN(2)/2))/(LN(2)/2)*V150*Y150*VLOOKUP('Données projet'!$B$9,Paramètres!$A$1:$I$89,3,0)*0.475*44/12</f>
        <v>1.2721427290049482E-17</v>
      </c>
      <c r="AC150" s="24">
        <f t="shared" si="111"/>
        <v>0.43176134777046704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-5.1431925385259088E-14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366.86025470473652</v>
      </c>
      <c r="T151" s="62">
        <f t="shared" si="142"/>
        <v>513.80016421153414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0.32350192079082163</v>
      </c>
      <c r="AA151" s="23">
        <f>EXP(-LN(2)/25)*AA150+(1-EXP(-LN(2)/25))/(LN(2)/25)*Calculateur!V151*Calculateur!X151*VLOOKUP('Données projet'!$B$9,Paramètres!$A$1:$I$89,3,0)*0.475*44/12</f>
        <v>9.900544596705535E-2</v>
      </c>
      <c r="AB151" s="23">
        <f>EXP(-LN(2)/2)*AB150+(1-EXP(-LN(2)/2))/(LN(2)/2)*V151*Y151*VLOOKUP('Données projet'!$B$9,Paramètres!$A$1:$I$89,3,0)*0.475*44/12</f>
        <v>8.9954075031655934E-18</v>
      </c>
      <c r="AC151" s="24">
        <f t="shared" si="111"/>
        <v>0.42250736675787698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-5.1431925385259088E-14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366.86025470473652</v>
      </c>
      <c r="T152" s="62">
        <f t="shared" si="142"/>
        <v>513.80016421153414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0.3171582454408019</v>
      </c>
      <c r="AA152" s="23">
        <f>EXP(-LN(2)/25)*AA151+(1-EXP(-LN(2)/25))/(LN(2)/25)*Calculateur!V152*Calculateur!X152*VLOOKUP('Données projet'!$B$9,Paramètres!$A$1:$I$89,3,0)*0.475*44/12</f>
        <v>9.6298136840616097E-2</v>
      </c>
      <c r="AB152" s="23">
        <f>EXP(-LN(2)/2)*AB151+(1-EXP(-LN(2)/2))/(LN(2)/2)*V152*Y152*VLOOKUP('Données projet'!$B$9,Paramètres!$A$1:$I$89,3,0)*0.475*44/12</f>
        <v>6.3607136450247411E-18</v>
      </c>
      <c r="AC152" s="24">
        <f t="shared" si="111"/>
        <v>0.41345638228141801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-5.1431925385259088E-14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366.86025470473652</v>
      </c>
      <c r="T153" s="62">
        <f t="shared" si="142"/>
        <v>513.80016421153414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0.31093896569513613</v>
      </c>
      <c r="AA153" s="23">
        <f>EXP(-LN(2)/25)*AA152+(1-EXP(-LN(2)/25))/(LN(2)/25)*Calculateur!V153*Calculateur!X153*VLOOKUP('Données projet'!$B$9,Paramètres!$A$1:$I$89,3,0)*0.475*44/12</f>
        <v>9.3664859224610528E-2</v>
      </c>
      <c r="AB153" s="23">
        <f>EXP(-LN(2)/2)*AB152+(1-EXP(-LN(2)/2))/(LN(2)/2)*V153*Y153*VLOOKUP('Données projet'!$B$9,Paramètres!$A$1:$I$89,3,0)*0.475*44/12</f>
        <v>4.4977037515827967E-18</v>
      </c>
      <c r="AC153" s="24">
        <f t="shared" si="111"/>
        <v>0.40460382491974667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-5.1431925385259088E-14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366.86025470473652</v>
      </c>
      <c r="T154" s="62">
        <f t="shared" si="142"/>
        <v>513.80016421153414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0.3048416422318968</v>
      </c>
      <c r="AA154" s="23">
        <f>EXP(-LN(2)/25)*AA153+(1-EXP(-LN(2)/25))/(LN(2)/25)*Calculateur!V154*Calculateur!X154*VLOOKUP('Données projet'!$B$9,Paramètres!$A$1:$I$89,3,0)*0.475*44/12</f>
        <v>9.1103588723492682E-2</v>
      </c>
      <c r="AB154" s="23">
        <f>EXP(-LN(2)/2)*AB153+(1-EXP(-LN(2)/2))/(LN(2)/2)*V154*Y154*VLOOKUP('Données projet'!$B$9,Paramètres!$A$1:$I$89,3,0)*0.475*44/12</f>
        <v>3.1803568225123706E-18</v>
      </c>
      <c r="AC154" s="24">
        <f t="shared" ref="AC154:AC203" si="163">SUM(Z154:AB154)</f>
        <v>0.39594523095538947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-5.1431925385259088E-14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366.86025470473652</v>
      </c>
      <c r="T155" s="62">
        <f t="shared" si="142"/>
        <v>513.80016421153414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0.29886388356277149</v>
      </c>
      <c r="AA155" s="23">
        <f>EXP(-LN(2)/25)*AA154+(1-EXP(-LN(2)/25))/(LN(2)/25)*Calculateur!V155*Calculateur!X155*VLOOKUP('Données projet'!$B$9,Paramètres!$A$1:$I$89,3,0)*0.475*44/12</f>
        <v>8.8612356298919268E-2</v>
      </c>
      <c r="AB155" s="23">
        <f>EXP(-LN(2)/2)*AB154+(1-EXP(-LN(2)/2))/(LN(2)/2)*V155*Y155*VLOOKUP('Données projet'!$B$9,Paramètres!$A$1:$I$89,3,0)*0.475*44/12</f>
        <v>2.2488518757913983E-18</v>
      </c>
      <c r="AC155" s="24">
        <f t="shared" si="163"/>
        <v>0.38747623986169077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-5.1431925385259088E-14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366.86025470473652</v>
      </c>
      <c r="T156" s="62">
        <f t="shared" si="142"/>
        <v>513.80016421153414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0.29300334509507497</v>
      </c>
      <c r="AA156" s="23">
        <f>EXP(-LN(2)/25)*AA155+(1-EXP(-LN(2)/25))/(LN(2)/25)*Calculateur!V156*Calculateur!X156*VLOOKUP('Données projet'!$B$9,Paramètres!$A$1:$I$89,3,0)*0.475*44/12</f>
        <v>8.6189246756004034E-2</v>
      </c>
      <c r="AB156" s="23">
        <f>EXP(-LN(2)/2)*AB155+(1-EXP(-LN(2)/2))/(LN(2)/2)*V156*Y156*VLOOKUP('Données projet'!$B$9,Paramètres!$A$1:$I$89,3,0)*0.475*44/12</f>
        <v>1.5901784112561853E-18</v>
      </c>
      <c r="AC156" s="24">
        <f t="shared" si="163"/>
        <v>0.37919259185107901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-5.1431925385259088E-14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366.86025470473652</v>
      </c>
      <c r="T157" s="62">
        <f t="shared" si="142"/>
        <v>513.80016421153414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0.28725772821215451</v>
      </c>
      <c r="AA157" s="23">
        <f>EXP(-LN(2)/25)*AA156+(1-EXP(-LN(2)/25))/(LN(2)/25)*Calculateur!V157*Calculateur!X157*VLOOKUP('Données projet'!$B$9,Paramètres!$A$1:$I$89,3,0)*0.475*44/12</f>
        <v>8.38323972709656E-2</v>
      </c>
      <c r="AB157" s="23">
        <f>EXP(-LN(2)/2)*AB156+(1-EXP(-LN(2)/2))/(LN(2)/2)*V157*Y157*VLOOKUP('Données projet'!$B$9,Paramètres!$A$1:$I$89,3,0)*0.475*44/12</f>
        <v>1.1244259378956992E-18</v>
      </c>
      <c r="AC157" s="24">
        <f t="shared" si="163"/>
        <v>0.37109012548312009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-5.1431925385259088E-14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366.86025470473652</v>
      </c>
      <c r="T158" s="62">
        <f t="shared" si="142"/>
        <v>513.80016421153414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0.28162477937182784</v>
      </c>
      <c r="AA158" s="23">
        <f>EXP(-LN(2)/25)*AA157+(1-EXP(-LN(2)/25))/(LN(2)/25)*Calculateur!V158*Calculateur!X158*VLOOKUP('Données projet'!$B$9,Paramètres!$A$1:$I$89,3,0)*0.475*44/12</f>
        <v>8.1539995959036882E-2</v>
      </c>
      <c r="AB158" s="23">
        <f>EXP(-LN(2)/2)*AB157+(1-EXP(-LN(2)/2))/(LN(2)/2)*V158*Y158*VLOOKUP('Données projet'!$B$9,Paramètres!$A$1:$I$89,3,0)*0.475*44/12</f>
        <v>7.9508920562809264E-19</v>
      </c>
      <c r="AC158" s="24">
        <f t="shared" si="163"/>
        <v>0.36316477533086472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-5.1431925385259088E-14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366.86025470473652</v>
      </c>
      <c r="T159" s="62">
        <f t="shared" si="142"/>
        <v>513.80016421153414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0.27610228922250041</v>
      </c>
      <c r="AA159" s="23">
        <f>EXP(-LN(2)/25)*AA158+(1-EXP(-LN(2)/25))/(LN(2)/25)*Calculateur!V159*Calculateur!X159*VLOOKUP('Données projet'!$B$9,Paramètres!$A$1:$I$89,3,0)*0.475*44/12</f>
        <v>7.9310280481534989E-2</v>
      </c>
      <c r="AB159" s="23">
        <f>EXP(-LN(2)/2)*AB158+(1-EXP(-LN(2)/2))/(LN(2)/2)*V159*Y159*VLOOKUP('Données projet'!$B$9,Paramètres!$A$1:$I$89,3,0)*0.475*44/12</f>
        <v>5.6221296894784959E-19</v>
      </c>
      <c r="AC159" s="24">
        <f t="shared" si="163"/>
        <v>0.3554125697040354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-5.1431925385259088E-14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366.86025470473652</v>
      </c>
      <c r="T160" s="62">
        <f t="shared" si="142"/>
        <v>513.80016421153414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0.2706880917366149</v>
      </c>
      <c r="AA160" s="23">
        <f>EXP(-LN(2)/25)*AA159+(1-EXP(-LN(2)/25))/(LN(2)/25)*Calculateur!V160*Calculateur!X160*VLOOKUP('Données projet'!$B$9,Paramètres!$A$1:$I$89,3,0)*0.475*44/12</f>
        <v>7.7141536691021029E-2</v>
      </c>
      <c r="AB160" s="23">
        <f>EXP(-LN(2)/2)*AB159+(1-EXP(-LN(2)/2))/(LN(2)/2)*V160*Y160*VLOOKUP('Données projet'!$B$9,Paramètres!$A$1:$I$89,3,0)*0.475*44/12</f>
        <v>3.9754460281404632E-19</v>
      </c>
      <c r="AC160" s="24">
        <f t="shared" si="163"/>
        <v>0.34782962842763593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-5.1431925385259088E-14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366.86025470473652</v>
      </c>
      <c r="T161" s="62">
        <f t="shared" si="142"/>
        <v>513.80016421153414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0.26538006336109321</v>
      </c>
      <c r="AA161" s="23">
        <f>EXP(-LN(2)/25)*AA160+(1-EXP(-LN(2)/25))/(LN(2)/25)*Calculateur!V161*Calculateur!X161*VLOOKUP('Données projet'!$B$9,Paramètres!$A$1:$I$89,3,0)*0.475*44/12</f>
        <v>7.5032097313507948E-2</v>
      </c>
      <c r="AB161" s="23">
        <f>EXP(-LN(2)/2)*AB160+(1-EXP(-LN(2)/2))/(LN(2)/2)*V161*Y161*VLOOKUP('Données projet'!$B$9,Paramètres!$A$1:$I$89,3,0)*0.475*44/12</f>
        <v>2.8110648447392479E-19</v>
      </c>
      <c r="AC161" s="24">
        <f t="shared" si="163"/>
        <v>0.34041216067460117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-5.1431925385259088E-14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366.86025470473652</v>
      </c>
      <c r="T162" s="62">
        <f t="shared" si="142"/>
        <v>513.80016421153414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0.26017612218443792</v>
      </c>
      <c r="AA162" s="23">
        <f>EXP(-LN(2)/25)*AA161+(1-EXP(-LN(2)/25))/(LN(2)/25)*Calculateur!V162*Calculateur!X162*VLOOKUP('Données projet'!$B$9,Paramètres!$A$1:$I$89,3,0)*0.475*44/12</f>
        <v>7.2980340666703558E-2</v>
      </c>
      <c r="AB162" s="23">
        <f>EXP(-LN(2)/2)*AB161+(1-EXP(-LN(2)/2))/(LN(2)/2)*V162*Y162*VLOOKUP('Données projet'!$B$9,Paramètres!$A$1:$I$89,3,0)*0.475*44/12</f>
        <v>1.9877230140702316E-19</v>
      </c>
      <c r="AC162" s="24">
        <f t="shared" si="163"/>
        <v>0.33315646285114148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-5.1431925385259088E-14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366.86025470473652</v>
      </c>
      <c r="T163" s="62">
        <f t="shared" si="142"/>
        <v>513.80016421153414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0.25507422712016609</v>
      </c>
      <c r="AA163" s="23">
        <f>EXP(-LN(2)/25)*AA162+(1-EXP(-LN(2)/25))/(LN(2)/25)*Calculateur!V163*Calculateur!X163*VLOOKUP('Données projet'!$B$9,Paramètres!$A$1:$I$89,3,0)*0.475*44/12</f>
        <v>7.0984689413303229E-2</v>
      </c>
      <c r="AB163" s="23">
        <f>EXP(-LN(2)/2)*AB162+(1-EXP(-LN(2)/2))/(LN(2)/2)*V163*Y163*VLOOKUP('Données projet'!$B$9,Paramètres!$A$1:$I$89,3,0)*0.475*44/12</f>
        <v>1.405532422369624E-19</v>
      </c>
      <c r="AC163" s="24">
        <f t="shared" si="163"/>
        <v>0.3260589165334693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-5.1431925385259088E-14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366.86025470473652</v>
      </c>
      <c r="T164" s="62">
        <f t="shared" si="142"/>
        <v>513.80016421153414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0.25007237710625591</v>
      </c>
      <c r="AA164" s="23">
        <f>EXP(-LN(2)/25)*AA163+(1-EXP(-LN(2)/25))/(LN(2)/25)*Calculateur!V164*Calculateur!X164*VLOOKUP('Données projet'!$B$9,Paramètres!$A$1:$I$89,3,0)*0.475*44/12</f>
        <v>6.9043609348373877E-2</v>
      </c>
      <c r="AB164" s="23">
        <f>EXP(-LN(2)/2)*AB163+(1-EXP(-LN(2)/2))/(LN(2)/2)*V164*Y164*VLOOKUP('Données projet'!$B$9,Paramètres!$A$1:$I$89,3,0)*0.475*44/12</f>
        <v>9.938615070351158E-20</v>
      </c>
      <c r="AC164" s="24">
        <f t="shared" si="163"/>
        <v>0.3191159864546298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-5.1431925385259088E-14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366.86025470473652</v>
      </c>
      <c r="T165" s="62">
        <f t="shared" si="142"/>
        <v>513.80016421153414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0.24516861032029127</v>
      </c>
      <c r="AA165" s="23">
        <f>EXP(-LN(2)/25)*AA164+(1-EXP(-LN(2)/25))/(LN(2)/25)*Calculateur!V165*Calculateur!X165*VLOOKUP('Données projet'!$B$9,Paramètres!$A$1:$I$89,3,0)*0.475*44/12</f>
        <v>6.7155608219896981E-2</v>
      </c>
      <c r="AB165" s="23">
        <f>EXP(-LN(2)/2)*AB164+(1-EXP(-LN(2)/2))/(LN(2)/2)*V165*Y165*VLOOKUP('Données projet'!$B$9,Paramètres!$A$1:$I$89,3,0)*0.475*44/12</f>
        <v>7.0276621118481198E-20</v>
      </c>
      <c r="AC165" s="24">
        <f t="shared" si="163"/>
        <v>0.31232421854018827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-5.1431925385259088E-14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366.86025470473652</v>
      </c>
      <c r="T166" s="62">
        <f t="shared" si="142"/>
        <v>513.80016421153414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0.240361003409997</v>
      </c>
      <c r="AA166" s="23">
        <f>EXP(-LN(2)/25)*AA165+(1-EXP(-LN(2)/25))/(LN(2)/25)*Calculateur!V166*Calculateur!X166*VLOOKUP('Données projet'!$B$9,Paramètres!$A$1:$I$89,3,0)*0.475*44/12</f>
        <v>6.5319234581563954E-2</v>
      </c>
      <c r="AB166" s="23">
        <f>EXP(-LN(2)/2)*AB165+(1-EXP(-LN(2)/2))/(LN(2)/2)*V166*Y166*VLOOKUP('Données projet'!$B$9,Paramètres!$A$1:$I$89,3,0)*0.475*44/12</f>
        <v>4.969307535175579E-20</v>
      </c>
      <c r="AC166" s="24">
        <f t="shared" si="163"/>
        <v>0.30568023799156097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-5.1431925385259088E-14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366.86025470473652</v>
      </c>
      <c r="T167" s="62">
        <f t="shared" si="142"/>
        <v>513.80016421153414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0.23564767073886292</v>
      </c>
      <c r="AA167" s="23">
        <f>EXP(-LN(2)/25)*AA166+(1-EXP(-LN(2)/25))/(LN(2)/25)*Calculateur!V167*Calculateur!X167*VLOOKUP('Données projet'!$B$9,Paramètres!$A$1:$I$89,3,0)*0.475*44/12</f>
        <v>6.353307667694183E-2</v>
      </c>
      <c r="AB167" s="23">
        <f>EXP(-LN(2)/2)*AB166+(1-EXP(-LN(2)/2))/(LN(2)/2)*V167*Y167*VLOOKUP('Données projet'!$B$9,Paramètres!$A$1:$I$89,3,0)*0.475*44/12</f>
        <v>3.5138310559240599E-20</v>
      </c>
      <c r="AC167" s="24">
        <f t="shared" si="163"/>
        <v>0.29918074741580475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-5.1431925385259088E-14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366.86025470473652</v>
      </c>
      <c r="T168" s="62">
        <f t="shared" si="142"/>
        <v>513.80016421153414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0.23102676364656072</v>
      </c>
      <c r="AA168" s="23">
        <f>EXP(-LN(2)/25)*AA167+(1-EXP(-LN(2)/25))/(LN(2)/25)*Calculateur!V168*Calculateur!X168*VLOOKUP('Données projet'!$B$9,Paramètres!$A$1:$I$89,3,0)*0.475*44/12</f>
        <v>6.179576135415156E-2</v>
      </c>
      <c r="AB168" s="23">
        <f>EXP(-LN(2)/2)*AB167+(1-EXP(-LN(2)/2))/(LN(2)/2)*V168*Y168*VLOOKUP('Données projet'!$B$9,Paramètres!$A$1:$I$89,3,0)*0.475*44/12</f>
        <v>2.4846537675877895E-20</v>
      </c>
      <c r="AC168" s="24">
        <f t="shared" si="163"/>
        <v>0.29282252500071226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-5.1431925385259088E-14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366.86025470473652</v>
      </c>
      <c r="T169" s="62">
        <f t="shared" si="142"/>
        <v>513.80016421153414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0.22649646972386353</v>
      </c>
      <c r="AA169" s="23">
        <f>EXP(-LN(2)/25)*AA168+(1-EXP(-LN(2)/25))/(LN(2)/25)*Calculateur!V169*Calculateur!X169*VLOOKUP('Données projet'!$B$9,Paramètres!$A$1:$I$89,3,0)*0.475*44/12</f>
        <v>6.0105953010224429E-2</v>
      </c>
      <c r="AB169" s="23">
        <f>EXP(-LN(2)/2)*AB168+(1-EXP(-LN(2)/2))/(LN(2)/2)*V169*Y169*VLOOKUP('Données projet'!$B$9,Paramètres!$A$1:$I$89,3,0)*0.475*44/12</f>
        <v>1.75691552796203E-20</v>
      </c>
      <c r="AC169" s="24">
        <f t="shared" si="163"/>
        <v>0.28660242273408798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-5.1431925385259088E-14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366.86025470473652</v>
      </c>
      <c r="T170" s="62">
        <f t="shared" si="142"/>
        <v>513.80016421153414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0.22205501210178399</v>
      </c>
      <c r="AA170" s="23">
        <f>EXP(-LN(2)/25)*AA169+(1-EXP(-LN(2)/25))/(LN(2)/25)*Calculateur!V170*Calculateur!X170*VLOOKUP('Données projet'!$B$9,Paramètres!$A$1:$I$89,3,0)*0.475*44/12</f>
        <v>5.8462352564325144E-2</v>
      </c>
      <c r="AB170" s="23">
        <f>EXP(-LN(2)/2)*AB169+(1-EXP(-LN(2)/2))/(LN(2)/2)*V170*Y170*VLOOKUP('Données projet'!$B$9,Paramètres!$A$1:$I$89,3,0)*0.475*44/12</f>
        <v>1.2423268837938947E-20</v>
      </c>
      <c r="AC170" s="24">
        <f t="shared" si="163"/>
        <v>0.28051736466610916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-5.1431925385259088E-14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366.86025470473652</v>
      </c>
      <c r="T171" s="62">
        <f t="shared" si="142"/>
        <v>513.80016421153414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0.21770064875465178</v>
      </c>
      <c r="AA171" s="23">
        <f>EXP(-LN(2)/25)*AA170+(1-EXP(-LN(2)/25))/(LN(2)/25)*Calculateur!V171*Calculateur!X171*VLOOKUP('Données projet'!$B$9,Paramètres!$A$1:$I$89,3,0)*0.475*44/12</f>
        <v>5.686369645905217E-2</v>
      </c>
      <c r="AB171" s="23">
        <f>EXP(-LN(2)/2)*AB170+(1-EXP(-LN(2)/2))/(LN(2)/2)*V171*Y171*VLOOKUP('Données projet'!$B$9,Paramètres!$A$1:$I$89,3,0)*0.475*44/12</f>
        <v>8.7845776398101498E-21</v>
      </c>
      <c r="AC171" s="24">
        <f t="shared" si="163"/>
        <v>0.27456434521370393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-5.1431925385259088E-14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366.86025470473652</v>
      </c>
      <c r="T172" s="62">
        <f t="shared" si="142"/>
        <v>513.80016421153414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0.21343167181685743</v>
      </c>
      <c r="AA172" s="23">
        <f>EXP(-LN(2)/25)*AA171+(1-EXP(-LN(2)/25))/(LN(2)/25)*Calculateur!V172*Calculateur!X172*VLOOKUP('Données projet'!$B$9,Paramètres!$A$1:$I$89,3,0)*0.475*44/12</f>
        <v>5.5308755689047556E-2</v>
      </c>
      <c r="AB172" s="23">
        <f>EXP(-LN(2)/2)*AB171+(1-EXP(-LN(2)/2))/(LN(2)/2)*V172*Y172*VLOOKUP('Données projet'!$B$9,Paramètres!$A$1:$I$89,3,0)*0.475*44/12</f>
        <v>6.2116344189694737E-21</v>
      </c>
      <c r="AC172" s="24">
        <f t="shared" si="163"/>
        <v>0.26874042750590499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-5.1431925385259088E-14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366.86025470473652</v>
      </c>
      <c r="T173" s="62">
        <f t="shared" si="142"/>
        <v>513.80016421153414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0.20924640691299443</v>
      </c>
      <c r="AA173" s="23">
        <f>EXP(-LN(2)/25)*AA172+(1-EXP(-LN(2)/25))/(LN(2)/25)*Calculateur!V173*Calculateur!X173*VLOOKUP('Données projet'!$B$9,Paramètres!$A$1:$I$89,3,0)*0.475*44/12</f>
        <v>5.3796334856169498E-2</v>
      </c>
      <c r="AB173" s="23">
        <f>EXP(-LN(2)/2)*AB172+(1-EXP(-LN(2)/2))/(LN(2)/2)*V173*Y173*VLOOKUP('Données projet'!$B$9,Paramètres!$A$1:$I$89,3,0)*0.475*44/12</f>
        <v>4.3922888199050749E-21</v>
      </c>
      <c r="AC173" s="24">
        <f t="shared" si="163"/>
        <v>0.26304274176916392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-5.1431925385259088E-14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366.86025470473652</v>
      </c>
      <c r="T174" s="62">
        <f t="shared" si="142"/>
        <v>513.80016421153414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0.20514321250113662</v>
      </c>
      <c r="AA174" s="23">
        <f>EXP(-LN(2)/25)*AA173+(1-EXP(-LN(2)/25))/(LN(2)/25)*Calculateur!V174*Calculateur!X174*VLOOKUP('Données projet'!$B$9,Paramètres!$A$1:$I$89,3,0)*0.475*44/12</f>
        <v>5.2325271250501244E-2</v>
      </c>
      <c r="AB174" s="23">
        <f>EXP(-LN(2)/2)*AB173+(1-EXP(-LN(2)/2))/(LN(2)/2)*V174*Y174*VLOOKUP('Données projet'!$B$9,Paramètres!$A$1:$I$89,3,0)*0.475*44/12</f>
        <v>3.1058172094847369E-21</v>
      </c>
      <c r="AC174" s="24">
        <f t="shared" si="163"/>
        <v>0.25746848375163789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-5.1431925385259088E-14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366.86025470473652</v>
      </c>
      <c r="T175" s="62">
        <f t="shared" si="142"/>
        <v>513.80016421153414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0.2011204792289939</v>
      </c>
      <c r="AA175" s="23">
        <f>EXP(-LN(2)/25)*AA174+(1-EXP(-LN(2)/25))/(LN(2)/25)*Calculateur!V175*Calculateur!X175*VLOOKUP('Données projet'!$B$9,Paramètres!$A$1:$I$89,3,0)*0.475*44/12</f>
        <v>5.0894433956489862E-2</v>
      </c>
      <c r="AB175" s="23">
        <f>EXP(-LN(2)/2)*AB174+(1-EXP(-LN(2)/2))/(LN(2)/2)*V175*Y175*VLOOKUP('Données projet'!$B$9,Paramètres!$A$1:$I$89,3,0)*0.475*44/12</f>
        <v>2.1961444099525374E-21</v>
      </c>
      <c r="AC175" s="24">
        <f t="shared" si="163"/>
        <v>0.25201491318548375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-5.1431925385259088E-14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366.86025470473652</v>
      </c>
      <c r="T176" s="62">
        <f t="shared" si="142"/>
        <v>513.80016421153414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0.19717662930269286</v>
      </c>
      <c r="AA176" s="23">
        <f>EXP(-LN(2)/25)*AA175+(1-EXP(-LN(2)/25))/(LN(2)/25)*Calculateur!V176*Calculateur!X176*VLOOKUP('Données projet'!$B$9,Paramètres!$A$1:$I$89,3,0)*0.475*44/12</f>
        <v>4.9502722983527689E-2</v>
      </c>
      <c r="AB176" s="23">
        <f>EXP(-LN(2)/2)*AB175+(1-EXP(-LN(2)/2))/(LN(2)/2)*V176*Y176*VLOOKUP('Données projet'!$B$9,Paramètres!$A$1:$I$89,3,0)*0.475*44/12</f>
        <v>1.5529086047423684E-21</v>
      </c>
      <c r="AC176" s="24">
        <f t="shared" si="163"/>
        <v>0.24667935228622057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-5.1431925385259088E-14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366.86025470473652</v>
      </c>
      <c r="T177" s="62">
        <f t="shared" si="142"/>
        <v>513.80016421153414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0.19331011586793567</v>
      </c>
      <c r="AA177" s="23">
        <f>EXP(-LN(2)/25)*AA176+(1-EXP(-LN(2)/25))/(LN(2)/25)*Calculateur!V177*Calculateur!X177*VLOOKUP('Données projet'!$B$9,Paramètres!$A$1:$I$89,3,0)*0.475*44/12</f>
        <v>4.8149068420308062E-2</v>
      </c>
      <c r="AB177" s="23">
        <f>EXP(-LN(2)/2)*AB176+(1-EXP(-LN(2)/2))/(LN(2)/2)*V177*Y177*VLOOKUP('Données projet'!$B$9,Paramètres!$A$1:$I$89,3,0)*0.475*44/12</f>
        <v>1.0980722049762687E-21</v>
      </c>
      <c r="AC177" s="24">
        <f t="shared" si="163"/>
        <v>0.24145918428824373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-5.1431925385259088E-14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366.86025470473652</v>
      </c>
      <c r="T178" s="62">
        <f t="shared" si="142"/>
        <v>513.80016421153414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0.18951942240329372</v>
      </c>
      <c r="AA178" s="23">
        <f>EXP(-LN(2)/25)*AA177+(1-EXP(-LN(2)/25))/(LN(2)/25)*Calculateur!V178*Calculateur!X178*VLOOKUP('Données projet'!$B$9,Paramètres!$A$1:$I$89,3,0)*0.475*44/12</f>
        <v>4.6832429612305278E-2</v>
      </c>
      <c r="AB178" s="23">
        <f>EXP(-LN(2)/2)*AB177+(1-EXP(-LN(2)/2))/(LN(2)/2)*V178*Y178*VLOOKUP('Données projet'!$B$9,Paramètres!$A$1:$I$89,3,0)*0.475*44/12</f>
        <v>7.7645430237118422E-22</v>
      </c>
      <c r="AC178" s="24">
        <f t="shared" si="163"/>
        <v>0.236351852015599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-5.1431925385259088E-14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366.86025470473652</v>
      </c>
      <c r="T179" s="62">
        <f t="shared" si="142"/>
        <v>513.80016421153414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0.18580306212539871</v>
      </c>
      <c r="AA179" s="23">
        <f>EXP(-LN(2)/25)*AA178+(1-EXP(-LN(2)/25))/(LN(2)/25)*Calculateur!V179*Calculateur!X179*VLOOKUP('Données projet'!$B$9,Paramètres!$A$1:$I$89,3,0)*0.475*44/12</f>
        <v>4.5551794361746355E-2</v>
      </c>
      <c r="AB179" s="23">
        <f>EXP(-LN(2)/2)*AB178+(1-EXP(-LN(2)/2))/(LN(2)/2)*V179*Y179*VLOOKUP('Données projet'!$B$9,Paramètres!$A$1:$I$89,3,0)*0.475*44/12</f>
        <v>5.4903610248813436E-22</v>
      </c>
      <c r="AC179" s="24">
        <f t="shared" si="163"/>
        <v>0.23135485648714507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-5.1431925385259088E-14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366.86025470473652</v>
      </c>
      <c r="T180" s="62">
        <f t="shared" si="142"/>
        <v>513.80016421153414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0.18215957740579727</v>
      </c>
      <c r="AA180" s="23">
        <f>EXP(-LN(2)/25)*AA179+(1-EXP(-LN(2)/25))/(LN(2)/25)*Calculateur!V180*Calculateur!X180*VLOOKUP('Données projet'!$B$9,Paramètres!$A$1:$I$89,3,0)*0.475*44/12</f>
        <v>4.4306178149459648E-2</v>
      </c>
      <c r="AB180" s="23">
        <f>EXP(-LN(2)/2)*AB179+(1-EXP(-LN(2)/2))/(LN(2)/2)*V180*Y180*VLOOKUP('Données projet'!$B$9,Paramètres!$A$1:$I$89,3,0)*0.475*44/12</f>
        <v>3.8822715118559211E-22</v>
      </c>
      <c r="AC180" s="24">
        <f t="shared" si="163"/>
        <v>0.22646575555525691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-5.1431925385259088E-14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366.86025470473652</v>
      </c>
      <c r="T181" s="62">
        <f t="shared" si="142"/>
        <v>513.80016421153414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0.17858753919924097</v>
      </c>
      <c r="AA181" s="23">
        <f>EXP(-LN(2)/25)*AA180+(1-EXP(-LN(2)/25))/(LN(2)/25)*Calculateur!V181*Calculateur!X181*VLOOKUP('Données projet'!$B$9,Paramètres!$A$1:$I$89,3,0)*0.475*44/12</f>
        <v>4.3094623378002031E-2</v>
      </c>
      <c r="AB181" s="23">
        <f>EXP(-LN(2)/2)*AB180+(1-EXP(-LN(2)/2))/(LN(2)/2)*V181*Y181*VLOOKUP('Données projet'!$B$9,Paramètres!$A$1:$I$89,3,0)*0.475*44/12</f>
        <v>2.7451805124406718E-22</v>
      </c>
      <c r="AC181" s="24">
        <f t="shared" si="163"/>
        <v>0.22168216257724299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-5.1431925385259088E-14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366.86025470473652</v>
      </c>
      <c r="T182" s="62">
        <f t="shared" si="142"/>
        <v>513.80016421153414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0.17508554648318705</v>
      </c>
      <c r="AA182" s="23">
        <f>EXP(-LN(2)/25)*AA181+(1-EXP(-LN(2)/25))/(LN(2)/25)*Calculateur!V182*Calculateur!X182*VLOOKUP('Données projet'!$B$9,Paramètres!$A$1:$I$89,3,0)*0.475*44/12</f>
        <v>4.1916198635482814E-2</v>
      </c>
      <c r="AB182" s="23">
        <f>EXP(-LN(2)/2)*AB181+(1-EXP(-LN(2)/2))/(LN(2)/2)*V182*Y182*VLOOKUP('Données projet'!$B$9,Paramètres!$A$1:$I$89,3,0)*0.475*44/12</f>
        <v>1.9411357559279605E-22</v>
      </c>
      <c r="AC182" s="24">
        <f t="shared" si="163"/>
        <v>0.21700174511866988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-5.1431925385259088E-14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366.86025470473652</v>
      </c>
      <c r="T183" s="62">
        <f t="shared" si="142"/>
        <v>513.80016421153414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0.17165222570829031</v>
      </c>
      <c r="AA183" s="23">
        <f>EXP(-LN(2)/25)*AA182+(1-EXP(-LN(2)/25))/(LN(2)/25)*Calculateur!V183*Calculateur!X183*VLOOKUP('Données projet'!$B$9,Paramètres!$A$1:$I$89,3,0)*0.475*44/12</f>
        <v>4.0769997979518448E-2</v>
      </c>
      <c r="AB183" s="23">
        <f>EXP(-LN(2)/2)*AB182+(1-EXP(-LN(2)/2))/(LN(2)/2)*V183*Y183*VLOOKUP('Données projet'!$B$9,Paramètres!$A$1:$I$89,3,0)*0.475*44/12</f>
        <v>1.3725902562203359E-22</v>
      </c>
      <c r="AC183" s="24">
        <f t="shared" si="163"/>
        <v>0.21242222368780875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-5.1431925385259088E-14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366.86025470473652</v>
      </c>
      <c r="T184" s="62">
        <f t="shared" si="142"/>
        <v>513.80016421153414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0.16828623025967041</v>
      </c>
      <c r="AA184" s="23">
        <f>EXP(-LN(2)/25)*AA183+(1-EXP(-LN(2)/25))/(LN(2)/25)*Calculateur!V184*Calculateur!X184*VLOOKUP('Données projet'!$B$9,Paramètres!$A$1:$I$89,3,0)*0.475*44/12</f>
        <v>3.9655140240767502E-2</v>
      </c>
      <c r="AB184" s="23">
        <f>EXP(-LN(2)/2)*AB183+(1-EXP(-LN(2)/2))/(LN(2)/2)*V184*Y184*VLOOKUP('Données projet'!$B$9,Paramètres!$A$1:$I$89,3,0)*0.475*44/12</f>
        <v>9.7056787796398027E-23</v>
      </c>
      <c r="AC184" s="24">
        <f t="shared" si="163"/>
        <v>0.2079413705004379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-5.1431925385259088E-14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366.86025470473652</v>
      </c>
      <c r="T185" s="62">
        <f t="shared" si="142"/>
        <v>513.80016421153414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0.16498623992874342</v>
      </c>
      <c r="AA185" s="23">
        <f>EXP(-LN(2)/25)*AA184+(1-EXP(-LN(2)/25))/(LN(2)/25)*Calculateur!V185*Calculateur!X185*VLOOKUP('Données projet'!$B$9,Paramètres!$A$1:$I$89,3,0)*0.475*44/12</f>
        <v>3.8570768345510521E-2</v>
      </c>
      <c r="AB185" s="23">
        <f>EXP(-LN(2)/2)*AB184+(1-EXP(-LN(2)/2))/(LN(2)/2)*V185*Y185*VLOOKUP('Données projet'!$B$9,Paramètres!$A$1:$I$89,3,0)*0.475*44/12</f>
        <v>6.8629512811016795E-23</v>
      </c>
      <c r="AC185" s="24">
        <f t="shared" si="163"/>
        <v>0.20355700827425394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-5.1431925385259088E-14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366.86025470473652</v>
      </c>
      <c r="T186" s="62">
        <f t="shared" si="142"/>
        <v>513.80016421153414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0.16175096039541056</v>
      </c>
      <c r="AA186" s="23">
        <f>EXP(-LN(2)/25)*AA185+(1-EXP(-LN(2)/25))/(LN(2)/25)*Calculateur!V186*Calculateur!X186*VLOOKUP('Données projet'!$B$9,Paramètres!$A$1:$I$89,3,0)*0.475*44/12</f>
        <v>3.7516048656753981E-2</v>
      </c>
      <c r="AB186" s="23">
        <f>EXP(-LN(2)/2)*AB185+(1-EXP(-LN(2)/2))/(LN(2)/2)*V186*Y186*VLOOKUP('Données projet'!$B$9,Paramètres!$A$1:$I$89,3,0)*0.475*44/12</f>
        <v>4.8528393898199014E-23</v>
      </c>
      <c r="AC186" s="24">
        <f t="shared" si="163"/>
        <v>0.19926700905216455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-5.1431925385259088E-14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366.86025470473652</v>
      </c>
      <c r="T187" s="62">
        <f t="shared" si="142"/>
        <v>513.80016421153414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0.1585791227204007</v>
      </c>
      <c r="AA187" s="23">
        <f>EXP(-LN(2)/25)*AA186+(1-EXP(-LN(2)/25))/(LN(2)/25)*Calculateur!V187*Calculateur!X187*VLOOKUP('Données projet'!$B$9,Paramètres!$A$1:$I$89,3,0)*0.475*44/12</f>
        <v>3.6490170333351786E-2</v>
      </c>
      <c r="AB187" s="23">
        <f>EXP(-LN(2)/2)*AB186+(1-EXP(-LN(2)/2))/(LN(2)/2)*V187*Y187*VLOOKUP('Données projet'!$B$9,Paramètres!$A$1:$I$89,3,0)*0.475*44/12</f>
        <v>3.4314756405508398E-23</v>
      </c>
      <c r="AC187" s="24">
        <f t="shared" si="163"/>
        <v>0.19506929305375248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-5.1431925385259088E-14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366.86025470473652</v>
      </c>
      <c r="T188" s="62">
        <f t="shared" si="142"/>
        <v>513.80016421153414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0.15546948284756784</v>
      </c>
      <c r="AA188" s="23">
        <f>EXP(-LN(2)/25)*AA187+(1-EXP(-LN(2)/25))/(LN(2)/25)*Calculateur!V188*Calculateur!X188*VLOOKUP('Données projet'!$B$9,Paramètres!$A$1:$I$89,3,0)*0.475*44/12</f>
        <v>3.5492344706651621E-2</v>
      </c>
      <c r="AB188" s="23">
        <f>EXP(-LN(2)/2)*AB187+(1-EXP(-LN(2)/2))/(LN(2)/2)*V188*Y188*VLOOKUP('Données projet'!$B$9,Paramètres!$A$1:$I$89,3,0)*0.475*44/12</f>
        <v>2.4264196949099507E-23</v>
      </c>
      <c r="AC188" s="24">
        <f t="shared" si="163"/>
        <v>0.19096182755421948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-5.1431925385259088E-14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366.86025470473652</v>
      </c>
      <c r="T189" s="62">
        <f t="shared" si="142"/>
        <v>513.80016421153414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0.15242082111594818</v>
      </c>
      <c r="AA189" s="23">
        <f>EXP(-LN(2)/25)*AA188+(1-EXP(-LN(2)/25))/(LN(2)/25)*Calculateur!V189*Calculateur!X189*VLOOKUP('Données projet'!$B$9,Paramètres!$A$1:$I$89,3,0)*0.475*44/12</f>
        <v>3.4521804674186946E-2</v>
      </c>
      <c r="AB189" s="23">
        <f>EXP(-LN(2)/2)*AB188+(1-EXP(-LN(2)/2))/(LN(2)/2)*V189*Y189*VLOOKUP('Données projet'!$B$9,Paramètres!$A$1:$I$89,3,0)*0.475*44/12</f>
        <v>1.7157378202754199E-23</v>
      </c>
      <c r="AC189" s="24">
        <f t="shared" si="163"/>
        <v>0.18694262579013513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-5.1431925385259088E-14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366.86025470473652</v>
      </c>
      <c r="T190" s="62">
        <f t="shared" si="142"/>
        <v>513.80016421153414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0.14943194178138552</v>
      </c>
      <c r="AA190" s="23">
        <f>EXP(-LN(2)/25)*AA189+(1-EXP(-LN(2)/25))/(LN(2)/25)*Calculateur!V190*Calculateur!X190*VLOOKUP('Données projet'!$B$9,Paramètres!$A$1:$I$89,3,0)*0.475*44/12</f>
        <v>3.3577804109948498E-2</v>
      </c>
      <c r="AB190" s="23">
        <f>EXP(-LN(2)/2)*AB189+(1-EXP(-LN(2)/2))/(LN(2)/2)*V190*Y190*VLOOKUP('Données projet'!$B$9,Paramètres!$A$1:$I$89,3,0)*0.475*44/12</f>
        <v>1.2132098474549753E-23</v>
      </c>
      <c r="AC190" s="24">
        <f t="shared" si="163"/>
        <v>0.18300974589133401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-5.1431925385259088E-14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366.86025470473652</v>
      </c>
      <c r="T191" s="62">
        <f t="shared" si="142"/>
        <v>513.80016421153414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0.14650167254753726</v>
      </c>
      <c r="AA191" s="23">
        <f>EXP(-LN(2)/25)*AA190+(1-EXP(-LN(2)/25))/(LN(2)/25)*Calculateur!V191*Calculateur!X191*VLOOKUP('Données projet'!$B$9,Paramètres!$A$1:$I$89,3,0)*0.475*44/12</f>
        <v>3.2659617290781984E-2</v>
      </c>
      <c r="AB191" s="23">
        <f>EXP(-LN(2)/2)*AB190+(1-EXP(-LN(2)/2))/(LN(2)/2)*V191*Y191*VLOOKUP('Données projet'!$B$9,Paramètres!$A$1:$I$89,3,0)*0.475*44/12</f>
        <v>8.5786891013770994E-24</v>
      </c>
      <c r="AC191" s="24">
        <f t="shared" si="163"/>
        <v>0.17916128983831925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-5.1431925385259088E-14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366.86025470473652</v>
      </c>
      <c r="T192" s="62">
        <f t="shared" si="142"/>
        <v>513.80016421153414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0.14362886410607703</v>
      </c>
      <c r="AA192" s="23">
        <f>EXP(-LN(2)/25)*AA191+(1-EXP(-LN(2)/25))/(LN(2)/25)*Calculateur!V192*Calculateur!X192*VLOOKUP('Données projet'!$B$9,Paramètres!$A$1:$I$89,3,0)*0.475*44/12</f>
        <v>3.1766538338470922E-2</v>
      </c>
      <c r="AB192" s="23">
        <f>EXP(-LN(2)/2)*AB191+(1-EXP(-LN(2)/2))/(LN(2)/2)*V192*Y192*VLOOKUP('Données projet'!$B$9,Paramètres!$A$1:$I$89,3,0)*0.475*44/12</f>
        <v>6.0660492372748767E-24</v>
      </c>
      <c r="AC192" s="24">
        <f t="shared" si="163"/>
        <v>0.17539540244454796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-5.1431925385259088E-14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366.86025470473652</v>
      </c>
      <c r="T193" s="62">
        <f t="shared" si="142"/>
        <v>513.80016421153414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0.1408123896859137</v>
      </c>
      <c r="AA193" s="23">
        <f>EXP(-LN(2)/25)*AA192+(1-EXP(-LN(2)/25))/(LN(2)/25)*Calculateur!V193*Calculateur!X193*VLOOKUP('Données projet'!$B$9,Paramètres!$A$1:$I$89,3,0)*0.475*44/12</f>
        <v>3.0897880677075787E-2</v>
      </c>
      <c r="AB193" s="23">
        <f>EXP(-LN(2)/2)*AB192+(1-EXP(-LN(2)/2))/(LN(2)/2)*V193*Y193*VLOOKUP('Données projet'!$B$9,Paramètres!$A$1:$I$89,3,0)*0.475*44/12</f>
        <v>4.2893445506885497E-24</v>
      </c>
      <c r="AC193" s="24">
        <f t="shared" si="163"/>
        <v>0.17171027036298947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-5.1431925385259088E-14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366.86025470473652</v>
      </c>
      <c r="T194" s="62">
        <f t="shared" si="142"/>
        <v>513.80016421153414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0.13805114461124998</v>
      </c>
      <c r="AA194" s="23">
        <f>EXP(-LN(2)/25)*AA193+(1-EXP(-LN(2)/25))/(LN(2)/25)*Calculateur!V194*Calculateur!X194*VLOOKUP('Données projet'!$B$9,Paramètres!$A$1:$I$89,3,0)*0.475*44/12</f>
        <v>3.0052976505112221E-2</v>
      </c>
      <c r="AB194" s="23">
        <f>EXP(-LN(2)/2)*AB193+(1-EXP(-LN(2)/2))/(LN(2)/2)*V194*Y194*VLOOKUP('Données projet'!$B$9,Paramètres!$A$1:$I$89,3,0)*0.475*44/12</f>
        <v>3.0330246186374384E-24</v>
      </c>
      <c r="AC194" s="24">
        <f t="shared" si="163"/>
        <v>0.16810412111636219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-5.1431925385259088E-14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366.86025470473652</v>
      </c>
      <c r="T195" s="62">
        <f t="shared" si="142"/>
        <v>513.80016421153414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0.13534404586830723</v>
      </c>
      <c r="AA195" s="23">
        <f>EXP(-LN(2)/25)*AA194+(1-EXP(-LN(2)/25))/(LN(2)/25)*Calculateur!V195*Calculateur!X195*VLOOKUP('Données projet'!$B$9,Paramètres!$A$1:$I$89,3,0)*0.475*44/12</f>
        <v>2.9231176282162579E-2</v>
      </c>
      <c r="AB195" s="23">
        <f>EXP(-LN(2)/2)*AB194+(1-EXP(-LN(2)/2))/(LN(2)/2)*V195*Y195*VLOOKUP('Données projet'!$B$9,Paramètres!$A$1:$I$89,3,0)*0.475*44/12</f>
        <v>2.1446722753442748E-24</v>
      </c>
      <c r="AC195" s="24">
        <f t="shared" si="163"/>
        <v>0.1645752221504698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-5.1431925385259088E-14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366.86025470473652</v>
      </c>
      <c r="T196" s="62">
        <f t="shared" si="142"/>
        <v>513.80016421153414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0.13269003168054641</v>
      </c>
      <c r="AA196" s="23">
        <f>EXP(-LN(2)/25)*AA195+(1-EXP(-LN(2)/25))/(LN(2)/25)*Calculateur!V196*Calculateur!X196*VLOOKUP('Données projet'!$B$9,Paramètres!$A$1:$I$89,3,0)*0.475*44/12</f>
        <v>2.8431848229526092E-2</v>
      </c>
      <c r="AB196" s="23">
        <f>EXP(-LN(2)/2)*AB195+(1-EXP(-LN(2)/2))/(LN(2)/2)*V196*Y196*VLOOKUP('Données projet'!$B$9,Paramètres!$A$1:$I$89,3,0)*0.475*44/12</f>
        <v>1.5165123093187192E-24</v>
      </c>
      <c r="AC196" s="24">
        <f t="shared" si="163"/>
        <v>0.16112187991007251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-5.1431925385259088E-14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366.86025470473652</v>
      </c>
      <c r="T197" s="62">
        <f t="shared" ref="T197:T203" si="204">$T$3</f>
        <v>513.80016421153414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0.13008806109221877</v>
      </c>
      <c r="AA197" s="23">
        <f>EXP(-LN(2)/25)*AA196+(1-EXP(-LN(2)/25))/(LN(2)/25)*Calculateur!V197*Calculateur!X197*VLOOKUP('Données projet'!$B$9,Paramètres!$A$1:$I$89,3,0)*0.475*44/12</f>
        <v>2.7654377844523785E-2</v>
      </c>
      <c r="AB197" s="23">
        <f>EXP(-LN(2)/2)*AB196+(1-EXP(-LN(2)/2))/(LN(2)/2)*V197*Y197*VLOOKUP('Données projet'!$B$9,Paramètres!$A$1:$I$89,3,0)*0.475*44/12</f>
        <v>1.0723361376721374E-24</v>
      </c>
      <c r="AC197" s="24">
        <f t="shared" si="163"/>
        <v>0.15774243893674256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-5.1431925385259088E-14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366.86025470473652</v>
      </c>
      <c r="T198" s="62">
        <f t="shared" si="204"/>
        <v>513.80016421153414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0.12753711356008288</v>
      </c>
      <c r="AA198" s="23">
        <f>EXP(-LN(2)/25)*AA197+(1-EXP(-LN(2)/25))/(LN(2)/25)*Calculateur!V198*Calculateur!X198*VLOOKUP('Données projet'!$B$9,Paramètres!$A$1:$I$89,3,0)*0.475*44/12</f>
        <v>2.6898167428084756E-2</v>
      </c>
      <c r="AB198" s="23">
        <f>EXP(-LN(2)/2)*AB197+(1-EXP(-LN(2)/2))/(LN(2)/2)*V198*Y198*VLOOKUP('Données projet'!$B$9,Paramètres!$A$1:$I$89,3,0)*0.475*44/12</f>
        <v>7.5825615465935959E-25</v>
      </c>
      <c r="AC198" s="24">
        <f t="shared" si="163"/>
        <v>0.15443528098816764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-5.1431925385259088E-14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366.86025470473652</v>
      </c>
      <c r="T199" s="62">
        <f t="shared" si="204"/>
        <v>513.80016421153414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0.12503618855312781</v>
      </c>
      <c r="AA199" s="23">
        <f>EXP(-LN(2)/25)*AA198+(1-EXP(-LN(2)/25))/(LN(2)/25)*Calculateur!V199*Calculateur!X199*VLOOKUP('Données projet'!$B$9,Paramètres!$A$1:$I$89,3,0)*0.475*44/12</f>
        <v>2.6162635625250629E-2</v>
      </c>
      <c r="AB199" s="23">
        <f>EXP(-LN(2)/2)*AB198+(1-EXP(-LN(2)/2))/(LN(2)/2)*V199*Y199*VLOOKUP('Données projet'!$B$9,Paramètres!$A$1:$I$89,3,0)*0.475*44/12</f>
        <v>5.3616806883606871E-25</v>
      </c>
      <c r="AC199" s="24">
        <f t="shared" si="163"/>
        <v>0.15119882417837843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-5.1431925385259088E-14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366.86025470473652</v>
      </c>
      <c r="T200" s="62">
        <f t="shared" si="204"/>
        <v>513.80016421153414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0.1225843051601455</v>
      </c>
      <c r="AA200" s="23">
        <f>EXP(-LN(2)/25)*AA199+(1-EXP(-LN(2)/25))/(LN(2)/25)*Calculateur!V200*Calculateur!X200*VLOOKUP('Données projet'!$B$9,Paramètres!$A$1:$I$89,3,0)*0.475*44/12</f>
        <v>2.5447216978244938E-2</v>
      </c>
      <c r="AB200" s="23">
        <f>EXP(-LN(2)/2)*AB199+(1-EXP(-LN(2)/2))/(LN(2)/2)*V200*Y200*VLOOKUP('Données projet'!$B$9,Paramètres!$A$1:$I$89,3,0)*0.475*44/12</f>
        <v>3.7912807732967979E-25</v>
      </c>
      <c r="AC200" s="24">
        <f t="shared" si="163"/>
        <v>0.14803152213839044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-5.1431925385259088E-14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366.86025470473652</v>
      </c>
      <c r="T201" s="62">
        <f t="shared" si="204"/>
        <v>513.80016421153414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0.12018050170499836</v>
      </c>
      <c r="AA201" s="23">
        <f>EXP(-LN(2)/25)*AA200+(1-EXP(-LN(2)/25))/(LN(2)/25)*Calculateur!V201*Calculateur!X201*VLOOKUP('Données projet'!$B$9,Paramètres!$A$1:$I$89,3,0)*0.475*44/12</f>
        <v>2.4751361491763851E-2</v>
      </c>
      <c r="AB201" s="23">
        <f>EXP(-LN(2)/2)*AB200+(1-EXP(-LN(2)/2))/(LN(2)/2)*V201*Y201*VLOOKUP('Données projet'!$B$9,Paramètres!$A$1:$I$89,3,0)*0.475*44/12</f>
        <v>2.6808403441803436E-25</v>
      </c>
      <c r="AC201" s="24">
        <f t="shared" si="163"/>
        <v>0.14493186319676221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-5.1431925385259088E-14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366.86025470473652</v>
      </c>
      <c r="T202" s="62">
        <f t="shared" si="204"/>
        <v>513.80016421153414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0.11782383536943132</v>
      </c>
      <c r="AA202" s="23">
        <f>EXP(-LN(2)/25)*AA201+(1-EXP(-LN(2)/25))/(LN(2)/25)*Calculateur!V202*Calculateur!X202*VLOOKUP('Données projet'!$B$9,Paramètres!$A$1:$I$89,3,0)*0.475*44/12</f>
        <v>2.4074534210154038E-2</v>
      </c>
      <c r="AB202" s="23">
        <f>EXP(-LN(2)/2)*AB201+(1-EXP(-LN(2)/2))/(LN(2)/2)*V202*Y202*VLOOKUP('Données projet'!$B$9,Paramètres!$A$1:$I$89,3,0)*0.475*44/12</f>
        <v>1.895640386648399E-25</v>
      </c>
      <c r="AC202" s="24">
        <f t="shared" si="163"/>
        <v>0.14189836957958535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-5.1431925385259088E-14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366.86025470473652</v>
      </c>
      <c r="T203" s="62">
        <f t="shared" si="204"/>
        <v>513.80016421153414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0.11551338182328022</v>
      </c>
      <c r="AA203" s="23">
        <f>EXP(-LN(2)/25)*AA202+(1-EXP(-LN(2)/25))/(LN(2)/25)*Calculateur!V203*Calculateur!X203*VLOOKUP('Données projet'!$B$9,Paramètres!$A$1:$I$89,3,0)*0.475*44/12</f>
        <v>2.3416214806152646E-2</v>
      </c>
      <c r="AB203" s="23">
        <f>EXP(-LN(2)/2)*AB202+(1-EXP(-LN(2)/2))/(LN(2)/2)*V203*Y203*VLOOKUP('Données projet'!$B$9,Paramètres!$A$1:$I$89,3,0)*0.475*44/12</f>
        <v>1.3404201720901718E-25</v>
      </c>
      <c r="AC203" s="24">
        <f t="shared" si="163"/>
        <v>0.13892959662943286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2.0243974584998852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I26" sqref="I2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Robinier faux-acacia</v>
      </c>
      <c r="B6" s="155">
        <f>'Données projet'!D9</f>
        <v>1.56</v>
      </c>
      <c r="C6" s="156">
        <f ca="1">IF(OR('Données projet'!B9="",'Données projet'!C9="",'Données projet'!C9=0%),0,Calculateur!S3)</f>
        <v>366.86025470473652</v>
      </c>
      <c r="D6" s="156">
        <f>IF(OR('Données projet'!B9="",'Données projet'!C9="",'Données projet'!C9=0%),0,Calculateur!T3)</f>
        <v>513.80016421153414</v>
      </c>
      <c r="E6" s="156">
        <f ca="1">MIN(C6,D6)</f>
        <v>366.86025470473652</v>
      </c>
      <c r="F6" s="156">
        <f ca="1">E6*B6</f>
        <v>572.301997339389</v>
      </c>
      <c r="G6" s="156">
        <f ca="1">F6*(100%-'Données projet'!$C$24)*(100%-'Données projet'!$C$25)*(100%-'Données projet'!$C$26)*(100%-'Données projet'!$C$27)</f>
        <v>463.56461784490511</v>
      </c>
      <c r="H6" s="157">
        <f>IF(OR('Données projet'!B9="",'Données projet'!C9="",'Données projet'!C9=0%),0,AVERAGE(Calculateur!$AC$3:$AC$33)*B6)</f>
        <v>12.74410693849433</v>
      </c>
      <c r="I6" s="158">
        <f>H6*(100%-'Données projet'!$C$24)*(100%-'Données projet'!$C$25)*(100%-'Données projet'!$C$26)*(100%-'Données projet'!$C$27)</f>
        <v>10.322726620180408</v>
      </c>
      <c r="J6" s="159">
        <f>IF(OR('Données projet'!B9="",'Données projet'!C9="",'Données projet'!C9=0%),0,SUM(Calculateur!$V$3:$V$33)*VLOOKUP('Données projet'!$B$9,Paramètres!$A$1:$I$89,9,0)*B6)</f>
        <v>39</v>
      </c>
      <c r="K6" s="160">
        <f>J6*(100%-'Données projet'!$C$24)*(100%-'Données projet'!$C$25)*(100%-'Données projet'!$C$26)*(100%-'Données projet'!$C$27)</f>
        <v>31.590000000000003</v>
      </c>
      <c r="L6" s="161">
        <f ca="1">G6+I6+K6</f>
        <v>505.47734446508548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572.301997339389</v>
      </c>
      <c r="G16" s="175">
        <f t="shared" ca="1" si="3"/>
        <v>463.56461784490511</v>
      </c>
      <c r="H16" s="176">
        <f t="shared" si="3"/>
        <v>12.74410693849433</v>
      </c>
      <c r="I16" s="176">
        <f t="shared" si="3"/>
        <v>10.322726620180408</v>
      </c>
      <c r="J16" s="177">
        <f t="shared" si="3"/>
        <v>39</v>
      </c>
      <c r="K16" s="177">
        <f t="shared" si="3"/>
        <v>31.590000000000003</v>
      </c>
      <c r="L16" s="178">
        <f t="shared" ca="1" si="3"/>
        <v>505.47734446508548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Robinier faux-acacia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10" zoomScale="90" zoomScaleNormal="90" workbookViewId="0">
      <selection activeCell="H25" sqref="H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Robinier faux-acacia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2675.1098572799465</v>
      </c>
      <c r="U10" s="190">
        <f>'Données projet'!D9</f>
        <v>1.56</v>
      </c>
      <c r="V10" s="189">
        <f>U10*T10</f>
        <v>4173.1713773567162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Robinier faux-acacia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2375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>
        <v>1</v>
      </c>
      <c r="I21" s="204">
        <v>440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500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5</v>
      </c>
      <c r="B23" s="193">
        <f>'Données projet'!D36</f>
        <v>6</v>
      </c>
      <c r="C23" s="206">
        <v>4</v>
      </c>
      <c r="D23" s="194">
        <f>B23*C23</f>
        <v>24</v>
      </c>
      <c r="E23" s="206"/>
      <c r="F23" s="261"/>
      <c r="H23" s="203">
        <v>3</v>
      </c>
      <c r="I23" s="204">
        <v>300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-1705.4936093709211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10</v>
      </c>
      <c r="B24" s="193">
        <f>'Données projet'!D37</f>
        <v>28</v>
      </c>
      <c r="C24" s="206">
        <v>8</v>
      </c>
      <c r="D24" s="194">
        <f t="shared" ref="D24:D42" si="2">B24*C24</f>
        <v>224</v>
      </c>
      <c r="E24" s="206"/>
      <c r="F24" s="264"/>
      <c r="H24" s="203">
        <v>4</v>
      </c>
      <c r="I24" s="204">
        <v>300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15</v>
      </c>
      <c r="B25" s="193">
        <f>'Données projet'!D38</f>
        <v>23</v>
      </c>
      <c r="C25" s="206">
        <v>13</v>
      </c>
      <c r="D25" s="194">
        <f t="shared" si="2"/>
        <v>299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-1705.4936093709211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20</v>
      </c>
      <c r="B26" s="193">
        <f>'Données projet'!D39</f>
        <v>18</v>
      </c>
      <c r="C26" s="206">
        <v>19</v>
      </c>
      <c r="D26" s="194">
        <f t="shared" si="2"/>
        <v>342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25</v>
      </c>
      <c r="B27" s="193">
        <f>'Données projet'!D40</f>
        <v>14</v>
      </c>
      <c r="C27" s="206">
        <v>22</v>
      </c>
      <c r="D27" s="194">
        <f t="shared" si="2"/>
        <v>308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30</v>
      </c>
      <c r="B28" s="193">
        <f>'Données projet'!D41</f>
        <v>11</v>
      </c>
      <c r="C28" s="206">
        <v>25</v>
      </c>
      <c r="D28" s="194">
        <f t="shared" si="2"/>
        <v>275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35</v>
      </c>
      <c r="B29" s="193">
        <f>'Données projet'!D42</f>
        <v>9</v>
      </c>
      <c r="C29" s="206">
        <v>30</v>
      </c>
      <c r="D29" s="194">
        <f t="shared" si="2"/>
        <v>270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40</v>
      </c>
      <c r="B30" s="193">
        <f>'Données projet'!D43</f>
        <v>7</v>
      </c>
      <c r="C30" s="206">
        <v>37</v>
      </c>
      <c r="D30" s="194">
        <f t="shared" si="2"/>
        <v>259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45</v>
      </c>
      <c r="B31" s="193">
        <f>'Données projet'!D44</f>
        <v>312</v>
      </c>
      <c r="C31" s="206">
        <v>45</v>
      </c>
      <c r="D31" s="194">
        <f t="shared" si="2"/>
        <v>14040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NEVEU Tancrede</cp:lastModifiedBy>
  <dcterms:created xsi:type="dcterms:W3CDTF">2021-02-01T08:22:39Z</dcterms:created>
  <dcterms:modified xsi:type="dcterms:W3CDTF">2025-05-06T06:51:43Z</dcterms:modified>
</cp:coreProperties>
</file>