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551eea340582f2a/5-Label Bas Carbone/2023-7-10 Dupouy Ychoux (40)/4-Labellisation/0-Envoi Dreal/"/>
    </mc:Choice>
  </mc:AlternateContent>
  <xr:revisionPtr revIDLastSave="43" documentId="13_ncr:1_{5FC3272D-6116-6241-9365-E0B45EE6D259}" xr6:coauthVersionLast="47" xr6:coauthVersionMax="47" xr10:uidLastSave="{939B38A5-D7CE-AD42-84AF-7259560A0E50}"/>
  <bookViews>
    <workbookView xWindow="-4780" yWindow="-21600" windowWidth="38400" windowHeight="216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C4" i="2"/>
  <c r="BR4" i="2"/>
  <c r="GL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H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HH21" i="2"/>
  <c r="EB21" i="2"/>
  <c r="EV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EA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FR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A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HG38" i="2"/>
  <c r="EA38" i="2"/>
  <c r="EW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X43" i="2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HG57" i="2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EA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X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X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HG75" i="2"/>
  <c r="EA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C85" i="2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EB107" i="2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HI113" i="2"/>
  <c r="EB113" i="2"/>
  <c r="EC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C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FS130" i="2"/>
  <c r="HH130" i="2"/>
  <c r="EW130" i="2"/>
  <c r="HG130" i="2"/>
  <c r="EX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HI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H144" i="2"/>
  <c r="EX144" i="2"/>
  <c r="HG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FR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AB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D155" i="2" s="1"/>
  <c r="HH155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G156" i="2" l="1"/>
  <c r="HH156" i="2"/>
  <c r="FS156" i="2"/>
  <c r="AB156" i="2"/>
  <c r="EX156" i="2"/>
  <c r="HI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EC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HH158" i="2"/>
  <c r="HG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H159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HG160" i="2"/>
  <c r="HI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X161" i="2"/>
  <c r="AB161" i="2"/>
  <c r="EB161" i="2"/>
  <c r="HG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W162" i="2"/>
  <c r="EC162" i="2"/>
  <c r="EB162" i="2"/>
  <c r="HH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I163" i="2" l="1"/>
  <c r="HH163" i="2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HH164" i="2"/>
  <c r="DH164" i="2"/>
  <c r="FR164" i="2"/>
  <c r="DI163" i="2"/>
  <c r="FS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D165" i="2" s="1"/>
  <c r="HG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FR167" i="2"/>
  <c r="HH167" i="2"/>
  <c r="EB167" i="2"/>
  <c r="DG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HH168" i="2"/>
  <c r="DI167" i="2"/>
  <c r="EB168" i="2"/>
  <c r="EW168" i="2"/>
  <c r="EV168" i="2"/>
  <c r="EY168" i="2" s="1"/>
  <c r="EC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FS169" i="2"/>
  <c r="HH169" i="2"/>
  <c r="EB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D172" i="2" s="1"/>
  <c r="EW172" i="2"/>
  <c r="HI172" i="2"/>
  <c r="EV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HJ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Q178" i="2"/>
  <c r="EA178" i="2"/>
  <c r="ED178" i="2" s="1"/>
  <c r="EW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V179" i="2"/>
  <c r="EY179" i="2" s="1"/>
  <c r="EA179" i="2"/>
  <c r="ED179" i="2" s="1"/>
  <c r="HG179" i="2"/>
  <c r="HI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D182" i="2" s="1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G185" i="2" l="1"/>
  <c r="HI185" i="2"/>
  <c r="EW185" i="2"/>
  <c r="HH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EW186" i="2"/>
  <c r="EB186" i="2"/>
  <c r="FR186" i="2"/>
  <c r="EA186" i="2"/>
  <c r="HG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H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HH189" i="2"/>
  <c r="EV189" i="2"/>
  <c r="EY189" i="2" s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AX187" i="2"/>
  <c r="HH190" i="2" l="1"/>
  <c r="EB190" i="2"/>
  <c r="EW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A192" i="2"/>
  <c r="ED192" i="2" s="1"/>
  <c r="EV192" i="2"/>
  <c r="EY192" i="2" s="1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ED194" i="2" s="1"/>
  <c r="HI194" i="2"/>
  <c r="FQ194" i="2"/>
  <c r="HG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DH195" i="2"/>
  <c r="AA195" i="2"/>
  <c r="EX195" i="2"/>
  <c r="HI195" i="2"/>
  <c r="HG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AA197" i="2"/>
  <c r="EC197" i="2"/>
  <c r="HG197" i="2"/>
  <c r="EW197" i="2"/>
  <c r="EA197" i="2"/>
  <c r="ED197" i="2" s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EY198" i="2" s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W199" i="2" l="1"/>
  <c r="FS199" i="2"/>
  <c r="EV199" i="2"/>
  <c r="HG199" i="2"/>
  <c r="HJ199" i="2" s="1"/>
  <c r="EA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FS201" i="2" l="1"/>
  <c r="EB201" i="2"/>
  <c r="HH201" i="2"/>
  <c r="EA201" i="2"/>
  <c r="ED201" i="2" s="1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S202" i="2" l="1"/>
  <c r="HH202" i="2"/>
  <c r="EW202" i="2"/>
  <c r="FR202" i="2"/>
  <c r="HG202" i="2"/>
  <c r="HJ202" i="2" s="1"/>
  <c r="FZ6" i="2"/>
  <c r="EX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D144" i="2" a="1"/>
  <c r="FD144" i="2" s="1"/>
  <c r="DN6" i="2" a="1"/>
  <c r="DN6" i="2" s="1"/>
  <c r="DO6" i="2" s="1"/>
  <c r="AX200" i="2"/>
  <c r="FY86" i="2" l="1" a="1"/>
  <c r="FY86" i="2" s="1"/>
  <c r="EI67" i="2" a="1"/>
  <c r="EI67" i="2" s="1"/>
  <c r="EI128" i="2" a="1"/>
  <c r="EI128" i="2" s="1"/>
  <c r="DN110" i="2" a="1"/>
  <c r="DN110" i="2" s="1"/>
  <c r="DN31" i="2" a="1"/>
  <c r="DN31" i="2" s="1"/>
  <c r="BC83" i="2" a="1"/>
  <c r="BC83" i="2" s="1"/>
  <c r="DN132" i="2" a="1"/>
  <c r="DN132" i="2" s="1"/>
  <c r="DN168" i="2" a="1"/>
  <c r="DN168" i="2" s="1"/>
  <c r="DN49" i="2" a="1"/>
  <c r="DN49" i="2" s="1"/>
  <c r="BC164" i="2" a="1"/>
  <c r="BC164" i="2" s="1"/>
  <c r="DN176" i="2" a="1"/>
  <c r="DN176" i="2" s="1"/>
  <c r="DN187" i="2" a="1"/>
  <c r="DN187" i="2" s="1"/>
  <c r="DN133" i="2" a="1"/>
  <c r="DN133" i="2" s="1"/>
  <c r="DN164" i="2" a="1"/>
  <c r="DN164" i="2" s="1"/>
  <c r="EI71" i="2" a="1"/>
  <c r="EI71" i="2" s="1"/>
  <c r="DN63" i="2" a="1"/>
  <c r="DN63" i="2" s="1"/>
  <c r="DN192" i="2" a="1"/>
  <c r="DN192" i="2" s="1"/>
  <c r="EI109" i="2" a="1"/>
  <c r="EI109" i="2" s="1"/>
  <c r="DN103" i="2" a="1"/>
  <c r="DN103" i="2" s="1"/>
  <c r="GT74" i="2" a="1"/>
  <c r="GT74" i="2" s="1"/>
  <c r="HH203" i="2"/>
  <c r="GT15" i="2" a="1"/>
  <c r="GT15" i="2" s="1"/>
  <c r="GT51" i="2" a="1"/>
  <c r="GT51" i="2" s="1"/>
  <c r="CS134" i="2" a="1"/>
  <c r="CS134" i="2" s="1"/>
  <c r="FY42" i="2" a="1"/>
  <c r="FY42" i="2" s="1"/>
  <c r="FY133" i="2" a="1"/>
  <c r="FY133" i="2" s="1"/>
  <c r="FD82" i="2" a="1"/>
  <c r="FD82" i="2" s="1"/>
  <c r="FD194" i="2" a="1"/>
  <c r="FD194" i="2" s="1"/>
  <c r="FY124" i="2" a="1"/>
  <c r="FY124" i="2" s="1"/>
  <c r="FD189" i="2" a="1"/>
  <c r="FD189" i="2" s="1"/>
  <c r="FY110" i="2" a="1"/>
  <c r="FY110" i="2" s="1"/>
  <c r="BC31" i="2" a="1"/>
  <c r="BC31" i="2" s="1"/>
  <c r="DN50" i="2" a="1"/>
  <c r="DN50" i="2" s="1"/>
  <c r="DN152" i="2" a="1"/>
  <c r="DN152" i="2" s="1"/>
  <c r="EI37" i="2" a="1"/>
  <c r="EI37" i="2" s="1"/>
  <c r="EI57" i="2" a="1"/>
  <c r="EI57" i="2" s="1"/>
  <c r="FS203" i="2"/>
  <c r="EI20" i="2" a="1"/>
  <c r="EI20" i="2" s="1"/>
  <c r="DN46" i="2" a="1"/>
  <c r="DN46" i="2" s="1"/>
  <c r="DN167" i="2" a="1"/>
  <c r="DN167" i="2" s="1"/>
  <c r="EI35" i="2" a="1"/>
  <c r="EI35" i="2" s="1"/>
  <c r="EI34" i="2" a="1"/>
  <c r="EI34" i="2" s="1"/>
  <c r="DN66" i="2" a="1"/>
  <c r="DN66" i="2" s="1"/>
  <c r="DN186" i="2" a="1"/>
  <c r="DN186" i="2" s="1"/>
  <c r="EI170" i="2" a="1"/>
  <c r="EI170" i="2" s="1"/>
  <c r="EI38" i="2" a="1"/>
  <c r="EI38" i="2" s="1"/>
  <c r="DN65" i="2" a="1"/>
  <c r="DN65" i="2" s="1"/>
  <c r="DN38" i="2" a="1"/>
  <c r="DN38" i="2" s="1"/>
  <c r="EI16" i="2" a="1"/>
  <c r="EI16" i="2" s="1"/>
  <c r="EI36" i="2" a="1"/>
  <c r="EI36" i="2" s="1"/>
  <c r="BC151" i="2" a="1"/>
  <c r="BC151" i="2" s="1"/>
  <c r="DN45" i="2" a="1"/>
  <c r="DN45" i="2" s="1"/>
  <c r="DN70" i="2" a="1"/>
  <c r="DN70" i="2" s="1"/>
  <c r="DN162" i="2" a="1"/>
  <c r="DN162" i="2" s="1"/>
  <c r="DN80" i="2" a="1"/>
  <c r="DN80" i="2" s="1"/>
  <c r="EI139" i="2" a="1"/>
  <c r="EI139" i="2" s="1"/>
  <c r="EI113" i="2" a="1"/>
  <c r="EI113" i="2" s="1"/>
  <c r="EI165" i="2" a="1"/>
  <c r="EI165" i="2" s="1"/>
  <c r="EI87" i="2" a="1"/>
  <c r="EI87" i="2" s="1"/>
  <c r="BC143" i="2" a="1"/>
  <c r="BC143" i="2" s="1"/>
  <c r="FD107" i="2" a="1"/>
  <c r="FD107" i="2" s="1"/>
  <c r="AH199" i="2" a="1"/>
  <c r="AH199" i="2" s="1"/>
  <c r="DN177" i="2" a="1"/>
  <c r="DN177" i="2" s="1"/>
  <c r="CS66" i="2" a="1"/>
  <c r="CS66" i="2" s="1"/>
  <c r="FY126" i="2" a="1"/>
  <c r="FY126" i="2" s="1"/>
  <c r="EI145" i="2" a="1"/>
  <c r="EI145" i="2" s="1"/>
  <c r="EI162" i="2" a="1"/>
  <c r="EI162" i="2" s="1"/>
  <c r="EI106" i="2" a="1"/>
  <c r="EI106" i="2" s="1"/>
  <c r="EI153" i="2" a="1"/>
  <c r="EI153" i="2" s="1"/>
  <c r="DN155" i="2" a="1"/>
  <c r="DN155" i="2" s="1"/>
  <c r="BC68" i="2" a="1"/>
  <c r="BC68" i="2" s="1"/>
  <c r="DN56" i="2" a="1"/>
  <c r="DN56" i="2" s="1"/>
  <c r="BC192" i="2" a="1"/>
  <c r="BC192" i="2" s="1"/>
  <c r="DN123" i="2" a="1"/>
  <c r="DN123" i="2" s="1"/>
  <c r="DN115" i="2" a="1"/>
  <c r="DN115" i="2" s="1"/>
  <c r="BC114" i="2" a="1"/>
  <c r="BC114" i="2" s="1"/>
  <c r="DN129" i="2" a="1"/>
  <c r="DN129" i="2" s="1"/>
  <c r="DN184" i="2" a="1"/>
  <c r="DN184" i="2" s="1"/>
  <c r="DN43" i="2" a="1"/>
  <c r="DN43" i="2" s="1"/>
  <c r="BC65" i="2" a="1"/>
  <c r="BC65" i="2" s="1"/>
  <c r="BC47" i="2" a="1"/>
  <c r="BC47" i="2" s="1"/>
  <c r="DN30" i="2" a="1"/>
  <c r="DN30" i="2" s="1"/>
  <c r="DN190" i="2" a="1"/>
  <c r="DN190" i="2" s="1"/>
  <c r="DN55" i="2" a="1"/>
  <c r="DN55" i="2" s="1"/>
  <c r="DN16" i="2" a="1"/>
  <c r="DN16" i="2" s="1"/>
  <c r="DN135" i="2" a="1"/>
  <c r="DN135" i="2" s="1"/>
  <c r="BC18" i="2" a="1"/>
  <c r="BC18" i="2" s="1"/>
  <c r="BC7" i="2" a="1"/>
  <c r="BC7" i="2" s="1"/>
  <c r="BC84" i="2" a="1"/>
  <c r="BC84" i="2" s="1"/>
  <c r="BC55" i="2" a="1"/>
  <c r="BC55" i="2" s="1"/>
  <c r="EI195" i="2" a="1"/>
  <c r="EI195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EI142" i="2" a="1"/>
  <c r="EI142" i="2" s="1"/>
  <c r="EI150" i="2" a="1"/>
  <c r="EI150" i="2" s="1"/>
  <c r="EI166" i="2" a="1"/>
  <c r="EI166" i="2" s="1"/>
  <c r="BC117" i="2" a="1"/>
  <c r="BC117" i="2" s="1"/>
  <c r="BC126" i="2" a="1"/>
  <c r="BC126" i="2" s="1"/>
  <c r="BC58" i="2" a="1"/>
  <c r="BC58" i="2" s="1"/>
  <c r="FR203" i="2"/>
  <c r="BC38" i="2" a="1"/>
  <c r="BC38" i="2" s="1"/>
  <c r="BC185" i="2" a="1"/>
  <c r="BC185" i="2" s="1"/>
  <c r="BC32" i="2" a="1"/>
  <c r="BC32" i="2" s="1"/>
  <c r="BC130" i="2" a="1"/>
  <c r="BC130" i="2" s="1"/>
  <c r="FY121" i="2" a="1"/>
  <c r="FY121" i="2" s="1"/>
  <c r="DN114" i="2" a="1"/>
  <c r="DN114" i="2" s="1"/>
  <c r="DN150" i="2" a="1"/>
  <c r="DN150" i="2" s="1"/>
  <c r="DN86" i="2" a="1"/>
  <c r="DN86" i="2" s="1"/>
  <c r="DN170" i="2" a="1"/>
  <c r="DN170" i="2" s="1"/>
  <c r="DN25" i="2" a="1"/>
  <c r="DN25" i="2" s="1"/>
  <c r="DN41" i="2" a="1"/>
  <c r="DN41" i="2" s="1"/>
  <c r="DN124" i="2" a="1"/>
  <c r="DN124" i="2" s="1"/>
  <c r="EI178" i="2" a="1"/>
  <c r="EI178" i="2" s="1"/>
  <c r="EI29" i="2" a="1"/>
  <c r="EI29" i="2" s="1"/>
  <c r="EI198" i="2" a="1"/>
  <c r="EI198" i="2" s="1"/>
  <c r="BC181" i="2" a="1"/>
  <c r="BC181" i="2" s="1"/>
  <c r="BC82" i="2" a="1"/>
  <c r="BC82" i="2" s="1"/>
  <c r="BC34" i="2" a="1"/>
  <c r="BC34" i="2" s="1"/>
  <c r="FY111" i="2" a="1"/>
  <c r="FY111" i="2" s="1"/>
  <c r="GT107" i="2" a="1"/>
  <c r="GT107" i="2" s="1"/>
  <c r="GT198" i="2" a="1"/>
  <c r="GT198" i="2" s="1"/>
  <c r="GT115" i="2" a="1"/>
  <c r="GT115" i="2" s="1"/>
  <c r="GT190" i="2" a="1"/>
  <c r="GT190" i="2" s="1"/>
  <c r="GT12" i="2" a="1"/>
  <c r="GT12" i="2" s="1"/>
  <c r="GT11" i="2" a="1"/>
  <c r="GT11" i="2" s="1"/>
  <c r="GT38" i="2" a="1"/>
  <c r="GT38" i="2" s="1"/>
  <c r="GT33" i="2" a="1"/>
  <c r="GT33" i="2" s="1"/>
  <c r="BX107" i="2" a="1"/>
  <c r="BX107" i="2" s="1"/>
  <c r="CS24" i="2" a="1"/>
  <c r="CS24" i="2" s="1"/>
  <c r="CS56" i="2" a="1"/>
  <c r="CS56" i="2" s="1"/>
  <c r="FD19" i="2" a="1"/>
  <c r="FD19" i="2" s="1"/>
  <c r="FD167" i="2" a="1"/>
  <c r="FD167" i="2" s="1"/>
  <c r="FD48" i="2" a="1"/>
  <c r="FD48" i="2" s="1"/>
  <c r="FY167" i="2" a="1"/>
  <c r="FY167" i="2" s="1"/>
  <c r="FY196" i="2" a="1"/>
  <c r="FY196" i="2" s="1"/>
  <c r="CS38" i="2" a="1"/>
  <c r="CS38" i="2" s="1"/>
  <c r="AH90" i="2" a="1"/>
  <c r="AH90" i="2" s="1"/>
  <c r="AH151" i="2" a="1"/>
  <c r="AH151" i="2" s="1"/>
  <c r="CS116" i="2" a="1"/>
  <c r="CS116" i="2" s="1"/>
  <c r="FY104" i="2" a="1"/>
  <c r="FY104" i="2" s="1"/>
  <c r="FY190" i="2" a="1"/>
  <c r="FY190" i="2" s="1"/>
  <c r="FY78" i="2" a="1"/>
  <c r="FY78" i="2" s="1"/>
  <c r="FY186" i="2" a="1"/>
  <c r="FY186" i="2" s="1"/>
  <c r="FY69" i="2" a="1"/>
  <c r="FY69" i="2" s="1"/>
  <c r="FY35" i="2" a="1"/>
  <c r="FY35" i="2" s="1"/>
  <c r="HG203" i="2"/>
  <c r="FD160" i="2" a="1"/>
  <c r="FD160" i="2" s="1"/>
  <c r="FD43" i="2" a="1"/>
  <c r="FD43" i="2" s="1"/>
  <c r="FD44" i="2" a="1"/>
  <c r="FD44" i="2" s="1"/>
  <c r="FY142" i="2" a="1"/>
  <c r="FY142" i="2" s="1"/>
  <c r="FY182" i="2" a="1"/>
  <c r="FY182" i="2" s="1"/>
  <c r="CS105" i="2" a="1"/>
  <c r="CS105" i="2" s="1"/>
  <c r="CS77" i="2" a="1"/>
  <c r="CS77" i="2" s="1"/>
  <c r="CS137" i="2" a="1"/>
  <c r="CS137" i="2" s="1"/>
  <c r="CS129" i="2" a="1"/>
  <c r="CS129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22" i="2" a="1"/>
  <c r="FY22" i="2" s="1"/>
  <c r="CS72" i="2" a="1"/>
  <c r="CS72" i="2" s="1"/>
  <c r="CS185" i="2" a="1"/>
  <c r="CS185" i="2" s="1"/>
  <c r="FD159" i="2" a="1"/>
  <c r="FD159" i="2" s="1"/>
  <c r="FD64" i="2" a="1"/>
  <c r="FD64" i="2" s="1"/>
  <c r="FD188" i="2" a="1"/>
  <c r="FD188" i="2" s="1"/>
  <c r="FY30" i="2" a="1"/>
  <c r="FY30" i="2" s="1"/>
  <c r="FY115" i="2" a="1"/>
  <c r="FY115" i="2" s="1"/>
  <c r="AH62" i="2" a="1"/>
  <c r="AH6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50" i="2" a="1"/>
  <c r="FY50" i="2" s="1"/>
  <c r="GT138" i="2" a="1"/>
  <c r="GT138" i="2" s="1"/>
  <c r="GT191" i="2" a="1"/>
  <c r="GT191" i="2" s="1"/>
  <c r="GT178" i="2" a="1"/>
  <c r="GT178" i="2" s="1"/>
  <c r="GT102" i="2" a="1"/>
  <c r="GT102" i="2" s="1"/>
  <c r="GT68" i="2" a="1"/>
  <c r="GT68" i="2" s="1"/>
  <c r="GT174" i="2" a="1"/>
  <c r="GT174" i="2" s="1"/>
  <c r="GT126" i="2" a="1"/>
  <c r="GT126" i="2" s="1"/>
  <c r="GT21" i="2" a="1"/>
  <c r="GT21" i="2" s="1"/>
  <c r="GT133" i="2" a="1"/>
  <c r="GT133" i="2" s="1"/>
  <c r="FY165" i="2" a="1"/>
  <c r="FY165" i="2" s="1"/>
  <c r="FY90" i="2" a="1"/>
  <c r="FY90" i="2" s="1"/>
  <c r="FY109" i="2" a="1"/>
  <c r="FY109" i="2" s="1"/>
  <c r="CS161" i="2" a="1"/>
  <c r="CS161" i="2" s="1"/>
  <c r="AH166" i="2" a="1"/>
  <c r="AH166" i="2" s="1"/>
  <c r="CS52" i="2" a="1"/>
  <c r="CS52" i="2" s="1"/>
  <c r="GT147" i="2" a="1"/>
  <c r="GT147" i="2" s="1"/>
  <c r="GT121" i="2" a="1"/>
  <c r="GT121" i="2" s="1"/>
  <c r="GT181" i="2" a="1"/>
  <c r="GT181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GT189" i="2" a="1"/>
  <c r="GT189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GT152" i="2" a="1"/>
  <c r="GT152" i="2" s="1"/>
  <c r="GT122" i="2" a="1"/>
  <c r="GT122" i="2" s="1"/>
  <c r="GT184" i="2" a="1"/>
  <c r="GT184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<sst xmlns="http://schemas.openxmlformats.org/spreadsheetml/2006/main" count="1171" uniqueCount="325">
  <si>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</si>
  <si>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</si>
  <si>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</si>
  <si>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</si>
  <si>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</si>
  <si>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</si>
  <si>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</si>
  <si>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</si>
  <si>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</si>
  <si>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</si>
  <si>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</si>
  <si>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</si>
  <si>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</si>
  <si>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</si>
  <si>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</si>
  <si>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</si>
  <si>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</si>
  <si>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</si>
  <si>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</si>
  <si>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</si>
  <si>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</si>
  <si>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</si>
  <si>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</si>
  <si>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</si>
  <si>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</si>
  <si>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</si>
  <si>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</si>
  <si>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</si>
  <si>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</si>
  <si>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</si>
  <si>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</si>
  <si>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</si>
  <si>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</si>
  <si>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</si>
  <si>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</si>
  <si>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</si>
  <si>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</si>
  <si>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</si>
  <si>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</si>
  <si>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</si>
  <si>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</si>
  <si>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</si>
  <si>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</si>
  <si>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</si>
  <si>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</si>
  <si>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</si>
  <si>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</si>
  <si>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</si>
  <si>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</si>
  <si>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</si>
  <si>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</si>
  <si>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</si>
  <si>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</si>
  <si>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</si>
  <si>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</si>
  <si>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</si>
  <si>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</si>
  <si>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</si>
  <si>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</si>
  <si>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</si>
  <si>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</si>
  <si>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</si>
  <si>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</si>
  <si>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</si>
  <si>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</si>
  <si>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</si>
  <si>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</si>
  <si>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</si>
  <si>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</si>
  <si>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</si>
  <si>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</si>
  <si>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</si>
  <si>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</si>
  <si>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</si>
  <si>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</si>
  <si>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</si>
  <si>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</si>
  <si>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</si>
  <si>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</si>
  <si>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</si>
  <si>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</si>
  <si>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</si>
  <si>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</si>
  <si>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</si>
  <si>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</si>
  <si>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</si>
  <si>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</si>
  <si>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</si>
  <si>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</si>
  <si>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</si>
  <si>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</si>
  <si>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</si>
  <si>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</si>
  <si>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</si>
  <si>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</si>
  <si>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</si>
  <si>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</si>
  <si>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</si>
  <si>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</si>
  <si>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</si>
  <si>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</si>
  <si>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</si>
  <si>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</si>
  <si>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</si>
  <si>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</si>
  <si>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</si>
  <si>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</si>
  <si>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</si>
  <si>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</si>
  <si>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</si>
  <si>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</si>
  <si>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</si>
  <si>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</si>
  <si>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</si>
  <si>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</si>
  <si>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</si>
  <si>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</si>
  <si>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</si>
  <si>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</si>
  <si>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</si>
  <si>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</si>
  <si>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</si>
  <si>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</si>
  <si>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</si>
  <si>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</si>
  <si>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</si>
  <si>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</si>
  <si>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</si>
  <si>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</si>
  <si>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</si>
  <si>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</si>
  <si>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</si>
  <si>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</si>
  <si>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</si>
  <si>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</si>
  <si>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</si>
  <si>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</si>
  <si>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</si>
  <si>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</si>
  <si>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</si>
  <si>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</si>
  <si>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</si>
  <si>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</si>
  <si>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</si>
  <si>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</si>
  <si>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</si>
  <si>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</si>
  <si>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</si>
  <si>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</si>
  <si>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</si>
  <si>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</si>
  <si>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</si>
  <si>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</si>
  <si>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</si>
  <si>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</si>
  <si>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</si>
  <si>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</si>
  <si>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</si>
  <si>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</si>
  <si>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</si>
  <si>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</si>
  <si>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</si>
  <si>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</si>
  <si>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</si>
  <si>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</si>
  <si>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</si>
  <si>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</si>
  <si>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</si>
  <si>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</si>
  <si>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</si>
  <si>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</si>
  <si>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</si>
  <si>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</si>
  <si>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</si>
  <si>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</si>
  <si>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</si>
  <si>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</si>
  <si>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</si>
  <si>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</si>
  <si>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</si>
  <si>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</si>
  <si>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</si>
  <si>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</si>
  <si>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</si>
  <si>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</si>
  <si>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</si>
  <si>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</si>
  <si>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</si>
  <si>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</si>
  <si>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</si>
  <si>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</si>
  <si>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</si>
  <si>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</si>
  <si>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</si>
  <si>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</si>
  <si>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</si>
  <si>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</si>
  <si>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</si>
  <si>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</si>
  <si>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</si>
  <si>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</si>
  <si>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</si>
  <si>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</si>
  <si>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</si>
  <si>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</si>
  <si>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</si>
  <si>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</si>
  <si>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</si>
  <si>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</si>
  <si>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</si>
  <si>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</si>
  <si>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</si>
  <si>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</si>
  <si>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</si>
  <si>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</si>
  <si>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</si>
  <si>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</si>
  <si>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</si>
  <si>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</si>
  <si>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</si>
  <si>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</si>
  <si>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</si>
  <si>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</si>
  <si>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</si>
  <si>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</si>
  <si>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</si>
  <si>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</si>
  <si>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</si>
  <si>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</si>
  <si>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</si>
  <si>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</si>
  <si>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</si>
  <si>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</si>
  <si>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</si>
  <si>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</si>
  <si>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</si>
  <si>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</si>
  <si>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</si>
  <si>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</si>
  <si>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</si>
  <si>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</si>
  <si>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</si>
  <si>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</si>
  <si>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</si>
  <si>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</si>
  <si>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</si>
  <si>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</si>
  <si>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</si>
  <si>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</si>
  <si>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</si>
  <si>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</si>
  <si>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</si>
  <si>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</si>
  <si>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</si>
  <si>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</si>
  <si>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</si>
  <si>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</si>
  <si>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</si>
  <si>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</si>
  <si>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</si>
  <si>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</si>
  <si>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</si>
  <si>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</si>
  <si>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</si>
  <si>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</si>
  <si>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</si>
  <si>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</si>
  <si>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</si>
  <si>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</si>
  <si>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</si>
  <si>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</si>
  <si>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</si>
  <si>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</si>
  <si>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</si>
  <si>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</si>
  <si>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</si>
  <si>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</si>
  <si>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</si>
  <si>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</si>
  <si>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</si>
  <si>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</si>
  <si>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</si>
  <si>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</si>
  <si>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</si>
  <si>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</si>
  <si>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</si>
  <si>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</si>
  <si>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</si>
  <si>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</si>
  <si>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</si>
  <si>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</si>
  <si>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</si>
  <si>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</si>
  <si>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</si>
  <si>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</si>
  <si>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</si>
  <si>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</si>
  <si>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</si>
  <si>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</si>
  <si>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</si>
  <si>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</si>
  <si>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</si>
  <si>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</si>
  <si>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</si>
  <si>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</si>
  <si>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</si>
  <si>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</si>
  <si>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</si>
  <si>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</si>
  <si>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</si>
  <si>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</si>
  <si>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</si>
  <si>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</si>
  <si>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</si>
  <si>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</si>
  <si>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</si>
  <si>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</si>
  <si>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</si>
  <si>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</si>
  <si>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</si>
  <si>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</si>
  <si>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</si>
  <si>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</si>
  <si>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</si>
  <si>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2 AFB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</si>
</sst>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167" zoomScaleNormal="80" workbookViewId="0">
      <selection activeCell="E36" sqref="E36:H39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8.36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8.36</v>
      </c>
      <c r="E9" s="34">
        <v>34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>C12*$C$5</f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>C13*$C$5</f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8.36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13</v>
      </c>
      <c r="B36" s="60">
        <v>101</v>
      </c>
      <c r="C36" s="60">
        <v>1</v>
      </c>
      <c r="D36" s="60">
        <v>28</v>
      </c>
      <c r="E36" s="51"/>
      <c r="F36" s="51">
        <v>0.5</v>
      </c>
      <c r="G36" s="51"/>
      <c r="H36" s="51">
        <v>0.5</v>
      </c>
      <c r="I36" s="49">
        <f>IFERROR(B36/A36,"")</f>
        <v>7.7692307692307692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18</v>
      </c>
      <c r="B37" s="60">
        <v>166</v>
      </c>
      <c r="C37" s="60">
        <v>2</v>
      </c>
      <c r="D37" s="60">
        <v>40</v>
      </c>
      <c r="E37" s="51">
        <v>0.25</v>
      </c>
      <c r="F37" s="51">
        <v>0.5</v>
      </c>
      <c r="G37" s="51"/>
      <c r="H37" s="51">
        <v>0.25</v>
      </c>
      <c r="I37" s="53">
        <f t="shared" ref="I37:I55" si="1">IF(A37&lt;&gt;0,(B37-(B36-D36))/(A37-A36),"")</f>
        <v>18.600000000000001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23</v>
      </c>
      <c r="B38" s="60">
        <v>215</v>
      </c>
      <c r="C38" s="60">
        <v>3</v>
      </c>
      <c r="D38" s="60">
        <v>52</v>
      </c>
      <c r="E38" s="51">
        <v>0.6</v>
      </c>
      <c r="F38" s="51">
        <v>0.2</v>
      </c>
      <c r="G38" s="51"/>
      <c r="H38" s="51">
        <v>0.2</v>
      </c>
      <c r="I38" s="53">
        <f t="shared" si="1"/>
        <v>17.8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34</v>
      </c>
      <c r="B39" s="60">
        <v>325</v>
      </c>
      <c r="C39" s="60">
        <v>4</v>
      </c>
      <c r="D39" s="60">
        <v>325</v>
      </c>
      <c r="E39" s="51">
        <v>0.8</v>
      </c>
      <c r="F39" s="51">
        <v>0.1</v>
      </c>
      <c r="G39" s="51"/>
      <c r="H39" s="51">
        <v>0.1</v>
      </c>
      <c r="I39" s="49">
        <f t="shared" si="1"/>
        <v>14.727272727272727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173.43838269633449</v>
      </c>
      <c r="T3" s="59">
        <f>IF('Données projet'!E9&gt;30,$R$33-$H$33,LOOKUP('Données projet'!$E$9,$A$3:$A$203,R3:R203)-LOOKUP('Données projet'!$E$9,$A$3:$A$203,$H$3:$H$203))</f>
        <v>346.57067290129595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7.7692307692307692</v>
      </c>
      <c r="N4" s="13">
        <f>IF('Données projet'!$A$36&gt;35,N3+M4-V3,IF(A4&lt;'Données projet'!$A$36,$K$205^A4,IF(A4='Données projet'!$A$36,'Données projet'!$B$36,N3+M4-V3)))</f>
        <v>1.4261938757879591</v>
      </c>
      <c r="O4" s="13">
        <f>N4*VLOOKUP('Données projet'!$B$9,Paramètres!$A$1:$I$89,3,0)*VLOOKUP('Données projet'!$B$9,Paramètres!$A$1:$I$89,5,0)</f>
        <v>0.85286393772119951</v>
      </c>
      <c r="P4" s="13">
        <f>EXP(-1.0587+0.8836*LN(O4)+0.284)</f>
        <v>0.40038464441801103</v>
      </c>
      <c r="Q4" s="20">
        <f t="shared" ref="Q4:Q34" si="2">(O4+P4)*0.475*44/12</f>
        <v>2.1827412805591249</v>
      </c>
      <c r="R4" s="59">
        <f t="shared" si="0"/>
        <v>260.07163016944799</v>
      </c>
      <c r="S4" s="59">
        <f ca="1">AVERAGE(OFFSET($R$3,0,0,'Données projet'!$E$9+1,1))-AVERAGE(OFFSET($H$3,0,0,'Données projet'!$E$9+1,1))</f>
        <v>173.43838269633449</v>
      </c>
      <c r="T4" s="59">
        <f>$T$3</f>
        <v>346.57067290129595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7.7692307692307692</v>
      </c>
      <c r="N5" s="13">
        <f>IF('Données projet'!$A$36&gt;35,N4+M5-V4,IF(A5&lt;'Données projet'!$A$36,$K$205^A5,IF(A5='Données projet'!$A$36,'Données projet'!$B$36,N4+M5-V4)))</f>
        <v>2.0340289713350805</v>
      </c>
      <c r="O5" s="13">
        <f>N5*VLOOKUP('Données projet'!$B$9,Paramètres!$A$1:$I$89,3,0)*VLOOKUP('Données projet'!$B$9,Paramètres!$A$1:$I$89,5,0)</f>
        <v>1.2163493248583781</v>
      </c>
      <c r="P5" s="13">
        <f t="shared" ref="P5:P68" si="33">EXP(-1.0587+0.8836*LN(O5)+0.284)</f>
        <v>0.54791046443869817</v>
      </c>
      <c r="Q5" s="20">
        <f t="shared" si="2"/>
        <v>3.072752466359074</v>
      </c>
      <c r="R5" s="59">
        <f t="shared" si="0"/>
        <v>262.18386357747022</v>
      </c>
      <c r="S5" s="59">
        <f ca="1">AVERAGE(OFFSET($R$3,0,0,'Données projet'!$E$9+1,1))-AVERAGE(OFFSET($H$3,0,0,'Données projet'!$E$9+1,1))</f>
        <v>173.43838269633449</v>
      </c>
      <c r="T5" s="59">
        <f t="shared" ref="T5:T68" si="34">$T$3</f>
        <v>346.57067290129595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7.7692307692307692</v>
      </c>
      <c r="N6" s="13">
        <f>IF('Données projet'!$A$36&gt;35,N5+M6-V5,IF(A6&lt;'Données projet'!$A$36,$K$205^A6,IF(A6='Données projet'!$A$36,'Données projet'!$B$36,N5+M6-V5)))</f>
        <v>2.9009196620933739</v>
      </c>
      <c r="O6" s="13">
        <f>N6*VLOOKUP('Données projet'!$B$9,Paramètres!$A$1:$I$89,3,0)*VLOOKUP('Données projet'!$B$9,Paramètres!$A$1:$I$89,5,0)</f>
        <v>1.7347499579318377</v>
      </c>
      <c r="P6" s="13">
        <f t="shared" si="33"/>
        <v>0.74979368271678282</v>
      </c>
      <c r="Q6" s="20">
        <f t="shared" si="2"/>
        <v>4.3272468407963478</v>
      </c>
      <c r="R6" s="59">
        <f t="shared" si="0"/>
        <v>264.66058017412968</v>
      </c>
      <c r="S6" s="59">
        <f ca="1">AVERAGE(OFFSET($R$3,0,0,'Données projet'!$E$9+1,1))-AVERAGE(OFFSET($H$3,0,0,'Données projet'!$E$9+1,1))</f>
        <v>173.43838269633449</v>
      </c>
      <c r="T6" s="59">
        <f t="shared" si="34"/>
        <v>346.57067290129595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7.7692307692307692</v>
      </c>
      <c r="N7" s="13">
        <f>IF('Données projet'!$A$36&gt;35,N6+M7-V6,IF(A7&lt;'Données projet'!$A$36,$K$205^A7,IF(A7='Données projet'!$A$36,'Données projet'!$B$36,N6+M7-V6)))</f>
        <v>4.1372738562304461</v>
      </c>
      <c r="O7" s="13">
        <f>N7*VLOOKUP('Données projet'!$B$9,Paramètres!$A$1:$I$89,3,0)*VLOOKUP('Données projet'!$B$9,Paramètres!$A$1:$I$89,5,0)</f>
        <v>2.474089766025807</v>
      </c>
      <c r="P7" s="13">
        <f t="shared" si="33"/>
        <v>1.0260628389675426</v>
      </c>
      <c r="Q7" s="20">
        <f t="shared" si="2"/>
        <v>6.0960991203634167</v>
      </c>
      <c r="R7" s="59">
        <f t="shared" si="0"/>
        <v>267.65165467591896</v>
      </c>
      <c r="S7" s="59">
        <f ca="1">AVERAGE(OFFSET($R$3,0,0,'Données projet'!$E$9+1,1))-AVERAGE(OFFSET($H$3,0,0,'Données projet'!$E$9+1,1))</f>
        <v>173.43838269633449</v>
      </c>
      <c r="T7" s="59">
        <f t="shared" si="34"/>
        <v>346.57067290129595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7.7692307692307692</v>
      </c>
      <c r="N8" s="13">
        <f>IF('Données projet'!$A$36&gt;35,N7+M8-V7,IF(A8&lt;'Données projet'!$A$36,$K$205^A8,IF(A8='Données projet'!$A$36,'Données projet'!$B$36,N7+M8-V7)))</f>
        <v>5.9005546362134957</v>
      </c>
      <c r="O8" s="13">
        <f>N8*VLOOKUP('Données projet'!$B$9,Paramètres!$A$1:$I$89,3,0)*VLOOKUP('Données projet'!$B$9,Paramètres!$A$1:$I$89,5,0)</f>
        <v>3.5285316724556708</v>
      </c>
      <c r="P8" s="13">
        <f t="shared" si="33"/>
        <v>1.404126193348852</v>
      </c>
      <c r="Q8" s="20">
        <f t="shared" si="2"/>
        <v>8.5910457829428761</v>
      </c>
      <c r="R8" s="59">
        <f t="shared" si="0"/>
        <v>271.36882356072067</v>
      </c>
      <c r="S8" s="59">
        <f ca="1">AVERAGE(OFFSET($R$3,0,0,'Données projet'!$E$9+1,1))-AVERAGE(OFFSET($H$3,0,0,'Données projet'!$E$9+1,1))</f>
        <v>173.43838269633449</v>
      </c>
      <c r="T8" s="59">
        <f t="shared" si="34"/>
        <v>346.57067290129595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7.7692307692307692</v>
      </c>
      <c r="N9" s="13">
        <f>IF('Données projet'!$A$36&gt;35,N8+M9-V8,IF(A9&lt;'Données projet'!$A$36,$K$205^A9,IF(A9='Données projet'!$A$36,'Données projet'!$B$36,N8+M9-V8)))</f>
        <v>8.4153348859199362</v>
      </c>
      <c r="O9" s="13">
        <f>N9*VLOOKUP('Données projet'!$B$9,Paramètres!$A$1:$I$89,3,0)*VLOOKUP('Données projet'!$B$9,Paramètres!$A$1:$I$89,5,0)</f>
        <v>5.0323702617801223</v>
      </c>
      <c r="P9" s="13">
        <f t="shared" si="33"/>
        <v>1.9214908599868947</v>
      </c>
      <c r="Q9" s="20">
        <f t="shared" si="2"/>
        <v>12.111308120410888</v>
      </c>
      <c r="R9" s="59">
        <f t="shared" si="0"/>
        <v>276.11130812041091</v>
      </c>
      <c r="S9" s="59">
        <f ca="1">AVERAGE(OFFSET($R$3,0,0,'Données projet'!$E$9+1,1))-AVERAGE(OFFSET($H$3,0,0,'Données projet'!$E$9+1,1))</f>
        <v>173.43838269633449</v>
      </c>
      <c r="T9" s="59">
        <f t="shared" si="34"/>
        <v>346.57067290129595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7.7692307692307692</v>
      </c>
      <c r="N10" s="13">
        <f>IF('Données projet'!$A$36&gt;35,N9+M10-V9,IF(A10&lt;'Données projet'!$A$36,$K$205^A10,IF(A10='Données projet'!$A$36,'Données projet'!$B$36,N9+M10-V9)))</f>
        <v>12.001899077003776</v>
      </c>
      <c r="O10" s="13">
        <f>N10*VLOOKUP('Données projet'!$B$9,Paramètres!$A$1:$I$89,3,0)*VLOOKUP('Données projet'!$B$9,Paramètres!$A$1:$I$89,5,0)</f>
        <v>7.1771356480482584</v>
      </c>
      <c r="P10" s="13">
        <f t="shared" si="33"/>
        <v>2.6294838330787229</v>
      </c>
      <c r="Q10" s="20">
        <f t="shared" si="2"/>
        <v>17.079862262962827</v>
      </c>
      <c r="R10" s="59">
        <f t="shared" si="0"/>
        <v>282.30208448518505</v>
      </c>
      <c r="S10" s="59">
        <f ca="1">AVERAGE(OFFSET($R$3,0,0,'Données projet'!$E$9+1,1))-AVERAGE(OFFSET($H$3,0,0,'Données projet'!$E$9+1,1))</f>
        <v>173.43838269633449</v>
      </c>
      <c r="T10" s="59">
        <f t="shared" si="34"/>
        <v>346.57067290129595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7.7692307692307692</v>
      </c>
      <c r="N11" s="13">
        <f>IF('Données projet'!$A$36&gt;35,N10+M11-V10,IF(A11&lt;'Données projet'!$A$36,$K$205^A11,IF(A11='Données projet'!$A$36,'Données projet'!$B$36,N10+M11-V10)))</f>
        <v>17.117034961447946</v>
      </c>
      <c r="O11" s="13">
        <f>N11*VLOOKUP('Données projet'!$B$9,Paramètres!$A$1:$I$89,3,0)*VLOOKUP('Données projet'!$B$9,Paramètres!$A$1:$I$89,5,0)</f>
        <v>10.235986906945872</v>
      </c>
      <c r="P11" s="13">
        <f t="shared" si="33"/>
        <v>3.5983440631455994</v>
      </c>
      <c r="Q11" s="20">
        <f t="shared" si="2"/>
        <v>24.094793106242644</v>
      </c>
      <c r="R11" s="59">
        <f t="shared" si="0"/>
        <v>290.53923755068712</v>
      </c>
      <c r="S11" s="59">
        <f ca="1">AVERAGE(OFFSET($R$3,0,0,'Données projet'!$E$9+1,1))-AVERAGE(OFFSET($H$3,0,0,'Données projet'!$E$9+1,1))</f>
        <v>173.43838269633449</v>
      </c>
      <c r="T11" s="59">
        <f t="shared" si="34"/>
        <v>346.57067290129595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7.7692307692307692</v>
      </c>
      <c r="N12" s="13">
        <f>IF('Données projet'!$A$36&gt;35,N11+M12-V11,IF(A12&lt;'Données projet'!$A$36,$K$205^A12,IF(A12='Données projet'!$A$36,'Données projet'!$B$36,N11+M12-V11)))</f>
        <v>24.412210433665443</v>
      </c>
      <c r="O12" s="13">
        <f>N12*VLOOKUP('Données projet'!$B$9,Paramètres!$A$1:$I$89,3,0)*VLOOKUP('Données projet'!$B$9,Paramètres!$A$1:$I$89,5,0)</f>
        <v>14.598501839331936</v>
      </c>
      <c r="P12" s="13">
        <f t="shared" si="33"/>
        <v>4.9241907608973428</v>
      </c>
      <c r="Q12" s="20">
        <f t="shared" si="2"/>
        <v>34.002022945399325</v>
      </c>
      <c r="R12" s="59">
        <f t="shared" si="0"/>
        <v>301.66868961206603</v>
      </c>
      <c r="S12" s="59">
        <f ca="1">AVERAGE(OFFSET($R$3,0,0,'Données projet'!$E$9+1,1))-AVERAGE(OFFSET($H$3,0,0,'Données projet'!$E$9+1,1))</f>
        <v>173.43838269633449</v>
      </c>
      <c r="T12" s="59">
        <f t="shared" si="34"/>
        <v>346.57067290129595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7.7692307692307692</v>
      </c>
      <c r="N13" s="13">
        <f>IF('Données projet'!$A$36&gt;35,N12+M13-V12,IF(A13&lt;'Données projet'!$A$36,$K$205^A13,IF(A13='Données projet'!$A$36,'Données projet'!$B$36,N12+M13-V12)))</f>
        <v>34.816545014940573</v>
      </c>
      <c r="O13" s="13">
        <f>N13*VLOOKUP('Données projet'!$B$9,Paramètres!$A$1:$I$89,3,0)*VLOOKUP('Données projet'!$B$9,Paramètres!$A$1:$I$89,5,0)</f>
        <v>20.820293918934464</v>
      </c>
      <c r="P13" s="13">
        <f t="shared" si="33"/>
        <v>6.7385592439734481</v>
      </c>
      <c r="Q13" s="20">
        <f t="shared" si="2"/>
        <v>47.998335925397946</v>
      </c>
      <c r="R13" s="59">
        <f t="shared" si="0"/>
        <v>316.88722481428681</v>
      </c>
      <c r="S13" s="59">
        <f ca="1">AVERAGE(OFFSET($R$3,0,0,'Données projet'!$E$9+1,1))-AVERAGE(OFFSET($H$3,0,0,'Données projet'!$E$9+1,1))</f>
        <v>173.43838269633449</v>
      </c>
      <c r="T13" s="59">
        <f t="shared" si="34"/>
        <v>346.57067290129595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7.7692307692307692</v>
      </c>
      <c r="N14" s="13">
        <f>IF('Données projet'!$A$36&gt;35,N13+M14-V13,IF(A14&lt;'Données projet'!$A$36,$K$205^A14,IF(A14='Données projet'!$A$36,'Données projet'!$B$36,N13+M14-V13)))</f>
        <v>49.65514327640404</v>
      </c>
      <c r="O14" s="13">
        <f>N14*VLOOKUP('Données projet'!$B$9,Paramètres!$A$1:$I$89,3,0)*VLOOKUP('Données projet'!$B$9,Paramètres!$A$1:$I$89,5,0)</f>
        <v>29.693775679289619</v>
      </c>
      <c r="P14" s="13">
        <f t="shared" si="33"/>
        <v>9.2214503640117265</v>
      </c>
      <c r="Q14" s="20">
        <f t="shared" si="2"/>
        <v>67.777352025416505</v>
      </c>
      <c r="R14" s="59">
        <f t="shared" si="0"/>
        <v>337.88846313652766</v>
      </c>
      <c r="S14" s="59">
        <f ca="1">AVERAGE(OFFSET($R$3,0,0,'Données projet'!$E$9+1,1))-AVERAGE(OFFSET($H$3,0,0,'Données projet'!$E$9+1,1))</f>
        <v>173.43838269633449</v>
      </c>
      <c r="T14" s="59">
        <f t="shared" si="34"/>
        <v>346.57067290129595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7.7692307692307692</v>
      </c>
      <c r="N15" s="13">
        <f>IF('Données projet'!$A$36&gt;35,N14+M15-V14,IF(A15&lt;'Données projet'!$A$36,$K$205^A15,IF(A15='Données projet'!$A$36,'Données projet'!$B$36,N14+M15-V14)))</f>
        <v>70.81786124218111</v>
      </c>
      <c r="O15" s="13">
        <f>N15*VLOOKUP('Données projet'!$B$9,Paramètres!$A$1:$I$89,3,0)*VLOOKUP('Données projet'!$B$9,Paramètres!$A$1:$I$89,5,0)</f>
        <v>42.349081022824308</v>
      </c>
      <c r="P15" s="13">
        <f t="shared" si="33"/>
        <v>12.61918812867636</v>
      </c>
      <c r="Q15" s="20">
        <f t="shared" si="2"/>
        <v>95.736402105530317</v>
      </c>
      <c r="R15" s="59">
        <f t="shared" si="0"/>
        <v>367.06973543886363</v>
      </c>
      <c r="S15" s="59">
        <f ca="1">AVERAGE(OFFSET($R$3,0,0,'Données projet'!$E$9+1,1))-AVERAGE(OFFSET($H$3,0,0,'Données projet'!$E$9+1,1))</f>
        <v>173.43838269633449</v>
      </c>
      <c r="T15" s="59">
        <f t="shared" si="34"/>
        <v>346.57067290129595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101</v>
      </c>
      <c r="L16" s="12">
        <f>VLOOKUP(A16,'Données projet'!$A$35:$I$55,9,0)</f>
        <v>7.7692307692307692</v>
      </c>
      <c r="M16" s="12">
        <f t="array" ref="M16">INDEX(L:L,MIN(IF(ISNUMBER(L16:L212),ROW(L16:L212),"")))</f>
        <v>7.7692307692307692</v>
      </c>
      <c r="N16" s="13">
        <f>IF('Données projet'!$A$36&gt;35,N15+M16-V15,IF(A16&lt;'Données projet'!$A$36,$K$205^A16,IF(A16='Données projet'!$A$36,'Données projet'!$B$36,N15+M16-V15)))</f>
        <v>101</v>
      </c>
      <c r="O16" s="13">
        <f>N16*VLOOKUP('Données projet'!$B$9,Paramètres!$A$1:$I$89,3,0)*VLOOKUP('Données projet'!$B$9,Paramètres!$A$1:$I$89,5,0)</f>
        <v>60.398000000000003</v>
      </c>
      <c r="P16" s="13">
        <f t="shared" si="33"/>
        <v>17.26885714728807</v>
      </c>
      <c r="Q16" s="20">
        <f t="shared" si="2"/>
        <v>135.26977619819337</v>
      </c>
      <c r="R16" s="59">
        <f t="shared" si="0"/>
        <v>407.82533175374891</v>
      </c>
      <c r="S16" s="59">
        <f ca="1">AVERAGE(OFFSET($R$3,0,0,'Données projet'!$E$9+1,1))-AVERAGE(OFFSET($H$3,0,0,'Données projet'!$E$9+1,1))</f>
        <v>173.43838269633449</v>
      </c>
      <c r="T16" s="59">
        <f t="shared" si="34"/>
        <v>346.57067290129595</v>
      </c>
      <c r="U16" s="15">
        <f>IF(ISNA(VLOOKUP(A16,'Données projet'!$A$35:$I$55,3,0)),0,VLOOKUP(A16,'Données projet'!$A$35:$I$55,3,0))</f>
        <v>1</v>
      </c>
      <c r="V16" s="15">
        <f>IF(ISNA(VLOOKUP(A16,'Données projet'!$A$35:$I$55,4,0)),0,VLOOKUP(A16,'Données projet'!$A$35:$I$55,4,0))</f>
        <v>28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0.22500000000000001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4.978021084465202</v>
      </c>
      <c r="AB16" s="21">
        <f>EXP(-LN(2)/2)*AB15+(1-EXP(-LN(2)/2))/(LN(2)/2)*V16*Y16*VLOOKUP('Données projet'!$B$9,Paramètres!$A$1:$I$89,3,0)*0.475*44/12</f>
        <v>0</v>
      </c>
      <c r="AC16" s="22">
        <f t="shared" si="3"/>
        <v>4.978021084465202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18.600000000000001</v>
      </c>
      <c r="N17" s="13">
        <f>IF('Données projet'!$A$36&gt;35,N16+M17-V16,IF(A17&lt;'Données projet'!$A$36,$K$205^A17,IF(A17='Données projet'!$A$36,'Données projet'!$B$36,N16+M17-V16)))</f>
        <v>91.6</v>
      </c>
      <c r="O17" s="13">
        <f>N17*VLOOKUP('Données projet'!$B$9,Paramètres!$A$1:$I$89,3,0)*VLOOKUP('Données projet'!$B$9,Paramètres!$A$1:$I$89,5,0)</f>
        <v>54.776799999999994</v>
      </c>
      <c r="P17" s="13">
        <f t="shared" si="33"/>
        <v>15.840762095818524</v>
      </c>
      <c r="Q17" s="20">
        <f t="shared" si="2"/>
        <v>122.99225398355058</v>
      </c>
      <c r="R17" s="59">
        <f t="shared" si="0"/>
        <v>396.77003176132837</v>
      </c>
      <c r="S17" s="59">
        <f ca="1">AVERAGE(OFFSET($R$3,0,0,'Données projet'!$E$9+1,1))-AVERAGE(OFFSET($H$3,0,0,'Données projet'!$E$9+1,1))</f>
        <v>173.43838269633449</v>
      </c>
      <c r="T17" s="59">
        <f t="shared" si="34"/>
        <v>346.57067290129595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4.8418968361277495</v>
      </c>
      <c r="AB17" s="21">
        <f>EXP(-LN(2)/2)*AB16+(1-EXP(-LN(2)/2))/(LN(2)/2)*V17*Y17*VLOOKUP('Données projet'!$B$9,Paramètres!$A$1:$I$89,3,0)*0.475*44/12</f>
        <v>0</v>
      </c>
      <c r="AC17" s="22">
        <f t="shared" si="3"/>
        <v>4.8418968361277495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18.600000000000001</v>
      </c>
      <c r="N18" s="13">
        <f>IF('Données projet'!$A$36&gt;35,N17+M18-V17,IF(A18&lt;'Données projet'!$A$36,$K$205^A18,IF(A18='Données projet'!$A$36,'Données projet'!$B$36,N17+M18-V17)))</f>
        <v>110.19999999999999</v>
      </c>
      <c r="O18" s="13">
        <f>N18*VLOOKUP('Données projet'!$B$9,Paramètres!$A$1:$I$89,3,0)*VLOOKUP('Données projet'!$B$9,Paramètres!$A$1:$I$89,5,0)</f>
        <v>65.899600000000007</v>
      </c>
      <c r="P18" s="13">
        <f t="shared" si="33"/>
        <v>18.651634138580526</v>
      </c>
      <c r="Q18" s="20">
        <f t="shared" si="2"/>
        <v>147.26006612469442</v>
      </c>
      <c r="R18" s="59">
        <f t="shared" si="0"/>
        <v>422.26006612469439</v>
      </c>
      <c r="S18" s="59">
        <f ca="1">AVERAGE(OFFSET($R$3,0,0,'Données projet'!$E$9+1,1))-AVERAGE(OFFSET($H$3,0,0,'Données projet'!$E$9+1,1))</f>
        <v>173.43838269633449</v>
      </c>
      <c r="T18" s="59">
        <f t="shared" si="34"/>
        <v>346.57067290129595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4.7094949125195482</v>
      </c>
      <c r="AB18" s="21">
        <f>EXP(-LN(2)/2)*AB17+(1-EXP(-LN(2)/2))/(LN(2)/2)*V18*Y18*VLOOKUP('Données projet'!$B$9,Paramètres!$A$1:$I$89,3,0)*0.475*44/12</f>
        <v>0</v>
      </c>
      <c r="AC18" s="22">
        <f t="shared" si="3"/>
        <v>4.7094949125195482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18.600000000000001</v>
      </c>
      <c r="N19" s="13">
        <f>IF('Données projet'!$A$36&gt;35,N18+M19-V18,IF(A19&lt;'Données projet'!$A$36,$K$205^A19,IF(A19='Données projet'!$A$36,'Données projet'!$B$36,N18+M19-V18)))</f>
        <v>128.79999999999998</v>
      </c>
      <c r="O19" s="13">
        <f>N19*VLOOKUP('Données projet'!$B$9,Paramètres!$A$1:$I$89,3,0)*VLOOKUP('Données projet'!$B$9,Paramètres!$A$1:$I$89,5,0)</f>
        <v>77.022400000000005</v>
      </c>
      <c r="P19" s="13">
        <f t="shared" si="33"/>
        <v>21.407546084466961</v>
      </c>
      <c r="Q19" s="20">
        <f t="shared" si="2"/>
        <v>171.43215609711328</v>
      </c>
      <c r="R19" s="59">
        <f t="shared" si="0"/>
        <v>447.65437831933548</v>
      </c>
      <c r="S19" s="59">
        <f ca="1">AVERAGE(OFFSET($R$3,0,0,'Données projet'!$E$9+1,1))-AVERAGE(OFFSET($H$3,0,0,'Données projet'!$E$9+1,1))</f>
        <v>173.43838269633449</v>
      </c>
      <c r="T19" s="59">
        <f t="shared" si="34"/>
        <v>346.57067290129595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4.5807135264751278</v>
      </c>
      <c r="AB19" s="21">
        <f>EXP(-LN(2)/2)*AB18+(1-EXP(-LN(2)/2))/(LN(2)/2)*V19*Y19*VLOOKUP('Données projet'!$B$9,Paramètres!$A$1:$I$89,3,0)*0.475*44/12</f>
        <v>0</v>
      </c>
      <c r="AC19" s="22">
        <f t="shared" si="3"/>
        <v>4.5807135264751278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18.600000000000001</v>
      </c>
      <c r="N20" s="13">
        <f>IF('Données projet'!$A$36&gt;35,N19+M20-V19,IF(A20&lt;'Données projet'!$A$36,$K$205^A20,IF(A20='Données projet'!$A$36,'Données projet'!$B$36,N19+M20-V19)))</f>
        <v>147.39999999999998</v>
      </c>
      <c r="O20" s="13">
        <f>N20*VLOOKUP('Données projet'!$B$9,Paramètres!$A$1:$I$89,3,0)*VLOOKUP('Données projet'!$B$9,Paramètres!$A$1:$I$89,5,0)</f>
        <v>88.145199999999988</v>
      </c>
      <c r="P20" s="13">
        <f t="shared" si="33"/>
        <v>24.117351189004136</v>
      </c>
      <c r="Q20" s="20">
        <f t="shared" si="2"/>
        <v>195.52394332084884</v>
      </c>
      <c r="R20" s="59">
        <f t="shared" si="0"/>
        <v>472.9683877652933</v>
      </c>
      <c r="S20" s="59">
        <f ca="1">AVERAGE(OFFSET($R$3,0,0,'Données projet'!$E$9+1,1))-AVERAGE(OFFSET($H$3,0,0,'Données projet'!$E$9+1,1))</f>
        <v>173.43838269633449</v>
      </c>
      <c r="T20" s="59">
        <f t="shared" si="34"/>
        <v>346.57067290129595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4.45545367420441</v>
      </c>
      <c r="AB20" s="21">
        <f>EXP(-LN(2)/2)*AB19+(1-EXP(-LN(2)/2))/(LN(2)/2)*V20*Y20*VLOOKUP('Données projet'!$B$9,Paramètres!$A$1:$I$89,3,0)*0.475*44/12</f>
        <v>0</v>
      </c>
      <c r="AC20" s="22">
        <f t="shared" si="3"/>
        <v>4.45545367420441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166</v>
      </c>
      <c r="L21" s="12">
        <f>VLOOKUP(A21,'Données projet'!$A$35:$I$55,9,0)</f>
        <v>18.600000000000001</v>
      </c>
      <c r="M21" s="12">
        <f t="array" ref="M21">INDEX(L:L,MIN(IF(ISNUMBER(L21:L217),ROW(L21:L217),"")))</f>
        <v>18.600000000000001</v>
      </c>
      <c r="N21" s="13">
        <f>IF('Données projet'!$A$36&gt;35,N20+M21-V20,IF(A21&lt;'Données projet'!$A$36,$K$205^A21,IF(A21='Données projet'!$A$36,'Données projet'!$B$36,N20+M21-V20)))</f>
        <v>165.99999999999997</v>
      </c>
      <c r="O21" s="13">
        <f>N21*VLOOKUP('Données projet'!$B$9,Paramètres!$A$1:$I$89,3,0)*VLOOKUP('Données projet'!$B$9,Paramètres!$A$1:$I$89,5,0)</f>
        <v>99.267999999999986</v>
      </c>
      <c r="P21" s="13">
        <f t="shared" si="33"/>
        <v>26.78753414535981</v>
      </c>
      <c r="Q21" s="20">
        <f t="shared" si="2"/>
        <v>219.54672196983498</v>
      </c>
      <c r="R21" s="59">
        <f t="shared" si="0"/>
        <v>498.21338863650169</v>
      </c>
      <c r="S21" s="59">
        <f ca="1">AVERAGE(OFFSET($R$3,0,0,'Données projet'!$E$9+1,1))-AVERAGE(OFFSET($H$3,0,0,'Données projet'!$E$9+1,1))</f>
        <v>173.43838269633449</v>
      </c>
      <c r="T21" s="59">
        <f t="shared" si="34"/>
        <v>346.57067290129595</v>
      </c>
      <c r="U21" s="15">
        <f>IF(ISNA(VLOOKUP(A21,'Données projet'!$A$35:$I$55,3,0)),0,VLOOKUP(A21,'Données projet'!$A$35:$I$55,3,0))</f>
        <v>2</v>
      </c>
      <c r="V21" s="15">
        <f>IF(ISNA(VLOOKUP(A21,'Données projet'!$A$35:$I$55,4,0)),0,VLOOKUP(A21,'Données projet'!$A$35:$I$55,4,0))</f>
        <v>40</v>
      </c>
      <c r="W21" s="16">
        <f>IF(ISNA(VLOOKUP(A21,'Données projet'!$A$35:$I$55,5,0)),0%,VLOOKUP(A21,'Données projet'!$A$35:$I$55,5,0)*VLOOKUP('Données projet'!$B$9,Paramètres!$A$1:$I$89,7,0))</f>
        <v>0.1125</v>
      </c>
      <c r="X21" s="16">
        <f>IF(ISNA(VLOOKUP(A21,'Données projet'!$A$35:$I$55,6,0)),0%,VLOOKUP(A21,'Données projet'!$A$35:$I$55,6,0)*VLOOKUP('Données projet'!$B$9,Paramètres!$A$1:$I$89,7,0))</f>
        <v>0.22500000000000001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3.5697849495878025</v>
      </c>
      <c r="AA21" s="21">
        <f>EXP(-LN(2)/25)*AA20+(1-EXP(-LN(2)/25))/(LN(2)/25)*Calculateur!V21*Calculateur!X21*VLOOKUP('Données projet'!$B$9,Paramètres!$A$1:$I$89,3,0)*0.475*44/12</f>
        <v>11.445077751274308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15.014862700862111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17.8</v>
      </c>
      <c r="N22" s="13">
        <f>IF('Données projet'!$A$36&gt;35,N21+M22-V21,IF(A22&lt;'Données projet'!$A$36,$K$205^A22,IF(A22='Données projet'!$A$36,'Données projet'!$B$36,N21+M22-V21)))</f>
        <v>143.79999999999998</v>
      </c>
      <c r="O22" s="13">
        <f>N22*VLOOKUP('Données projet'!$B$9,Paramètres!$A$1:$I$89,3,0)*VLOOKUP('Données projet'!$B$9,Paramètres!$A$1:$I$89,5,0)</f>
        <v>85.992400000000004</v>
      </c>
      <c r="P22" s="13">
        <f t="shared" si="33"/>
        <v>23.596141005324462</v>
      </c>
      <c r="Q22" s="20">
        <f t="shared" si="2"/>
        <v>190.86670891760676</v>
      </c>
      <c r="R22" s="59">
        <f t="shared" si="0"/>
        <v>470.75559780649564</v>
      </c>
      <c r="S22" s="59">
        <f ca="1">AVERAGE(OFFSET($R$3,0,0,'Données projet'!$E$9+1,1))-AVERAGE(OFFSET($H$3,0,0,'Données projet'!$E$9+1,1))</f>
        <v>173.43838269633449</v>
      </c>
      <c r="T22" s="59">
        <f t="shared" si="34"/>
        <v>346.57067290129595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3.499783644080209</v>
      </c>
      <c r="AA22" s="21">
        <f>EXP(-LN(2)/25)*AA21+(1-EXP(-LN(2)/25))/(LN(2)/25)*Calculateur!V22*Calculateur!X22*VLOOKUP('Données projet'!$B$9,Paramètres!$A$1:$I$89,3,0)*0.475*44/12</f>
        <v>11.132111498295231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14.63189514237544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17.8</v>
      </c>
      <c r="N23" s="13">
        <f>IF('Données projet'!$A$36&gt;35,N22+M23-V22,IF(A23&lt;'Données projet'!$A$36,$K$205^A23,IF(A23='Données projet'!$A$36,'Données projet'!$B$36,N22+M23-V22)))</f>
        <v>161.6</v>
      </c>
      <c r="O23" s="13">
        <f>N23*VLOOKUP('Données projet'!$B$9,Paramètres!$A$1:$I$89,3,0)*VLOOKUP('Données projet'!$B$9,Paramètres!$A$1:$I$89,5,0)</f>
        <v>96.636800000000008</v>
      </c>
      <c r="P23" s="13">
        <f t="shared" si="33"/>
        <v>26.159173215164081</v>
      </c>
      <c r="Q23" s="20">
        <f t="shared" si="2"/>
        <v>213.86965334974411</v>
      </c>
      <c r="R23" s="59">
        <f t="shared" si="0"/>
        <v>494.98076446085526</v>
      </c>
      <c r="S23" s="59">
        <f ca="1">AVERAGE(OFFSET($R$3,0,0,'Données projet'!$E$9+1,1))-AVERAGE(OFFSET($H$3,0,0,'Données projet'!$E$9+1,1))</f>
        <v>173.43838269633449</v>
      </c>
      <c r="T23" s="59">
        <f t="shared" si="34"/>
        <v>346.57067290129595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3.4311550214770392</v>
      </c>
      <c r="AA23" s="21">
        <f>EXP(-LN(2)/25)*AA22+(1-EXP(-LN(2)/25))/(LN(2)/25)*Calculateur!V23*Calculateur!X23*VLOOKUP('Données projet'!$B$9,Paramètres!$A$1:$I$89,3,0)*0.475*44/12</f>
        <v>10.827703323962046</v>
      </c>
      <c r="AB23" s="21">
        <f>EXP(-LN(2)/2)*AB22+(1-EXP(-LN(2)/2))/(LN(2)/2)*V23*Y23*VLOOKUP('Données projet'!$B$9,Paramètres!$A$1:$I$89,3,0)*0.475*44/12</f>
        <v>0</v>
      </c>
      <c r="AC23" s="22">
        <f t="shared" si="3"/>
        <v>14.258858345439085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17.8</v>
      </c>
      <c r="N24" s="13">
        <f>IF('Données projet'!$A$36&gt;35,N23+M24-V23,IF(A24&lt;'Données projet'!$A$36,$K$205^A24,IF(A24='Données projet'!$A$36,'Données projet'!$B$36,N23+M24-V23)))</f>
        <v>179.4</v>
      </c>
      <c r="O24" s="13">
        <f>N24*VLOOKUP('Données projet'!$B$9,Paramètres!$A$1:$I$89,3,0)*VLOOKUP('Données projet'!$B$9,Paramètres!$A$1:$I$89,5,0)</f>
        <v>107.2812</v>
      </c>
      <c r="P24" s="13">
        <f t="shared" si="33"/>
        <v>28.68948404302737</v>
      </c>
      <c r="Q24" s="20">
        <f t="shared" si="2"/>
        <v>236.81560804160597</v>
      </c>
      <c r="R24" s="59">
        <f t="shared" si="0"/>
        <v>519.14894137493934</v>
      </c>
      <c r="S24" s="59">
        <f ca="1">AVERAGE(OFFSET($R$3,0,0,'Données projet'!$E$9+1,1))-AVERAGE(OFFSET($H$3,0,0,'Données projet'!$E$9+1,1))</f>
        <v>173.43838269633449</v>
      </c>
      <c r="T24" s="59">
        <f t="shared" si="34"/>
        <v>346.57067290129595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3.3638721643037908</v>
      </c>
      <c r="AA24" s="21">
        <f>EXP(-LN(2)/25)*AA23+(1-EXP(-LN(2)/25))/(LN(2)/25)*Calculateur!V24*Calculateur!X24*VLOOKUP('Données projet'!$B$9,Paramètres!$A$1:$I$89,3,0)*0.475*44/12</f>
        <v>10.531619207164134</v>
      </c>
      <c r="AB24" s="21">
        <f>EXP(-LN(2)/2)*AB23+(1-EXP(-LN(2)/2))/(LN(2)/2)*V24*Y24*VLOOKUP('Données projet'!$B$9,Paramètres!$A$1:$I$89,3,0)*0.475*44/12</f>
        <v>0</v>
      </c>
      <c r="AC24" s="22">
        <f t="shared" si="3"/>
        <v>13.895491371467925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17.8</v>
      </c>
      <c r="N25" s="13">
        <f>IF('Données projet'!$A$36&gt;35,N24+M25-V24,IF(A25&lt;'Données projet'!$A$36,$K$205^A25,IF(A25='Données projet'!$A$36,'Données projet'!$B$36,N24+M25-V24)))</f>
        <v>197.20000000000002</v>
      </c>
      <c r="O25" s="13">
        <f>N25*VLOOKUP('Données projet'!$B$9,Paramètres!$A$1:$I$89,3,0)*VLOOKUP('Données projet'!$B$9,Paramètres!$A$1:$I$89,5,0)</f>
        <v>117.92560000000003</v>
      </c>
      <c r="P25" s="13">
        <f t="shared" si="33"/>
        <v>31.190689636070587</v>
      </c>
      <c r="Q25" s="20">
        <f t="shared" si="2"/>
        <v>259.71087111615634</v>
      </c>
      <c r="R25" s="59">
        <f t="shared" si="0"/>
        <v>543.26642667171188</v>
      </c>
      <c r="S25" s="59">
        <f ca="1">AVERAGE(OFFSET($R$3,0,0,'Données projet'!$E$9+1,1))-AVERAGE(OFFSET($H$3,0,0,'Données projet'!$E$9+1,1))</f>
        <v>173.43838269633449</v>
      </c>
      <c r="T25" s="59">
        <f t="shared" si="34"/>
        <v>346.57067290129595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3.2979086829212192</v>
      </c>
      <c r="AA25" s="21">
        <f>EXP(-LN(2)/25)*AA24+(1-EXP(-LN(2)/25))/(LN(2)/25)*Calculateur!V25*Calculateur!X25*VLOOKUP('Données projet'!$B$9,Paramètres!$A$1:$I$89,3,0)*0.475*44/12</f>
        <v>10.243631526110446</v>
      </c>
      <c r="AB25" s="21">
        <f>EXP(-LN(2)/2)*AB24+(1-EXP(-LN(2)/2))/(LN(2)/2)*V25*Y25*VLOOKUP('Données projet'!$B$9,Paramètres!$A$1:$I$89,3,0)*0.475*44/12</f>
        <v>0</v>
      </c>
      <c r="AC25" s="22">
        <f t="shared" si="3"/>
        <v>13.541540209031666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215</v>
      </c>
      <c r="L26" s="12">
        <f>VLOOKUP(A26,'Données projet'!$A$35:$I$55,9,0)</f>
        <v>17.8</v>
      </c>
      <c r="M26" s="12">
        <f t="array" ref="M26">INDEX(L:L,MIN(IF(ISNUMBER(L26:L222),ROW(L26:L222),"")))</f>
        <v>17.8</v>
      </c>
      <c r="N26" s="13">
        <f>IF('Données projet'!$A$36&gt;35,N25+M26-V25,IF(A26&lt;'Données projet'!$A$36,$K$205^A26,IF(A26='Données projet'!$A$36,'Données projet'!$B$36,N25+M26-V25)))</f>
        <v>215.00000000000003</v>
      </c>
      <c r="O26" s="13">
        <f>N26*VLOOKUP('Données projet'!$B$9,Paramètres!$A$1:$I$89,3,0)*VLOOKUP('Données projet'!$B$9,Paramètres!$A$1:$I$89,5,0)</f>
        <v>128.57000000000002</v>
      </c>
      <c r="P26" s="13">
        <f t="shared" si="33"/>
        <v>33.665715905233277</v>
      </c>
      <c r="Q26" s="20">
        <f t="shared" si="2"/>
        <v>282.56053853494797</v>
      </c>
      <c r="R26" s="59">
        <f t="shared" si="0"/>
        <v>567.33831631272574</v>
      </c>
      <c r="S26" s="59">
        <f ca="1">AVERAGE(OFFSET($R$3,0,0,'Données projet'!$E$9+1,1))-AVERAGE(OFFSET($H$3,0,0,'Données projet'!$E$9+1,1))</f>
        <v>173.43838269633449</v>
      </c>
      <c r="T26" s="59">
        <f t="shared" si="34"/>
        <v>346.57067290129595</v>
      </c>
      <c r="U26" s="15">
        <f>IF(ISNA(VLOOKUP(A26,'Données projet'!$A$35:$I$55,3,0)),0,VLOOKUP(A26,'Données projet'!$A$35:$I$55,3,0))</f>
        <v>3</v>
      </c>
      <c r="V26" s="15">
        <f>IF(ISNA(VLOOKUP(A26,'Données projet'!$A$35:$I$55,4,0)),0,VLOOKUP(A26,'Données projet'!$A$35:$I$55,4,0))</f>
        <v>52</v>
      </c>
      <c r="W26" s="16">
        <f>IF(ISNA(VLOOKUP(A26,'Données projet'!$A$35:$I$55,5,0)),0%,VLOOKUP(A26,'Données projet'!$A$35:$I$55,5,0)*VLOOKUP('Données projet'!$B$9,Paramètres!$A$1:$I$89,7,0))</f>
        <v>0.27</v>
      </c>
      <c r="X26" s="16">
        <f>IF(ISNA(VLOOKUP(A26,'Données projet'!$A$35:$I$55,6,0)),0%,VLOOKUP(A26,'Données projet'!$A$35:$I$55,6,0)*VLOOKUP('Données projet'!$B$9,Paramètres!$A$1:$I$89,7,0))</f>
        <v>9.0000000000000011E-2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14.370967747888754</v>
      </c>
      <c r="AA26" s="21">
        <f>EXP(-LN(2)/25)*AA25+(1-EXP(-LN(2)/25))/(LN(2)/25)*Calculateur!V26*Calculateur!X26*VLOOKUP('Données projet'!$B$9,Paramètres!$A$1:$I$89,3,0)*0.475*44/12</f>
        <v>13.66147740322822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28.032445151116974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14.727272727272727</v>
      </c>
      <c r="N27" s="13">
        <f>IF('Données projet'!$A$36&gt;35,N26+M27-V26,IF(A27&lt;'Données projet'!$A$36,$K$205^A27,IF(A27='Données projet'!$A$36,'Données projet'!$B$36,N26+M27-V26)))</f>
        <v>177.72727272727275</v>
      </c>
      <c r="O27" s="13">
        <f>N27*VLOOKUP('Données projet'!$B$9,Paramètres!$A$1:$I$89,3,0)*VLOOKUP('Données projet'!$B$9,Paramètres!$A$1:$I$89,5,0)</f>
        <v>106.28090909090911</v>
      </c>
      <c r="P27" s="13">
        <f t="shared" si="33"/>
        <v>28.45299143279248</v>
      </c>
      <c r="Q27" s="20">
        <f t="shared" si="2"/>
        <v>234.66154341211356</v>
      </c>
      <c r="R27" s="59">
        <f t="shared" si="0"/>
        <v>520.66154341211359</v>
      </c>
      <c r="S27" s="59">
        <f ca="1">AVERAGE(OFFSET($R$3,0,0,'Données projet'!$E$9+1,1))-AVERAGE(OFFSET($H$3,0,0,'Données projet'!$E$9+1,1))</f>
        <v>173.43838269633449</v>
      </c>
      <c r="T27" s="59">
        <f t="shared" si="34"/>
        <v>346.57067290129595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14.089161835777468</v>
      </c>
      <c r="AA27" s="21">
        <f>EXP(-LN(2)/25)*AA26+(1-EXP(-LN(2)/25))/(LN(2)/25)*Calculateur!V27*Calculateur!X27*VLOOKUP('Données projet'!$B$9,Paramètres!$A$1:$I$89,3,0)*0.475*44/12</f>
        <v>13.287903585211073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27.37706542098854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14.727272727272727</v>
      </c>
      <c r="N28" s="13">
        <f>IF('Données projet'!$A$36&gt;35,N27+M28-V27,IF(A28&lt;'Données projet'!$A$36,$K$205^A28,IF(A28='Données projet'!$A$36,'Données projet'!$B$36,N27+M28-V27)))</f>
        <v>192.45454545454547</v>
      </c>
      <c r="O28" s="13">
        <f>N28*VLOOKUP('Données projet'!$B$9,Paramètres!$A$1:$I$89,3,0)*VLOOKUP('Données projet'!$B$9,Paramètres!$A$1:$I$89,5,0)</f>
        <v>115.08781818181821</v>
      </c>
      <c r="P28" s="13">
        <f t="shared" si="33"/>
        <v>30.526541558002926</v>
      </c>
      <c r="Q28" s="20">
        <f t="shared" si="2"/>
        <v>253.61167654685516</v>
      </c>
      <c r="R28" s="59">
        <f t="shared" si="0"/>
        <v>540.83389876907745</v>
      </c>
      <c r="S28" s="59">
        <f ca="1">AVERAGE(OFFSET($R$3,0,0,'Données projet'!$E$9+1,1))-AVERAGE(OFFSET($H$3,0,0,'Données projet'!$E$9+1,1))</f>
        <v>173.43838269633449</v>
      </c>
      <c r="T28" s="59">
        <f t="shared" si="34"/>
        <v>346.57067290129595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13.81288196571805</v>
      </c>
      <c r="AA28" s="21">
        <f>EXP(-LN(2)/25)*AA27+(1-EXP(-LN(2)/25))/(LN(2)/25)*Calculateur!V28*Calculateur!X28*VLOOKUP('Données projet'!$B$9,Paramètres!$A$1:$I$89,3,0)*0.475*44/12</f>
        <v>12.924545162892995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26.737427128611046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14.727272727272727</v>
      </c>
      <c r="N29" s="13">
        <f>IF('Données projet'!$A$36&gt;35,N28+M29-V28,IF(A29&lt;'Données projet'!$A$36,$K$205^A29,IF(A29='Données projet'!$A$36,'Données projet'!$B$36,N28+M29-V28)))</f>
        <v>207.18181818181819</v>
      </c>
      <c r="O29" s="13">
        <f>N29*VLOOKUP('Données projet'!$B$9,Paramètres!$A$1:$I$89,3,0)*VLOOKUP('Données projet'!$B$9,Paramètres!$A$1:$I$89,5,0)</f>
        <v>123.89472727272728</v>
      </c>
      <c r="P29" s="13">
        <f t="shared" si="33"/>
        <v>32.581684967306394</v>
      </c>
      <c r="Q29" s="20">
        <f t="shared" si="2"/>
        <v>272.52975131805863</v>
      </c>
      <c r="R29" s="59">
        <f t="shared" si="0"/>
        <v>560.97419576250309</v>
      </c>
      <c r="S29" s="59">
        <f ca="1">AVERAGE(OFFSET($R$3,0,0,'Données projet'!$E$9+1,1))-AVERAGE(OFFSET($H$3,0,0,'Données projet'!$E$9+1,1))</f>
        <v>173.43838269633449</v>
      </c>
      <c r="T29" s="59">
        <f t="shared" si="34"/>
        <v>346.57067290129595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13.542019775396417</v>
      </c>
      <c r="AA29" s="21">
        <f>EXP(-LN(2)/25)*AA28+(1-EXP(-LN(2)/25))/(LN(2)/25)*Calculateur!V29*Calculateur!X29*VLOOKUP('Données projet'!$B$9,Paramètres!$A$1:$I$89,3,0)*0.475*44/12</f>
        <v>12.571122795741395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26.113142571137814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14.727272727272727</v>
      </c>
      <c r="N30" s="13">
        <f>IF('Données projet'!$A$36&gt;35,N29+M30-V29,IF(A30&lt;'Données projet'!$A$36,$K$205^A30,IF(A30='Données projet'!$A$36,'Données projet'!$B$36,N29+M30-V29)))</f>
        <v>221.90909090909091</v>
      </c>
      <c r="O30" s="13">
        <f>N30*VLOOKUP('Données projet'!$B$9,Paramètres!$A$1:$I$89,3,0)*VLOOKUP('Données projet'!$B$9,Paramètres!$A$1:$I$89,5,0)</f>
        <v>132.70163636363637</v>
      </c>
      <c r="P30" s="13">
        <f t="shared" si="33"/>
        <v>34.619878895597843</v>
      </c>
      <c r="Q30" s="20">
        <f t="shared" si="2"/>
        <v>291.41830574316629</v>
      </c>
      <c r="R30" s="59">
        <f t="shared" si="0"/>
        <v>581.08497240983297</v>
      </c>
      <c r="S30" s="59">
        <f ca="1">AVERAGE(OFFSET($R$3,0,0,'Données projet'!$E$9+1,1))-AVERAGE(OFFSET($H$3,0,0,'Données projet'!$E$9+1,1))</f>
        <v>173.43838269633449</v>
      </c>
      <c r="T30" s="59">
        <f t="shared" si="34"/>
        <v>346.57067290129595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13.276469027417367</v>
      </c>
      <c r="AA30" s="21">
        <f>EXP(-LN(2)/25)*AA29+(1-EXP(-LN(2)/25))/(LN(2)/25)*Calculateur!V30*Calculateur!X30*VLOOKUP('Données projet'!$B$9,Paramètres!$A$1:$I$89,3,0)*0.475*44/12</f>
        <v>12.22736478180523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25.503833809222598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14.727272727272727</v>
      </c>
      <c r="N31" s="13">
        <f>IF('Données projet'!$A$36&gt;35,N30+M31-V30,IF(A31&lt;'Données projet'!$A$36,$K$205^A31,IF(A31='Données projet'!$A$36,'Données projet'!$B$36,N30+M31-V30)))</f>
        <v>236.63636363636363</v>
      </c>
      <c r="O31" s="13">
        <f>N31*VLOOKUP('Données projet'!$B$9,Paramètres!$A$1:$I$89,3,0)*VLOOKUP('Données projet'!$B$9,Paramètres!$A$1:$I$89,5,0)</f>
        <v>141.50854545454547</v>
      </c>
      <c r="P31" s="13">
        <f t="shared" si="33"/>
        <v>36.642376213467628</v>
      </c>
      <c r="Q31" s="20">
        <f t="shared" si="2"/>
        <v>310.27952190512281</v>
      </c>
      <c r="R31" s="59">
        <f t="shared" si="0"/>
        <v>601.16841079401161</v>
      </c>
      <c r="S31" s="59">
        <f ca="1">AVERAGE(OFFSET($R$3,0,0,'Données projet'!$E$9+1,1))-AVERAGE(OFFSET($H$3,0,0,'Données projet'!$E$9+1,1))</f>
        <v>173.43838269633449</v>
      </c>
      <c r="T31" s="59">
        <f t="shared" si="34"/>
        <v>346.57067290129595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13.016125567636223</v>
      </c>
      <c r="AA31" s="21">
        <f>EXP(-LN(2)/25)*AA30+(1-EXP(-LN(2)/25))/(LN(2)/25)*Calculateur!V31*Calculateur!X31*VLOOKUP('Données projet'!$B$9,Paramètres!$A$1:$I$89,3,0)*0.475*44/12</f>
        <v>11.893006848837597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24.90913241647382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14.727272727272727</v>
      </c>
      <c r="N32" s="13">
        <f>IF('Données projet'!$A$36&gt;35,N31+M32-V31,IF(A32&lt;'Données projet'!$A$36,$K$205^A32,IF(A32='Données projet'!$A$36,'Données projet'!$B$36,N31+M32-V31)))</f>
        <v>251.36363636363635</v>
      </c>
      <c r="O32" s="13">
        <f>N32*VLOOKUP('Données projet'!$B$9,Paramètres!$A$1:$I$89,3,0)*VLOOKUP('Données projet'!$B$9,Paramètres!$A$1:$I$89,5,0)</f>
        <v>150.31545454545454</v>
      </c>
      <c r="P32" s="13">
        <f t="shared" si="33"/>
        <v>38.650265030760963</v>
      </c>
      <c r="Q32" s="20">
        <f t="shared" si="2"/>
        <v>329.11529492857534</v>
      </c>
      <c r="R32" s="59">
        <f t="shared" si="0"/>
        <v>621.22640603968648</v>
      </c>
      <c r="S32" s="59">
        <f ca="1">AVERAGE(OFFSET($R$3,0,0,'Données projet'!$E$9+1,1))-AVERAGE(OFFSET($H$3,0,0,'Données projet'!$E$9+1,1))</f>
        <v>173.43838269633449</v>
      </c>
      <c r="T32" s="59">
        <f t="shared" si="34"/>
        <v>346.57067290129595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12.760887284307557</v>
      </c>
      <c r="AA32" s="21">
        <f>EXP(-LN(2)/25)*AA31+(1-EXP(-LN(2)/25))/(LN(2)/25)*Calculateur!V32*Calculateur!X32*VLOOKUP('Données projet'!$B$9,Paramètres!$A$1:$I$89,3,0)*0.475*44/12</f>
        <v>11.567791951130085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24.32867923543764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14.727272727272727</v>
      </c>
      <c r="N33" s="13">
        <f>IF('Données projet'!$A$36&gt;35,N32+M33-V32,IF(A33&lt;'Données projet'!$A$36,$K$205^A33,IF(A33='Données projet'!$A$36,'Données projet'!$B$36,N32+M33-V32)))</f>
        <v>266.09090909090907</v>
      </c>
      <c r="O33" s="13">
        <f>N33*VLOOKUP('Données projet'!$B$9,Paramètres!$A$1:$I$89,3,0)*VLOOKUP('Données projet'!$B$9,Paramètres!$A$1:$I$89,5,0)</f>
        <v>159.12236363636362</v>
      </c>
      <c r="P33" s="13">
        <f t="shared" si="33"/>
        <v>40.644498751064432</v>
      </c>
      <c r="Q33" s="20">
        <f t="shared" si="2"/>
        <v>347.92728532477048</v>
      </c>
      <c r="R33" s="59">
        <f t="shared" si="0"/>
        <v>641.26061865810379</v>
      </c>
      <c r="S33" s="59">
        <f ca="1">AVERAGE(OFFSET($R$3,0,0,'Données projet'!$E$9+1,1))-AVERAGE(OFFSET($H$3,0,0,'Données projet'!$E$9+1,1))</f>
        <v>173.43838269633449</v>
      </c>
      <c r="T33" s="59">
        <f t="shared" si="34"/>
        <v>346.57067290129595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12.510654068034986</v>
      </c>
      <c r="AA33" s="21">
        <f>EXP(-LN(2)/25)*AA32+(1-EXP(-LN(2)/25))/(LN(2)/25)*Calculateur!V33*Calculateur!X33*VLOOKUP('Données projet'!$B$9,Paramètres!$A$1:$I$89,3,0)*0.475*44/12</f>
        <v>11.251470071902693</v>
      </c>
      <c r="AB33" s="21">
        <f>EXP(-LN(2)/2)*AB32+(1-EXP(-LN(2)/2))/(LN(2)/2)*V33*Y33*VLOOKUP('Données projet'!$B$9,Paramètres!$A$1:$I$89,3,0)*0.475*44/12</f>
        <v>0</v>
      </c>
      <c r="AC33" s="22">
        <f t="shared" si="3"/>
        <v>23.762124139937679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14.727272727272727</v>
      </c>
      <c r="N34" s="13">
        <f>IF('Données projet'!$A$36&gt;35,N33+M34-V33,IF(A34&lt;'Données projet'!$A$36,$K$205^A34,IF(A34='Données projet'!$A$36,'Données projet'!$B$36,N33+M34-V33)))</f>
        <v>280.81818181818181</v>
      </c>
      <c r="O34" s="13">
        <f>N34*VLOOKUP('Données projet'!$B$9,Paramètres!$A$1:$I$89,3,0)*VLOOKUP('Données projet'!$B$9,Paramètres!$A$1:$I$89,5,0)</f>
        <v>167.92927272727275</v>
      </c>
      <c r="P34" s="13">
        <f t="shared" si="33"/>
        <v>42.625919281834626</v>
      </c>
      <c r="Q34" s="20">
        <f t="shared" si="2"/>
        <v>366.71695941586199</v>
      </c>
      <c r="R34" s="59">
        <f t="shared" si="0"/>
        <v>660.05029274919525</v>
      </c>
      <c r="S34" s="59">
        <f ca="1">AVERAGE(OFFSET($R$3,0,0,'Données projet'!$E$9+1,1))-AVERAGE(OFFSET($H$3,0,0,'Données projet'!$E$9+1,1))</f>
        <v>173.43838269633449</v>
      </c>
      <c r="T34" s="59">
        <f t="shared" si="34"/>
        <v>346.57067290129595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12.265327772506328</v>
      </c>
      <c r="AA34" s="21">
        <f>EXP(-LN(2)/25)*AA33+(1-EXP(-LN(2)/25))/(LN(2)/25)*Calculateur!V34*Calculateur!X34*VLOOKUP('Données projet'!$B$9,Paramètres!$A$1:$I$89,3,0)*0.475*44/12</f>
        <v>10.943798031097419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23.209125803603747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14.727272727272727</v>
      </c>
      <c r="N35" s="13">
        <f>IF('Données projet'!$A$36&gt;35,N34+M35-V34,IF(A35&lt;'Données projet'!$A$36,$K$205^A35,IF(A35='Données projet'!$A$36,'Données projet'!$B$36,N34+M35-V34)))</f>
        <v>295.54545454545456</v>
      </c>
      <c r="O35" s="13">
        <f>N35*VLOOKUP('Données projet'!$B$9,Paramètres!$A$1:$I$89,3,0)*VLOOKUP('Données projet'!$B$9,Paramètres!$A$1:$I$89,5,0)</f>
        <v>176.73618181818185</v>
      </c>
      <c r="P35" s="13">
        <f t="shared" si="33"/>
        <v>44.595275236724611</v>
      </c>
      <c r="Q35" s="20">
        <f t="shared" ref="Q35:Q66" si="53">(O35+P35)*0.475*44/12</f>
        <v>385.4856210372954</v>
      </c>
      <c r="R35" s="59">
        <f t="shared" si="0"/>
        <v>678.81895437062872</v>
      </c>
      <c r="S35" s="59">
        <f ca="1">AVERAGE(OFFSET($R$3,0,0,'Données projet'!$E$9+1,1))-AVERAGE(OFFSET($H$3,0,0,'Données projet'!$E$9+1,1))</f>
        <v>173.43838269633449</v>
      </c>
      <c r="T35" s="59">
        <f t="shared" si="34"/>
        <v>346.57067290129595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12.024812175998722</v>
      </c>
      <c r="AA35" s="21">
        <f>EXP(-LN(2)/25)*AA34+(1-EXP(-LN(2)/25))/(LN(2)/25)*Calculateur!V35*Calculateur!X35*VLOOKUP('Données projet'!$B$9,Paramètres!$A$1:$I$89,3,0)*0.475*44/12</f>
        <v>10.644539298427734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22.669351474426456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14.727272727272727</v>
      </c>
      <c r="N36" s="13">
        <f>IF('Données projet'!$A$36&gt;35,N35+M36-V35,IF(A36&lt;'Données projet'!$A$36,$K$205^A36,IF(A36='Données projet'!$A$36,'Données projet'!$B$36,N35+M36-V35)))</f>
        <v>310.27272727272731</v>
      </c>
      <c r="O36" s="13">
        <f>N36*VLOOKUP('Données projet'!$B$9,Paramètres!$A$1:$I$89,3,0)*VLOOKUP('Données projet'!$B$9,Paramètres!$A$1:$I$89,5,0)</f>
        <v>185.54309090909095</v>
      </c>
      <c r="P36" s="13">
        <f t="shared" si="33"/>
        <v>46.553236406680583</v>
      </c>
      <c r="Q36" s="20">
        <f t="shared" si="53"/>
        <v>404.23443674163536</v>
      </c>
      <c r="R36" s="59">
        <f t="shared" si="0"/>
        <v>697.56777007496862</v>
      </c>
      <c r="S36" s="59">
        <f ca="1">AVERAGE(OFFSET($R$3,0,0,'Données projet'!$E$9+1,1))-AVERAGE(OFFSET($H$3,0,0,'Données projet'!$E$9+1,1))</f>
        <v>173.43838269633449</v>
      </c>
      <c r="T36" s="59">
        <f t="shared" si="34"/>
        <v>346.57067290129595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11.789012943638602</v>
      </c>
      <c r="AA36" s="21">
        <f>EXP(-LN(2)/25)*AA35+(1-EXP(-LN(2)/25))/(LN(2)/25)*Calculateur!V36*Calculateur!X36*VLOOKUP('Données projet'!$B$9,Paramètres!$A$1:$I$89,3,0)*0.475*44/12</f>
        <v>10.353463811540234</v>
      </c>
      <c r="AB36" s="21">
        <f>EXP(-LN(2)/2)*AB35+(1-EXP(-LN(2)/2))/(LN(2)/2)*V36*Y36*VLOOKUP('Données projet'!$B$9,Paramètres!$A$1:$I$89,3,0)*0.475*44/12</f>
        <v>0</v>
      </c>
      <c r="AC36" s="22">
        <f t="shared" si="3"/>
        <v>22.142476755178834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325</v>
      </c>
      <c r="L37" s="12">
        <f>VLOOKUP(A37,'Données projet'!$A$35:$I$55,9,0)</f>
        <v>14.727272727272727</v>
      </c>
      <c r="M37" s="12">
        <f t="array" ref="M37">INDEX(L:L,MIN(IF(ISNUMBER(L37:L233),ROW(L37:L233),"")))</f>
        <v>14.727272727272727</v>
      </c>
      <c r="N37" s="13">
        <f>IF('Données projet'!$A$36&gt;35,N36+M37-V36,IF(A37&lt;'Données projet'!$A$36,$K$205^A37,IF(A37='Données projet'!$A$36,'Données projet'!$B$36,N36+M37-V36)))</f>
        <v>325.00000000000006</v>
      </c>
      <c r="O37" s="13">
        <f>N37*VLOOKUP('Données projet'!$B$9,Paramètres!$A$1:$I$89,3,0)*VLOOKUP('Données projet'!$B$9,Paramètres!$A$1:$I$89,5,0)</f>
        <v>194.35000000000005</v>
      </c>
      <c r="P37" s="13">
        <f t="shared" si="33"/>
        <v>48.500405405690472</v>
      </c>
      <c r="Q37" s="20">
        <f t="shared" si="53"/>
        <v>422.96445608157768</v>
      </c>
      <c r="R37" s="59">
        <f t="shared" si="0"/>
        <v>716.29778941491099</v>
      </c>
      <c r="S37" s="59">
        <f ca="1">AVERAGE(OFFSET($R$3,0,0,'Données projet'!$E$9+1,1))-AVERAGE(OFFSET($H$3,0,0,'Données projet'!$E$9+1,1))</f>
        <v>173.43838269633449</v>
      </c>
      <c r="T37" s="59">
        <f t="shared" si="34"/>
        <v>346.57067290129595</v>
      </c>
      <c r="U37" s="15">
        <f>IF(ISNA(VLOOKUP(A37,'Données projet'!$A$35:$I$55,3,0)),0,VLOOKUP(A37,'Données projet'!$A$35:$I$55,3,0))</f>
        <v>4</v>
      </c>
      <c r="V37" s="15">
        <f>IF(ISNA(VLOOKUP(A37,'Données projet'!$A$35:$I$55,4,0)),0,VLOOKUP(A37,'Données projet'!$A$35:$I$55,4,0))</f>
        <v>325</v>
      </c>
      <c r="W37" s="16">
        <f>IF(ISNA(VLOOKUP(A37,'Données projet'!$A$35:$I$55,5,0)),0%,VLOOKUP(A37,'Données projet'!$A$35:$I$55,5,0)*VLOOKUP('Données projet'!$B$9,Paramètres!$A$1:$I$89,7,0))</f>
        <v>0.36000000000000004</v>
      </c>
      <c r="X37" s="16">
        <f>IF(ISNA(VLOOKUP(A37,'Données projet'!$A$35:$I$55,6,0)),0%,VLOOKUP(A37,'Données projet'!$A$35:$I$55,6,0)*VLOOKUP('Données projet'!$B$9,Paramètres!$A$1:$I$89,7,0))</f>
        <v>4.5000000000000005E-2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104.37224627968463</v>
      </c>
      <c r="AA37" s="21">
        <f>EXP(-LN(2)/25)*AA36+(1-EXP(-LN(2)/25))/(LN(2)/25)*Calculateur!V37*Calculateur!X37*VLOOKUP('Données projet'!$B$9,Paramètres!$A$1:$I$89,3,0)*0.475*44/12</f>
        <v>21.626468173800028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125.99871445348467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5.6843418860808015E-14</v>
      </c>
      <c r="O38" s="13">
        <f>N38*VLOOKUP('Données projet'!$B$9,Paramètres!$A$1:$I$89,3,0)*VLOOKUP('Données projet'!$B$9,Paramètres!$A$1:$I$89,5,0)</f>
        <v>3.3992364478763198E-14</v>
      </c>
      <c r="P38" s="13">
        <f t="shared" si="33"/>
        <v>5.790027782444094E-13</v>
      </c>
      <c r="Q38" s="20">
        <f t="shared" si="53"/>
        <v>1.0676332069095257E-12</v>
      </c>
      <c r="R38" s="59">
        <f t="shared" si="0"/>
        <v>293.33333333333439</v>
      </c>
      <c r="S38" s="59">
        <f ca="1">AVERAGE(OFFSET($R$3,0,0,'Données projet'!$E$9+1,1))-AVERAGE(OFFSET($H$3,0,0,'Données projet'!$E$9+1,1))</f>
        <v>173.43838269633449</v>
      </c>
      <c r="T38" s="59">
        <f t="shared" si="34"/>
        <v>346.57067290129595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102.32557019092427</v>
      </c>
      <c r="AA38" s="21">
        <f>EXP(-LN(2)/25)*AA37+(1-EXP(-LN(2)/25))/(LN(2)/25)*Calculateur!V38*Calculateur!X38*VLOOKUP('Données projet'!$B$9,Paramètres!$A$1:$I$89,3,0)*0.475*44/12</f>
        <v>21.035091264300931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123.3606614552252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5.6843418860808015E-14</v>
      </c>
      <c r="O39" s="13">
        <f>N39*VLOOKUP('Données projet'!$B$9,Paramètres!$A$1:$I$89,3,0)*VLOOKUP('Données projet'!$B$9,Paramètres!$A$1:$I$89,5,0)</f>
        <v>3.3992364478763198E-14</v>
      </c>
      <c r="P39" s="13">
        <f t="shared" si="33"/>
        <v>5.790027782444094E-13</v>
      </c>
      <c r="Q39" s="20">
        <f t="shared" si="53"/>
        <v>1.0676332069095257E-12</v>
      </c>
      <c r="R39" s="59">
        <f t="shared" si="0"/>
        <v>293.33333333333439</v>
      </c>
      <c r="S39" s="59">
        <f ca="1">AVERAGE(OFFSET($R$3,0,0,'Données projet'!$E$9+1,1))-AVERAGE(OFFSET($H$3,0,0,'Données projet'!$E$9+1,1))</f>
        <v>173.43838269633449</v>
      </c>
      <c r="T39" s="59">
        <f t="shared" si="34"/>
        <v>346.57067290129595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100.31902817191535</v>
      </c>
      <c r="AA39" s="21">
        <f>EXP(-LN(2)/25)*AA38+(1-EXP(-LN(2)/25))/(LN(2)/25)*Calculateur!V39*Calculateur!X39*VLOOKUP('Données projet'!$B$9,Paramètres!$A$1:$I$89,3,0)*0.475*44/12</f>
        <v>20.45988558749125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120.77891375940661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5.6843418860808015E-14</v>
      </c>
      <c r="O40" s="13">
        <f>N40*VLOOKUP('Données projet'!$B$9,Paramètres!$A$1:$I$89,3,0)*VLOOKUP('Données projet'!$B$9,Paramètres!$A$1:$I$89,5,0)</f>
        <v>3.3992364478763198E-14</v>
      </c>
      <c r="P40" s="13">
        <f t="shared" si="33"/>
        <v>5.790027782444094E-13</v>
      </c>
      <c r="Q40" s="20">
        <f t="shared" si="53"/>
        <v>1.0676332069095257E-12</v>
      </c>
      <c r="R40" s="59">
        <f t="shared" si="0"/>
        <v>293.33333333333439</v>
      </c>
      <c r="S40" s="59">
        <f ca="1">AVERAGE(OFFSET($R$3,0,0,'Données projet'!$E$9+1,1))-AVERAGE(OFFSET($H$3,0,0,'Données projet'!$E$9+1,1))</f>
        <v>173.43838269633449</v>
      </c>
      <c r="T40" s="59">
        <f t="shared" si="34"/>
        <v>346.57067290129595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98.351833218029398</v>
      </c>
      <c r="AA40" s="21">
        <f>EXP(-LN(2)/25)*AA39+(1-EXP(-LN(2)/25))/(LN(2)/25)*Calculateur!V40*Calculateur!X40*VLOOKUP('Données projet'!$B$9,Paramètres!$A$1:$I$89,3,0)*0.475*44/12</f>
        <v>19.900408940162681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118.25224215819208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5.6843418860808015E-14</v>
      </c>
      <c r="O41" s="13">
        <f>N41*VLOOKUP('Données projet'!$B$9,Paramètres!$A$1:$I$89,3,0)*VLOOKUP('Données projet'!$B$9,Paramètres!$A$1:$I$89,5,0)</f>
        <v>3.3992364478763198E-14</v>
      </c>
      <c r="P41" s="13">
        <f t="shared" si="33"/>
        <v>5.790027782444094E-13</v>
      </c>
      <c r="Q41" s="20">
        <f t="shared" si="53"/>
        <v>1.0676332069095257E-12</v>
      </c>
      <c r="R41" s="59">
        <f t="shared" si="0"/>
        <v>293.33333333333439</v>
      </c>
      <c r="S41" s="59">
        <f ca="1">AVERAGE(OFFSET($R$3,0,0,'Données projet'!$E$9+1,1))-AVERAGE(OFFSET($H$3,0,0,'Données projet'!$E$9+1,1))</f>
        <v>173.43838269633449</v>
      </c>
      <c r="T41" s="59">
        <f t="shared" si="34"/>
        <v>346.57067290129595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96.423213757318706</v>
      </c>
      <c r="AA41" s="21">
        <f>EXP(-LN(2)/25)*AA40+(1-EXP(-LN(2)/25))/(LN(2)/25)*Calculateur!V41*Calculateur!X41*VLOOKUP('Données projet'!$B$9,Paramètres!$A$1:$I$89,3,0)*0.475*44/12</f>
        <v>19.356231211176908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115.77944496849561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5.6843418860808015E-14</v>
      </c>
      <c r="O42" s="13">
        <f>N42*VLOOKUP('Données projet'!$B$9,Paramètres!$A$1:$I$89,3,0)*VLOOKUP('Données projet'!$B$9,Paramètres!$A$1:$I$89,5,0)</f>
        <v>3.3992364478763198E-14</v>
      </c>
      <c r="P42" s="13">
        <f t="shared" si="33"/>
        <v>5.790027782444094E-13</v>
      </c>
      <c r="Q42" s="20">
        <f t="shared" si="53"/>
        <v>1.0676332069095257E-12</v>
      </c>
      <c r="R42" s="59">
        <f t="shared" si="0"/>
        <v>293.33333333333439</v>
      </c>
      <c r="S42" s="59">
        <f ca="1">AVERAGE(OFFSET($R$3,0,0,'Données projet'!$E$9+1,1))-AVERAGE(OFFSET($H$3,0,0,'Données projet'!$E$9+1,1))</f>
        <v>173.43838269633449</v>
      </c>
      <c r="T42" s="59">
        <f t="shared" si="34"/>
        <v>346.57067290129595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94.532413347890838</v>
      </c>
      <c r="AA42" s="21">
        <f>EXP(-LN(2)/25)*AA41+(1-EXP(-LN(2)/25))/(LN(2)/25)*Calculateur!V42*Calculateur!X42*VLOOKUP('Données projet'!$B$9,Paramètres!$A$1:$I$89,3,0)*0.475*44/12</f>
        <v>18.826934050807317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113.35934739869816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5.6843418860808015E-14</v>
      </c>
      <c r="O43" s="13">
        <f>N43*VLOOKUP('Données projet'!$B$9,Paramètres!$A$1:$I$89,3,0)*VLOOKUP('Données projet'!$B$9,Paramètres!$A$1:$I$89,5,0)</f>
        <v>3.3992364478763198E-14</v>
      </c>
      <c r="P43" s="13">
        <f t="shared" si="33"/>
        <v>5.790027782444094E-13</v>
      </c>
      <c r="Q43" s="20">
        <f t="shared" si="53"/>
        <v>1.0676332069095257E-12</v>
      </c>
      <c r="R43" s="59">
        <f t="shared" si="0"/>
        <v>293.33333333333439</v>
      </c>
      <c r="S43" s="59">
        <f ca="1">AVERAGE(OFFSET($R$3,0,0,'Données projet'!$E$9+1,1))-AVERAGE(OFFSET($H$3,0,0,'Données projet'!$E$9+1,1))</f>
        <v>173.43838269633449</v>
      </c>
      <c r="T43" s="59">
        <f t="shared" si="34"/>
        <v>346.57067290129595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92.678690381217478</v>
      </c>
      <c r="AA43" s="21">
        <f>EXP(-LN(2)/25)*AA42+(1-EXP(-LN(2)/25))/(LN(2)/25)*Calculateur!V43*Calculateur!X43*VLOOKUP('Données projet'!$B$9,Paramètres!$A$1:$I$89,3,0)*0.475*44/12</f>
        <v>18.312110549122558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110.99080093034004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5.6843418860808015E-14</v>
      </c>
      <c r="O44" s="13">
        <f>N44*VLOOKUP('Données projet'!$B$9,Paramètres!$A$1:$I$89,3,0)*VLOOKUP('Données projet'!$B$9,Paramètres!$A$1:$I$89,5,0)</f>
        <v>3.3992364478763198E-14</v>
      </c>
      <c r="P44" s="13">
        <f t="shared" si="33"/>
        <v>5.790027782444094E-13</v>
      </c>
      <c r="Q44" s="20">
        <f t="shared" si="53"/>
        <v>1.0676332069095257E-12</v>
      </c>
      <c r="R44" s="59">
        <f t="shared" si="0"/>
        <v>293.33333333333439</v>
      </c>
      <c r="S44" s="59">
        <f ca="1">AVERAGE(OFFSET($R$3,0,0,'Données projet'!$E$9+1,1))-AVERAGE(OFFSET($H$3,0,0,'Données projet'!$E$9+1,1))</f>
        <v>173.43838269633449</v>
      </c>
      <c r="T44" s="59">
        <f t="shared" si="34"/>
        <v>346.57067290129595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90.861317791261214</v>
      </c>
      <c r="AA44" s="21">
        <f>EXP(-LN(2)/25)*AA43+(1-EXP(-LN(2)/25))/(LN(2)/25)*Calculateur!V44*Calculateur!X44*VLOOKUP('Données projet'!$B$9,Paramètres!$A$1:$I$89,3,0)*0.475*44/12</f>
        <v>17.81136492316476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108.67268271442597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5.6843418860808015E-14</v>
      </c>
      <c r="O45" s="13">
        <f>N45*VLOOKUP('Données projet'!$B$9,Paramètres!$A$1:$I$89,3,0)*VLOOKUP('Données projet'!$B$9,Paramètres!$A$1:$I$89,5,0)</f>
        <v>3.3992364478763198E-14</v>
      </c>
      <c r="P45" s="13">
        <f t="shared" si="33"/>
        <v>5.790027782444094E-13</v>
      </c>
      <c r="Q45" s="20">
        <f t="shared" si="53"/>
        <v>1.0676332069095257E-12</v>
      </c>
      <c r="R45" s="59">
        <f t="shared" si="0"/>
        <v>293.33333333333439</v>
      </c>
      <c r="S45" s="59">
        <f ca="1">AVERAGE(OFFSET($R$3,0,0,'Données projet'!$E$9+1,1))-AVERAGE(OFFSET($H$3,0,0,'Données projet'!$E$9+1,1))</f>
        <v>173.43838269633449</v>
      </c>
      <c r="T45" s="59">
        <f t="shared" si="34"/>
        <v>346.57067290129595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89.079582769306171</v>
      </c>
      <c r="AA45" s="21">
        <f>EXP(-LN(2)/25)*AA44+(1-EXP(-LN(2)/25))/(LN(2)/25)*Calculateur!V45*Calculateur!X45*VLOOKUP('Données projet'!$B$9,Paramètres!$A$1:$I$89,3,0)*0.475*44/12</f>
        <v>17.324312212681846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106.40389498198802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5.6843418860808015E-14</v>
      </c>
      <c r="O46" s="13">
        <f>N46*VLOOKUP('Données projet'!$B$9,Paramètres!$A$1:$I$89,3,0)*VLOOKUP('Données projet'!$B$9,Paramètres!$A$1:$I$89,5,0)</f>
        <v>3.3992364478763198E-14</v>
      </c>
      <c r="P46" s="13">
        <f t="shared" si="33"/>
        <v>5.790027782444094E-13</v>
      </c>
      <c r="Q46" s="20">
        <f t="shared" si="53"/>
        <v>1.0676332069095257E-12</v>
      </c>
      <c r="R46" s="59">
        <f t="shared" si="0"/>
        <v>293.33333333333439</v>
      </c>
      <c r="S46" s="59">
        <f ca="1">AVERAGE(OFFSET($R$3,0,0,'Données projet'!$E$9+1,1))-AVERAGE(OFFSET($H$3,0,0,'Données projet'!$E$9+1,1))</f>
        <v>173.43838269633449</v>
      </c>
      <c r="T46" s="59">
        <f t="shared" si="34"/>
        <v>346.57067290129595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87.332786484380605</v>
      </c>
      <c r="AA46" s="21">
        <f>EXP(-LN(2)/25)*AA45+(1-EXP(-LN(2)/25))/(LN(2)/25)*Calculateur!V46*Calculateur!X46*VLOOKUP('Données projet'!$B$9,Paramètres!$A$1:$I$89,3,0)*0.475*44/12</f>
        <v>16.850577984180077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104.18336446856068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5.6843418860808015E-14</v>
      </c>
      <c r="O47" s="13">
        <f>N47*VLOOKUP('Données projet'!$B$9,Paramètres!$A$1:$I$89,3,0)*VLOOKUP('Données projet'!$B$9,Paramètres!$A$1:$I$89,5,0)</f>
        <v>3.3992364478763198E-14</v>
      </c>
      <c r="P47" s="13">
        <f t="shared" si="33"/>
        <v>5.790027782444094E-13</v>
      </c>
      <c r="Q47" s="20">
        <f t="shared" si="53"/>
        <v>1.0676332069095257E-12</v>
      </c>
      <c r="R47" s="59">
        <f t="shared" si="0"/>
        <v>293.33333333333439</v>
      </c>
      <c r="S47" s="59">
        <f ca="1">AVERAGE(OFFSET($R$3,0,0,'Données projet'!$E$9+1,1))-AVERAGE(OFFSET($H$3,0,0,'Données projet'!$E$9+1,1))</f>
        <v>173.43838269633449</v>
      </c>
      <c r="T47" s="59">
        <f t="shared" si="34"/>
        <v>346.57067290129595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85.620243809161906</v>
      </c>
      <c r="AA47" s="21">
        <f>EXP(-LN(2)/25)*AA46+(1-EXP(-LN(2)/25))/(LN(2)/25)*Calculateur!V47*Calculateur!X47*VLOOKUP('Données projet'!$B$9,Paramètres!$A$1:$I$89,3,0)*0.475*44/12</f>
        <v>16.389798043069291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102.0100418522312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5.6843418860808015E-14</v>
      </c>
      <c r="O48" s="13">
        <f>N48*VLOOKUP('Données projet'!$B$9,Paramètres!$A$1:$I$89,3,0)*VLOOKUP('Données projet'!$B$9,Paramètres!$A$1:$I$89,5,0)</f>
        <v>3.3992364478763198E-14</v>
      </c>
      <c r="P48" s="13">
        <f t="shared" si="33"/>
        <v>5.790027782444094E-13</v>
      </c>
      <c r="Q48" s="20">
        <f t="shared" si="53"/>
        <v>1.0676332069095257E-12</v>
      </c>
      <c r="R48" s="59">
        <f t="shared" si="0"/>
        <v>293.33333333333439</v>
      </c>
      <c r="S48" s="59">
        <f ca="1">AVERAGE(OFFSET($R$3,0,0,'Données projet'!$E$9+1,1))-AVERAGE(OFFSET($H$3,0,0,'Données projet'!$E$9+1,1))</f>
        <v>173.43838269633449</v>
      </c>
      <c r="T48" s="59">
        <f t="shared" si="34"/>
        <v>346.57067290129595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83.941283051256349</v>
      </c>
      <c r="AA48" s="21">
        <f>EXP(-LN(2)/25)*AA47+(1-EXP(-LN(2)/25))/(LN(2)/25)*Calculateur!V48*Calculateur!X48*VLOOKUP('Données projet'!$B$9,Paramètres!$A$1:$I$89,3,0)*0.475*44/12</f>
        <v>15.941618153679542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99.882901204935891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5.6843418860808015E-14</v>
      </c>
      <c r="O49" s="13">
        <f>N49*VLOOKUP('Données projet'!$B$9,Paramètres!$A$1:$I$89,3,0)*VLOOKUP('Données projet'!$B$9,Paramètres!$A$1:$I$89,5,0)</f>
        <v>3.3992364478763198E-14</v>
      </c>
      <c r="P49" s="13">
        <f t="shared" si="33"/>
        <v>5.790027782444094E-13</v>
      </c>
      <c r="Q49" s="20">
        <f t="shared" si="53"/>
        <v>1.0676332069095257E-12</v>
      </c>
      <c r="R49" s="59">
        <f t="shared" si="0"/>
        <v>293.33333333333439</v>
      </c>
      <c r="S49" s="59">
        <f ca="1">AVERAGE(OFFSET($R$3,0,0,'Données projet'!$E$9+1,1))-AVERAGE(OFFSET($H$3,0,0,'Données projet'!$E$9+1,1))</f>
        <v>173.43838269633449</v>
      </c>
      <c r="T49" s="59">
        <f t="shared" si="34"/>
        <v>346.57067290129595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82.295245689748384</v>
      </c>
      <c r="AA49" s="21">
        <f>EXP(-LN(2)/25)*AA48+(1-EXP(-LN(2)/25))/(LN(2)/25)*Calculateur!V49*Calculateur!X49*VLOOKUP('Données projet'!$B$9,Paramètres!$A$1:$I$89,3,0)*0.475*44/12</f>
        <v>15.505693766933911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97.8009394566823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5.6843418860808015E-14</v>
      </c>
      <c r="O50" s="13">
        <f>N50*VLOOKUP('Données projet'!$B$9,Paramètres!$A$1:$I$89,3,0)*VLOOKUP('Données projet'!$B$9,Paramètres!$A$1:$I$89,5,0)</f>
        <v>3.3992364478763198E-14</v>
      </c>
      <c r="P50" s="13">
        <f t="shared" si="33"/>
        <v>5.790027782444094E-13</v>
      </c>
      <c r="Q50" s="20">
        <f t="shared" si="53"/>
        <v>1.0676332069095257E-12</v>
      </c>
      <c r="R50" s="59">
        <f t="shared" si="0"/>
        <v>293.33333333333439</v>
      </c>
      <c r="S50" s="59">
        <f ca="1">AVERAGE(OFFSET($R$3,0,0,'Données projet'!$E$9+1,1))-AVERAGE(OFFSET($H$3,0,0,'Données projet'!$E$9+1,1))</f>
        <v>173.43838269633449</v>
      </c>
      <c r="T50" s="59">
        <f t="shared" si="34"/>
        <v>346.57067290129595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80.681486116915934</v>
      </c>
      <c r="AA50" s="21">
        <f>EXP(-LN(2)/25)*AA49+(1-EXP(-LN(2)/25))/(LN(2)/25)*Calculateur!V50*Calculateur!X50*VLOOKUP('Données projet'!$B$9,Paramètres!$A$1:$I$89,3,0)*0.475*44/12</f>
        <v>15.081689755468107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95.763175872384039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5.6843418860808015E-14</v>
      </c>
      <c r="O51" s="13">
        <f>N51*VLOOKUP('Données projet'!$B$9,Paramètres!$A$1:$I$89,3,0)*VLOOKUP('Données projet'!$B$9,Paramètres!$A$1:$I$89,5,0)</f>
        <v>3.3992364478763198E-14</v>
      </c>
      <c r="P51" s="13">
        <f t="shared" si="33"/>
        <v>5.790027782444094E-13</v>
      </c>
      <c r="Q51" s="20">
        <f t="shared" si="53"/>
        <v>1.0676332069095257E-12</v>
      </c>
      <c r="R51" s="59">
        <f t="shared" si="0"/>
        <v>293.33333333333439</v>
      </c>
      <c r="S51" s="59">
        <f ca="1">AVERAGE(OFFSET($R$3,0,0,'Données projet'!$E$9+1,1))-AVERAGE(OFFSET($H$3,0,0,'Données projet'!$E$9+1,1))</f>
        <v>173.43838269633449</v>
      </c>
      <c r="T51" s="59">
        <f t="shared" si="34"/>
        <v>346.57067290129595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79.099371385010571</v>
      </c>
      <c r="AA51" s="21">
        <f>EXP(-LN(2)/25)*AA50+(1-EXP(-LN(2)/25))/(LN(2)/25)*Calculateur!V51*Calculateur!X51*VLOOKUP('Données projet'!$B$9,Paramètres!$A$1:$I$89,3,0)*0.475*44/12</f>
        <v>14.669280155993237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93.768651541003806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5.6843418860808015E-14</v>
      </c>
      <c r="O52" s="13">
        <f>N52*VLOOKUP('Données projet'!$B$9,Paramètres!$A$1:$I$89,3,0)*VLOOKUP('Données projet'!$B$9,Paramètres!$A$1:$I$89,5,0)</f>
        <v>3.3992364478763198E-14</v>
      </c>
      <c r="P52" s="13">
        <f t="shared" si="33"/>
        <v>5.790027782444094E-13</v>
      </c>
      <c r="Q52" s="20">
        <f t="shared" si="53"/>
        <v>1.0676332069095257E-12</v>
      </c>
      <c r="R52" s="59">
        <f t="shared" si="0"/>
        <v>293.33333333333439</v>
      </c>
      <c r="S52" s="59">
        <f ca="1">AVERAGE(OFFSET($R$3,0,0,'Données projet'!$E$9+1,1))-AVERAGE(OFFSET($H$3,0,0,'Données projet'!$E$9+1,1))</f>
        <v>173.43838269633449</v>
      </c>
      <c r="T52" s="59">
        <f t="shared" si="34"/>
        <v>346.57067290129595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77.548280958003176</v>
      </c>
      <c r="AA52" s="21">
        <f>EXP(-LN(2)/25)*AA51+(1-EXP(-LN(2)/25))/(LN(2)/25)*Calculateur!V52*Calculateur!X52*VLOOKUP('Données projet'!$B$9,Paramètres!$A$1:$I$89,3,0)*0.475*44/12</f>
        <v>14.268147918703685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91.816428876706865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5.6843418860808015E-14</v>
      </c>
      <c r="O53" s="13">
        <f>N53*VLOOKUP('Données projet'!$B$9,Paramètres!$A$1:$I$89,3,0)*VLOOKUP('Données projet'!$B$9,Paramètres!$A$1:$I$89,5,0)</f>
        <v>3.3992364478763198E-14</v>
      </c>
      <c r="P53" s="13">
        <f t="shared" si="33"/>
        <v>5.790027782444094E-13</v>
      </c>
      <c r="Q53" s="20">
        <f t="shared" si="53"/>
        <v>1.0676332069095257E-12</v>
      </c>
      <c r="R53" s="59">
        <f t="shared" si="0"/>
        <v>293.33333333333439</v>
      </c>
      <c r="S53" s="59">
        <f ca="1">AVERAGE(OFFSET($R$3,0,0,'Données projet'!$E$9+1,1))-AVERAGE(OFFSET($H$3,0,0,'Données projet'!$E$9+1,1))</f>
        <v>173.43838269633449</v>
      </c>
      <c r="T53" s="59">
        <f t="shared" si="34"/>
        <v>346.57067290129595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76.027606468197646</v>
      </c>
      <c r="AA53" s="21">
        <f>EXP(-LN(2)/25)*AA52+(1-EXP(-LN(2)/25))/(LN(2)/25)*Calculateur!V53*Calculateur!X53*VLOOKUP('Données projet'!$B$9,Paramètres!$A$1:$I$89,3,0)*0.475*44/12</f>
        <v>13.877984663537443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89.905591131735093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5.6843418860808015E-14</v>
      </c>
      <c r="O54" s="13">
        <f>N54*VLOOKUP('Données projet'!$B$9,Paramètres!$A$1:$I$89,3,0)*VLOOKUP('Données projet'!$B$9,Paramètres!$A$1:$I$89,5,0)</f>
        <v>3.3992364478763198E-14</v>
      </c>
      <c r="P54" s="13">
        <f t="shared" si="33"/>
        <v>5.790027782444094E-13</v>
      </c>
      <c r="Q54" s="20">
        <f t="shared" si="53"/>
        <v>1.0676332069095257E-12</v>
      </c>
      <c r="R54" s="59">
        <f t="shared" si="0"/>
        <v>293.33333333333439</v>
      </c>
      <c r="S54" s="59">
        <f ca="1">AVERAGE(OFFSET($R$3,0,0,'Données projet'!$E$9+1,1))-AVERAGE(OFFSET($H$3,0,0,'Données projet'!$E$9+1,1))</f>
        <v>173.43838269633449</v>
      </c>
      <c r="T54" s="59">
        <f t="shared" si="34"/>
        <v>346.57067290129595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74.536751477617358</v>
      </c>
      <c r="AA54" s="21">
        <f>EXP(-LN(2)/25)*AA53+(1-EXP(-LN(2)/25))/(LN(2)/25)*Calculateur!V54*Calculateur!X54*VLOOKUP('Données projet'!$B$9,Paramètres!$A$1:$I$89,3,0)*0.475*44/12</f>
        <v>13.498490443101517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88.035241920718875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5.6843418860808015E-14</v>
      </c>
      <c r="O55" s="13">
        <f>N55*VLOOKUP('Données projet'!$B$9,Paramètres!$A$1:$I$89,3,0)*VLOOKUP('Données projet'!$B$9,Paramètres!$A$1:$I$89,5,0)</f>
        <v>3.3992364478763198E-14</v>
      </c>
      <c r="P55" s="13">
        <f t="shared" si="33"/>
        <v>5.790027782444094E-13</v>
      </c>
      <c r="Q55" s="20">
        <f t="shared" si="53"/>
        <v>1.0676332069095257E-12</v>
      </c>
      <c r="R55" s="59">
        <f t="shared" si="0"/>
        <v>293.33333333333439</v>
      </c>
      <c r="S55" s="59">
        <f ca="1">AVERAGE(OFFSET($R$3,0,0,'Données projet'!$E$9+1,1))-AVERAGE(OFFSET($H$3,0,0,'Données projet'!$E$9+1,1))</f>
        <v>173.43838269633449</v>
      </c>
      <c r="T55" s="59">
        <f t="shared" si="34"/>
        <v>346.57067290129595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73.07513124407059</v>
      </c>
      <c r="AA55" s="21">
        <f>EXP(-LN(2)/25)*AA54+(1-EXP(-LN(2)/25))/(LN(2)/25)*Calculateur!V55*Calculateur!X55*VLOOKUP('Données projet'!$B$9,Paramètres!$A$1:$I$89,3,0)*0.475*44/12</f>
        <v>13.129373512080145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86.20450475615074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5.6843418860808015E-14</v>
      </c>
      <c r="O56" s="13">
        <f>N56*VLOOKUP('Données projet'!$B$9,Paramètres!$A$1:$I$89,3,0)*VLOOKUP('Données projet'!$B$9,Paramètres!$A$1:$I$89,5,0)</f>
        <v>3.3992364478763198E-14</v>
      </c>
      <c r="P56" s="13">
        <f t="shared" si="33"/>
        <v>5.790027782444094E-13</v>
      </c>
      <c r="Q56" s="20">
        <f t="shared" si="53"/>
        <v>1.0676332069095257E-12</v>
      </c>
      <c r="R56" s="59">
        <f t="shared" si="0"/>
        <v>293.33333333333439</v>
      </c>
      <c r="S56" s="59">
        <f ca="1">AVERAGE(OFFSET($R$3,0,0,'Données projet'!$E$9+1,1))-AVERAGE(OFFSET($H$3,0,0,'Données projet'!$E$9+1,1))</f>
        <v>173.43838269633449</v>
      </c>
      <c r="T56" s="59">
        <f t="shared" si="34"/>
        <v>346.57067290129595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71.642172491803365</v>
      </c>
      <c r="AA56" s="21">
        <f>EXP(-LN(2)/25)*AA55+(1-EXP(-LN(2)/25))/(LN(2)/25)*Calculateur!V56*Calculateur!X56*VLOOKUP('Données projet'!$B$9,Paramètres!$A$1:$I$89,3,0)*0.475*44/12</f>
        <v>12.770350102948568</v>
      </c>
      <c r="AB56" s="21">
        <f>EXP(-LN(2)/2)*AB55+(1-EXP(-LN(2)/2))/(LN(2)/2)*V56*Y56*VLOOKUP('Données projet'!$B$9,Paramètres!$A$1:$I$89,3,0)*0.475*44/12</f>
        <v>0</v>
      </c>
      <c r="AC56" s="22">
        <f t="shared" si="3"/>
        <v>84.412522594751934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5.6843418860808015E-14</v>
      </c>
      <c r="O57" s="13">
        <f>N57*VLOOKUP('Données projet'!$B$9,Paramètres!$A$1:$I$89,3,0)*VLOOKUP('Données projet'!$B$9,Paramètres!$A$1:$I$89,5,0)</f>
        <v>3.3992364478763198E-14</v>
      </c>
      <c r="P57" s="13">
        <f t="shared" si="33"/>
        <v>5.790027782444094E-13</v>
      </c>
      <c r="Q57" s="20">
        <f t="shared" si="53"/>
        <v>1.0676332069095257E-12</v>
      </c>
      <c r="R57" s="59">
        <f t="shared" si="0"/>
        <v>293.33333333333439</v>
      </c>
      <c r="S57" s="59">
        <f ca="1">AVERAGE(OFFSET($R$3,0,0,'Données projet'!$E$9+1,1))-AVERAGE(OFFSET($H$3,0,0,'Données projet'!$E$9+1,1))</f>
        <v>173.43838269633449</v>
      </c>
      <c r="T57" s="59">
        <f t="shared" si="34"/>
        <v>346.57067290129595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70.237313186649558</v>
      </c>
      <c r="AA57" s="21">
        <f>EXP(-LN(2)/25)*AA56+(1-EXP(-LN(2)/25))/(LN(2)/25)*Calculateur!V57*Calculateur!X57*VLOOKUP('Données projet'!$B$9,Paramètres!$A$1:$I$89,3,0)*0.475*44/12</f>
        <v>12.421144207819914</v>
      </c>
      <c r="AB57" s="21">
        <f>EXP(-LN(2)/2)*AB56+(1-EXP(-LN(2)/2))/(LN(2)/2)*V57*Y57*VLOOKUP('Données projet'!$B$9,Paramètres!$A$1:$I$89,3,0)*0.475*44/12</f>
        <v>0</v>
      </c>
      <c r="AC57" s="22">
        <f t="shared" si="3"/>
        <v>82.65845739446948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5.6843418860808015E-14</v>
      </c>
      <c r="O58" s="13">
        <f>N58*VLOOKUP('Données projet'!$B$9,Paramètres!$A$1:$I$89,3,0)*VLOOKUP('Données projet'!$B$9,Paramètres!$A$1:$I$89,5,0)</f>
        <v>3.3992364478763198E-14</v>
      </c>
      <c r="P58" s="13">
        <f t="shared" si="33"/>
        <v>5.790027782444094E-13</v>
      </c>
      <c r="Q58" s="20">
        <f t="shared" si="53"/>
        <v>1.0676332069095257E-12</v>
      </c>
      <c r="R58" s="59">
        <f t="shared" si="0"/>
        <v>293.33333333333439</v>
      </c>
      <c r="S58" s="59">
        <f ca="1">AVERAGE(OFFSET($R$3,0,0,'Données projet'!$E$9+1,1))-AVERAGE(OFFSET($H$3,0,0,'Données projet'!$E$9+1,1))</f>
        <v>173.43838269633449</v>
      </c>
      <c r="T58" s="59">
        <f t="shared" si="34"/>
        <v>346.57067290129595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68.860002315590251</v>
      </c>
      <c r="AA58" s="21">
        <f>EXP(-LN(2)/25)*AA57+(1-EXP(-LN(2)/25))/(LN(2)/25)*Calculateur!V58*Calculateur!X58*VLOOKUP('Données projet'!$B$9,Paramètres!$A$1:$I$89,3,0)*0.475*44/12</f>
        <v>12.081487366257493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80.941489681847742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5.6843418860808015E-14</v>
      </c>
      <c r="O59" s="13">
        <f>N59*VLOOKUP('Données projet'!$B$9,Paramètres!$A$1:$I$89,3,0)*VLOOKUP('Données projet'!$B$9,Paramètres!$A$1:$I$89,5,0)</f>
        <v>3.3992364478763198E-14</v>
      </c>
      <c r="P59" s="13">
        <f t="shared" si="33"/>
        <v>5.790027782444094E-13</v>
      </c>
      <c r="Q59" s="20">
        <f t="shared" si="53"/>
        <v>1.0676332069095257E-12</v>
      </c>
      <c r="R59" s="59">
        <f t="shared" si="0"/>
        <v>293.33333333333439</v>
      </c>
      <c r="S59" s="59">
        <f ca="1">AVERAGE(OFFSET($R$3,0,0,'Données projet'!$E$9+1,1))-AVERAGE(OFFSET($H$3,0,0,'Données projet'!$E$9+1,1))</f>
        <v>173.43838269633449</v>
      </c>
      <c r="T59" s="59">
        <f t="shared" si="34"/>
        <v>346.57067290129595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67.50969967063574</v>
      </c>
      <c r="AA59" s="21">
        <f>EXP(-LN(2)/25)*AA58+(1-EXP(-LN(2)/25))/(LN(2)/25)*Calculateur!V59*Calculateur!X59*VLOOKUP('Données projet'!$B$9,Paramètres!$A$1:$I$89,3,0)*0.475*44/12</f>
        <v>11.751118458889374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79.26081812952512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5.6843418860808015E-14</v>
      </c>
      <c r="O60" s="13">
        <f>N60*VLOOKUP('Données projet'!$B$9,Paramètres!$A$1:$I$89,3,0)*VLOOKUP('Données projet'!$B$9,Paramètres!$A$1:$I$89,5,0)</f>
        <v>3.3992364478763198E-14</v>
      </c>
      <c r="P60" s="13">
        <f t="shared" si="33"/>
        <v>5.790027782444094E-13</v>
      </c>
      <c r="Q60" s="20">
        <f t="shared" si="53"/>
        <v>1.0676332069095257E-12</v>
      </c>
      <c r="R60" s="59">
        <f t="shared" si="0"/>
        <v>293.33333333333439</v>
      </c>
      <c r="S60" s="59">
        <f ca="1">AVERAGE(OFFSET($R$3,0,0,'Données projet'!$E$9+1,1))-AVERAGE(OFFSET($H$3,0,0,'Données projet'!$E$9+1,1))</f>
        <v>173.43838269633449</v>
      </c>
      <c r="T60" s="59">
        <f t="shared" si="34"/>
        <v>346.57067290129595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66.185875636945497</v>
      </c>
      <c r="AA60" s="21">
        <f>EXP(-LN(2)/25)*AA59+(1-EXP(-LN(2)/25))/(LN(2)/25)*Calculateur!V60*Calculateur!X60*VLOOKUP('Données projet'!$B$9,Paramètres!$A$1:$I$89,3,0)*0.475*44/12</f>
        <v>11.429783506666583</v>
      </c>
      <c r="AB60" s="21">
        <f>EXP(-LN(2)/2)*AB59+(1-EXP(-LN(2)/2))/(LN(2)/2)*V60*Y60*VLOOKUP('Données projet'!$B$9,Paramètres!$A$1:$I$89,3,0)*0.475*44/12</f>
        <v>0</v>
      </c>
      <c r="AC60" s="22">
        <f t="shared" si="3"/>
        <v>77.615659143612078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5.6843418860808015E-14</v>
      </c>
      <c r="O61" s="13">
        <f>N61*VLOOKUP('Données projet'!$B$9,Paramètres!$A$1:$I$89,3,0)*VLOOKUP('Données projet'!$B$9,Paramètres!$A$1:$I$89,5,0)</f>
        <v>3.3992364478763198E-14</v>
      </c>
      <c r="P61" s="13">
        <f t="shared" si="33"/>
        <v>5.790027782444094E-13</v>
      </c>
      <c r="Q61" s="20">
        <f t="shared" si="53"/>
        <v>1.0676332069095257E-12</v>
      </c>
      <c r="R61" s="59">
        <f t="shared" si="0"/>
        <v>293.33333333333439</v>
      </c>
      <c r="S61" s="59">
        <f ca="1">AVERAGE(OFFSET($R$3,0,0,'Données projet'!$E$9+1,1))-AVERAGE(OFFSET($H$3,0,0,'Données projet'!$E$9+1,1))</f>
        <v>173.43838269633449</v>
      </c>
      <c r="T61" s="59">
        <f t="shared" si="34"/>
        <v>346.57067290129595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64.88801098510298</v>
      </c>
      <c r="AA61" s="21">
        <f>EXP(-LN(2)/25)*AA60+(1-EXP(-LN(2)/25))/(LN(2)/25)*Calculateur!V61*Calculateur!X61*VLOOKUP('Données projet'!$B$9,Paramètres!$A$1:$I$89,3,0)*0.475*44/12</f>
        <v>11.117235475610594</v>
      </c>
      <c r="AB61" s="21">
        <f>EXP(-LN(2)/2)*AB60+(1-EXP(-LN(2)/2))/(LN(2)/2)*V61*Y61*VLOOKUP('Données projet'!$B$9,Paramètres!$A$1:$I$89,3,0)*0.475*44/12</f>
        <v>0</v>
      </c>
      <c r="AC61" s="22">
        <f t="shared" si="3"/>
        <v>76.005246460713579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5.6843418860808015E-14</v>
      </c>
      <c r="O62" s="13">
        <f>N62*VLOOKUP('Données projet'!$B$9,Paramètres!$A$1:$I$89,3,0)*VLOOKUP('Données projet'!$B$9,Paramètres!$A$1:$I$89,5,0)</f>
        <v>3.3992364478763198E-14</v>
      </c>
      <c r="P62" s="13">
        <f t="shared" si="33"/>
        <v>5.790027782444094E-13</v>
      </c>
      <c r="Q62" s="20">
        <f t="shared" si="53"/>
        <v>1.0676332069095257E-12</v>
      </c>
      <c r="R62" s="59">
        <f t="shared" si="0"/>
        <v>293.33333333333439</v>
      </c>
      <c r="S62" s="59">
        <f ca="1">AVERAGE(OFFSET($R$3,0,0,'Données projet'!$E$9+1,1))-AVERAGE(OFFSET($H$3,0,0,'Données projet'!$E$9+1,1))</f>
        <v>173.43838269633449</v>
      </c>
      <c r="T62" s="59">
        <f t="shared" si="34"/>
        <v>346.57067290129595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63.615596667463834</v>
      </c>
      <c r="AA62" s="21">
        <f>EXP(-LN(2)/25)*AA61+(1-EXP(-LN(2)/25))/(LN(2)/25)*Calculateur!V62*Calculateur!X62*VLOOKUP('Données projet'!$B$9,Paramètres!$A$1:$I$89,3,0)*0.475*44/12</f>
        <v>10.813234086900017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74.428830754363844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5.6843418860808015E-14</v>
      </c>
      <c r="O63" s="13">
        <f>N63*VLOOKUP('Données projet'!$B$9,Paramètres!$A$1:$I$89,3,0)*VLOOKUP('Données projet'!$B$9,Paramètres!$A$1:$I$89,5,0)</f>
        <v>3.3992364478763198E-14</v>
      </c>
      <c r="P63" s="13">
        <f t="shared" si="33"/>
        <v>5.790027782444094E-13</v>
      </c>
      <c r="Q63" s="20">
        <f t="shared" si="53"/>
        <v>1.0676332069095257E-12</v>
      </c>
      <c r="R63" s="59">
        <f t="shared" si="0"/>
        <v>293.33333333333439</v>
      </c>
      <c r="S63" s="59">
        <f ca="1">AVERAGE(OFFSET($R$3,0,0,'Données projet'!$E$9+1,1))-AVERAGE(OFFSET($H$3,0,0,'Données projet'!$E$9+1,1))</f>
        <v>173.43838269633449</v>
      </c>
      <c r="T63" s="59">
        <f t="shared" si="34"/>
        <v>346.57067290129595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62.368133618497488</v>
      </c>
      <c r="AA63" s="21">
        <f>EXP(-LN(2)/25)*AA62+(1-EXP(-LN(2)/25))/(LN(2)/25)*Calculateur!V63*Calculateur!X63*VLOOKUP('Données projet'!$B$9,Paramètres!$A$1:$I$89,3,0)*0.475*44/12</f>
        <v>10.517545632150469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72.885679250647954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5.6843418860808015E-14</v>
      </c>
      <c r="O64" s="13">
        <f>N64*VLOOKUP('Données projet'!$B$9,Paramètres!$A$1:$I$89,3,0)*VLOOKUP('Données projet'!$B$9,Paramètres!$A$1:$I$89,5,0)</f>
        <v>3.3992364478763198E-14</v>
      </c>
      <c r="P64" s="13">
        <f t="shared" si="33"/>
        <v>5.790027782444094E-13</v>
      </c>
      <c r="Q64" s="20">
        <f t="shared" si="53"/>
        <v>1.0676332069095257E-12</v>
      </c>
      <c r="R64" s="59">
        <f t="shared" si="0"/>
        <v>293.33333333333439</v>
      </c>
      <c r="S64" s="59">
        <f ca="1">AVERAGE(OFFSET($R$3,0,0,'Données projet'!$E$9+1,1))-AVERAGE(OFFSET($H$3,0,0,'Données projet'!$E$9+1,1))</f>
        <v>173.43838269633449</v>
      </c>
      <c r="T64" s="59">
        <f t="shared" si="34"/>
        <v>346.57067290129595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61.145132559044043</v>
      </c>
      <c r="AA64" s="21">
        <f>EXP(-LN(2)/25)*AA63+(1-EXP(-LN(2)/25))/(LN(2)/25)*Calculateur!V64*Calculateur!X64*VLOOKUP('Données projet'!$B$9,Paramètres!$A$1:$I$89,3,0)*0.475*44/12</f>
        <v>10.229942793745629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71.375075352789679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5.6843418860808015E-14</v>
      </c>
      <c r="O65" s="13">
        <f>N65*VLOOKUP('Données projet'!$B$9,Paramètres!$A$1:$I$89,3,0)*VLOOKUP('Données projet'!$B$9,Paramètres!$A$1:$I$89,5,0)</f>
        <v>3.3992364478763198E-14</v>
      </c>
      <c r="P65" s="13">
        <f t="shared" si="33"/>
        <v>5.790027782444094E-13</v>
      </c>
      <c r="Q65" s="20">
        <f t="shared" si="53"/>
        <v>1.0676332069095257E-12</v>
      </c>
      <c r="R65" s="59">
        <f t="shared" si="0"/>
        <v>293.33333333333439</v>
      </c>
      <c r="S65" s="59">
        <f ca="1">AVERAGE(OFFSET($R$3,0,0,'Données projet'!$E$9+1,1))-AVERAGE(OFFSET($H$3,0,0,'Données projet'!$E$9+1,1))</f>
        <v>173.43838269633449</v>
      </c>
      <c r="T65" s="59">
        <f t="shared" si="34"/>
        <v>346.57067290129595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59.946113804409492</v>
      </c>
      <c r="AA65" s="21">
        <f>EXP(-LN(2)/25)*AA64+(1-EXP(-LN(2)/25))/(LN(2)/25)*Calculateur!V65*Calculateur!X65*VLOOKUP('Données projet'!$B$9,Paramètres!$A$1:$I$89,3,0)*0.475*44/12</f>
        <v>9.9502044700813439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69.896318274490838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5.6843418860808015E-14</v>
      </c>
      <c r="O66" s="13">
        <f>N66*VLOOKUP('Données projet'!$B$9,Paramètres!$A$1:$I$89,3,0)*VLOOKUP('Données projet'!$B$9,Paramètres!$A$1:$I$89,5,0)</f>
        <v>3.3992364478763198E-14</v>
      </c>
      <c r="P66" s="13">
        <f t="shared" si="33"/>
        <v>5.790027782444094E-13</v>
      </c>
      <c r="Q66" s="20">
        <f t="shared" si="53"/>
        <v>1.0676332069095257E-12</v>
      </c>
      <c r="R66" s="59">
        <f t="shared" si="0"/>
        <v>293.33333333333439</v>
      </c>
      <c r="S66" s="59">
        <f ca="1">AVERAGE(OFFSET($R$3,0,0,'Données projet'!$E$9+1,1))-AVERAGE(OFFSET($H$3,0,0,'Données projet'!$E$9+1,1))</f>
        <v>173.43838269633449</v>
      </c>
      <c r="T66" s="59">
        <f t="shared" si="34"/>
        <v>346.57067290129595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58.770607076224096</v>
      </c>
      <c r="AA66" s="21">
        <f>EXP(-LN(2)/25)*AA65+(1-EXP(-LN(2)/25))/(LN(2)/25)*Calculateur!V66*Calculateur!X66*VLOOKUP('Données projet'!$B$9,Paramètres!$A$1:$I$89,3,0)*0.475*44/12</f>
        <v>9.6781156055884576</v>
      </c>
      <c r="AB66" s="21">
        <f>EXP(-LN(2)/2)*AB65+(1-EXP(-LN(2)/2))/(LN(2)/2)*V66*Y66*VLOOKUP('Données projet'!$B$9,Paramètres!$A$1:$I$89,3,0)*0.475*44/12</f>
        <v>0</v>
      </c>
      <c r="AC66" s="22">
        <f t="shared" si="3"/>
        <v>68.448722681812555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5.6843418860808015E-14</v>
      </c>
      <c r="O67" s="13">
        <f>N67*VLOOKUP('Données projet'!$B$9,Paramètres!$A$1:$I$89,3,0)*VLOOKUP('Données projet'!$B$9,Paramètres!$A$1:$I$89,5,0)</f>
        <v>3.3992364478763198E-14</v>
      </c>
      <c r="P67" s="13">
        <f t="shared" si="33"/>
        <v>5.790027782444094E-13</v>
      </c>
      <c r="Q67" s="20">
        <f t="shared" ref="Q67:Q98" si="54">(O67+P67)*0.475*44/12</f>
        <v>1.0676332069095257E-12</v>
      </c>
      <c r="R67" s="59">
        <f t="shared" ref="R67:R130" si="55">Q67+(I67+J67)*44/12</f>
        <v>293.33333333333439</v>
      </c>
      <c r="S67" s="59">
        <f ca="1">AVERAGE(OFFSET($R$3,0,0,'Données projet'!$E$9+1,1))-AVERAGE(OFFSET($H$3,0,0,'Données projet'!$E$9+1,1))</f>
        <v>173.43838269633449</v>
      </c>
      <c r="T67" s="59">
        <f t="shared" si="34"/>
        <v>346.57067290129595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57.618151317990105</v>
      </c>
      <c r="AA67" s="21">
        <f>EXP(-LN(2)/25)*AA66+(1-EXP(-LN(2)/25))/(LN(2)/25)*Calculateur!V67*Calculateur!X67*VLOOKUP('Données projet'!$B$9,Paramètres!$A$1:$I$89,3,0)*0.475*44/12</f>
        <v>9.4134670254036603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67.03161834339376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5.6843418860808015E-14</v>
      </c>
      <c r="O68" s="13">
        <f>N68*VLOOKUP('Données projet'!$B$9,Paramètres!$A$1:$I$89,3,0)*VLOOKUP('Données projet'!$B$9,Paramètres!$A$1:$I$89,5,0)</f>
        <v>3.3992364478763198E-14</v>
      </c>
      <c r="P68" s="13">
        <f t="shared" si="33"/>
        <v>5.790027782444094E-13</v>
      </c>
      <c r="Q68" s="20">
        <f t="shared" si="54"/>
        <v>1.0676332069095257E-12</v>
      </c>
      <c r="R68" s="59">
        <f t="shared" si="55"/>
        <v>293.33333333333439</v>
      </c>
      <c r="S68" s="59">
        <f ca="1">AVERAGE(OFFSET($R$3,0,0,'Données projet'!$E$9+1,1))-AVERAGE(OFFSET($H$3,0,0,'Données projet'!$E$9+1,1))</f>
        <v>173.43838269633449</v>
      </c>
      <c r="T68" s="59">
        <f t="shared" si="34"/>
        <v>346.57067290129595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56.488294514246483</v>
      </c>
      <c r="AA68" s="21">
        <f>EXP(-LN(2)/25)*AA67+(1-EXP(-LN(2)/25))/(LN(2)/25)*Calculateur!V68*Calculateur!X68*VLOOKUP('Données projet'!$B$9,Paramètres!$A$1:$I$89,3,0)*0.475*44/12</f>
        <v>9.1560552745612807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65.644349788807759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5.6843418860808015E-14</v>
      </c>
      <c r="O69" s="13">
        <f>N69*VLOOKUP('Données projet'!$B$9,Paramètres!$A$1:$I$89,3,0)*VLOOKUP('Données projet'!$B$9,Paramètres!$A$1:$I$89,5,0)</f>
        <v>3.3992364478763198E-14</v>
      </c>
      <c r="P69" s="13">
        <f t="shared" ref="P69:P132" si="87">EXP(-1.0587+0.8836*LN(O69)+0.284)</f>
        <v>5.790027782444094E-13</v>
      </c>
      <c r="Q69" s="20">
        <f t="shared" si="54"/>
        <v>1.0676332069095257E-12</v>
      </c>
      <c r="R69" s="59">
        <f t="shared" si="55"/>
        <v>293.33333333333439</v>
      </c>
      <c r="S69" s="59">
        <f ca="1">AVERAGE(OFFSET($R$3,0,0,'Données projet'!$E$9+1,1))-AVERAGE(OFFSET($H$3,0,0,'Données projet'!$E$9+1,1))</f>
        <v>173.43838269633449</v>
      </c>
      <c r="T69" s="59">
        <f t="shared" ref="T69:T132" si="88">$T$3</f>
        <v>346.57067290129595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55.380593513279671</v>
      </c>
      <c r="AA69" s="21">
        <f>EXP(-LN(2)/25)*AA68+(1-EXP(-LN(2)/25))/(LN(2)/25)*Calculateur!V69*Calculateur!X69*VLOOKUP('Données projet'!$B$9,Paramètres!$A$1:$I$89,3,0)*0.475*44/12</f>
        <v>8.9056824615823817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64.28627597486205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5.6843418860808015E-14</v>
      </c>
      <c r="O70" s="13">
        <f>N70*VLOOKUP('Données projet'!$B$9,Paramètres!$A$1:$I$89,3,0)*VLOOKUP('Données projet'!$B$9,Paramètres!$A$1:$I$89,5,0)</f>
        <v>3.3992364478763198E-14</v>
      </c>
      <c r="P70" s="13">
        <f t="shared" si="87"/>
        <v>5.790027782444094E-13</v>
      </c>
      <c r="Q70" s="20">
        <f t="shared" si="54"/>
        <v>1.0676332069095257E-12</v>
      </c>
      <c r="R70" s="59">
        <f t="shared" si="55"/>
        <v>293.33333333333439</v>
      </c>
      <c r="S70" s="59">
        <f ca="1">AVERAGE(OFFSET($R$3,0,0,'Données projet'!$E$9+1,1))-AVERAGE(OFFSET($H$3,0,0,'Données projet'!$E$9+1,1))</f>
        <v>173.43838269633449</v>
      </c>
      <c r="T70" s="59">
        <f t="shared" si="88"/>
        <v>346.57067290129595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54.294613853310921</v>
      </c>
      <c r="AA70" s="21">
        <f>EXP(-LN(2)/25)*AA69+(1-EXP(-LN(2)/25))/(LN(2)/25)*Calculateur!V70*Calculateur!X70*VLOOKUP('Données projet'!$B$9,Paramètres!$A$1:$I$89,3,0)*0.475*44/12</f>
        <v>8.6621561063409249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62.956769959651844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5.6843418860808015E-14</v>
      </c>
      <c r="O71" s="13">
        <f>N71*VLOOKUP('Données projet'!$B$9,Paramètres!$A$1:$I$89,3,0)*VLOOKUP('Données projet'!$B$9,Paramètres!$A$1:$I$89,5,0)</f>
        <v>3.3992364478763198E-14</v>
      </c>
      <c r="P71" s="13">
        <f t="shared" si="87"/>
        <v>5.790027782444094E-13</v>
      </c>
      <c r="Q71" s="20">
        <f t="shared" si="54"/>
        <v>1.0676332069095257E-12</v>
      </c>
      <c r="R71" s="59">
        <f t="shared" si="55"/>
        <v>293.33333333333439</v>
      </c>
      <c r="S71" s="59">
        <f ca="1">AVERAGE(OFFSET($R$3,0,0,'Données projet'!$E$9+1,1))-AVERAGE(OFFSET($H$3,0,0,'Données projet'!$E$9+1,1))</f>
        <v>173.43838269633449</v>
      </c>
      <c r="T71" s="59">
        <f t="shared" si="88"/>
        <v>346.57067290129595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53.229929592091963</v>
      </c>
      <c r="AA71" s="21">
        <f>EXP(-LN(2)/25)*AA70+(1-EXP(-LN(2)/25))/(LN(2)/25)*Calculateur!V71*Calculateur!X71*VLOOKUP('Données projet'!$B$9,Paramètres!$A$1:$I$89,3,0)*0.475*44/12</f>
        <v>8.4252889920900405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61.655218584182002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5.6843418860808015E-14</v>
      </c>
      <c r="O72" s="13">
        <f>N72*VLOOKUP('Données projet'!$B$9,Paramètres!$A$1:$I$89,3,0)*VLOOKUP('Données projet'!$B$9,Paramètres!$A$1:$I$89,5,0)</f>
        <v>3.3992364478763198E-14</v>
      </c>
      <c r="P72" s="13">
        <f t="shared" si="87"/>
        <v>5.790027782444094E-13</v>
      </c>
      <c r="Q72" s="20">
        <f t="shared" si="54"/>
        <v>1.0676332069095257E-12</v>
      </c>
      <c r="R72" s="59">
        <f t="shared" si="55"/>
        <v>293.33333333333439</v>
      </c>
      <c r="S72" s="59">
        <f ca="1">AVERAGE(OFFSET($R$3,0,0,'Données projet'!$E$9+1,1))-AVERAGE(OFFSET($H$3,0,0,'Données projet'!$E$9+1,1))</f>
        <v>173.43838269633449</v>
      </c>
      <c r="T72" s="59">
        <f t="shared" si="88"/>
        <v>346.57067290129595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52.186123139842238</v>
      </c>
      <c r="AA72" s="21">
        <f>EXP(-LN(2)/25)*AA71+(1-EXP(-LN(2)/25))/(LN(2)/25)*Calculateur!V72*Calculateur!X72*VLOOKUP('Données projet'!$B$9,Paramètres!$A$1:$I$89,3,0)*0.475*44/12</f>
        <v>8.1948990215346473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60.381022161376883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5.6843418860808015E-14</v>
      </c>
      <c r="O73" s="13">
        <f>N73*VLOOKUP('Données projet'!$B$9,Paramètres!$A$1:$I$89,3,0)*VLOOKUP('Données projet'!$B$9,Paramètres!$A$1:$I$89,5,0)</f>
        <v>3.3992364478763198E-14</v>
      </c>
      <c r="P73" s="13">
        <f t="shared" si="87"/>
        <v>5.790027782444094E-13</v>
      </c>
      <c r="Q73" s="20">
        <f t="shared" si="54"/>
        <v>1.0676332069095257E-12</v>
      </c>
      <c r="R73" s="59">
        <f t="shared" si="55"/>
        <v>293.33333333333439</v>
      </c>
      <c r="S73" s="59">
        <f ca="1">AVERAGE(OFFSET($R$3,0,0,'Données projet'!$E$9+1,1))-AVERAGE(OFFSET($H$3,0,0,'Données projet'!$E$9+1,1))</f>
        <v>173.43838269633449</v>
      </c>
      <c r="T73" s="59">
        <f t="shared" si="88"/>
        <v>346.57067290129595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51.162785095462056</v>
      </c>
      <c r="AA73" s="21">
        <f>EXP(-LN(2)/25)*AA72+(1-EXP(-LN(2)/25))/(LN(2)/25)*Calculateur!V73*Calculateur!X73*VLOOKUP('Données projet'!$B$9,Paramètres!$A$1:$I$89,3,0)*0.475*44/12</f>
        <v>7.9708090768397728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59.133594172301827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5.6843418860808015E-14</v>
      </c>
      <c r="O74" s="13">
        <f>N74*VLOOKUP('Données projet'!$B$9,Paramètres!$A$1:$I$89,3,0)*VLOOKUP('Données projet'!$B$9,Paramètres!$A$1:$I$89,5,0)</f>
        <v>3.3992364478763198E-14</v>
      </c>
      <c r="P74" s="13">
        <f t="shared" si="87"/>
        <v>5.790027782444094E-13</v>
      </c>
      <c r="Q74" s="20">
        <f t="shared" si="54"/>
        <v>1.0676332069095257E-12</v>
      </c>
      <c r="R74" s="59">
        <f t="shared" si="55"/>
        <v>293.33333333333439</v>
      </c>
      <c r="S74" s="59">
        <f ca="1">AVERAGE(OFFSET($R$3,0,0,'Données projet'!$E$9+1,1))-AVERAGE(OFFSET($H$3,0,0,'Données projet'!$E$9+1,1))</f>
        <v>173.43838269633449</v>
      </c>
      <c r="T74" s="59">
        <f t="shared" si="88"/>
        <v>346.57067290129595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50.159514085957596</v>
      </c>
      <c r="AA74" s="21">
        <f>EXP(-LN(2)/25)*AA73+(1-EXP(-LN(2)/25))/(LN(2)/25)*Calculateur!V74*Calculateur!X74*VLOOKUP('Données projet'!$B$9,Paramètres!$A$1:$I$89,3,0)*0.475*44/12</f>
        <v>7.7528468834669573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57.912360969424554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5.6843418860808015E-14</v>
      </c>
      <c r="O75" s="13">
        <f>N75*VLOOKUP('Données projet'!$B$9,Paramètres!$A$1:$I$89,3,0)*VLOOKUP('Données projet'!$B$9,Paramètres!$A$1:$I$89,5,0)</f>
        <v>3.3992364478763198E-14</v>
      </c>
      <c r="P75" s="13">
        <f t="shared" si="87"/>
        <v>5.790027782444094E-13</v>
      </c>
      <c r="Q75" s="20">
        <f t="shared" si="54"/>
        <v>1.0676332069095257E-12</v>
      </c>
      <c r="R75" s="59">
        <f t="shared" si="55"/>
        <v>293.33333333333439</v>
      </c>
      <c r="S75" s="59">
        <f ca="1">AVERAGE(OFFSET($R$3,0,0,'Données projet'!$E$9+1,1))-AVERAGE(OFFSET($H$3,0,0,'Données projet'!$E$9+1,1))</f>
        <v>173.43838269633449</v>
      </c>
      <c r="T75" s="59">
        <f t="shared" si="88"/>
        <v>346.57067290129595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49.175916609014628</v>
      </c>
      <c r="AA75" s="21">
        <f>EXP(-LN(2)/25)*AA74+(1-EXP(-LN(2)/25))/(LN(2)/25)*Calculateur!V75*Calculateur!X75*VLOOKUP('Données projet'!$B$9,Paramètres!$A$1:$I$89,3,0)*0.475*44/12</f>
        <v>7.5408448777340551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56.71676148674868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5.6843418860808015E-14</v>
      </c>
      <c r="O76" s="13">
        <f>N76*VLOOKUP('Données projet'!$B$9,Paramètres!$A$1:$I$89,3,0)*VLOOKUP('Données projet'!$B$9,Paramètres!$A$1:$I$89,5,0)</f>
        <v>3.3992364478763198E-14</v>
      </c>
      <c r="P76" s="13">
        <f t="shared" si="87"/>
        <v>5.790027782444094E-13</v>
      </c>
      <c r="Q76" s="20">
        <f t="shared" si="54"/>
        <v>1.0676332069095257E-12</v>
      </c>
      <c r="R76" s="59">
        <f t="shared" si="55"/>
        <v>293.33333333333439</v>
      </c>
      <c r="S76" s="59">
        <f ca="1">AVERAGE(OFFSET($R$3,0,0,'Données projet'!$E$9+1,1))-AVERAGE(OFFSET($H$3,0,0,'Données projet'!$E$9+1,1))</f>
        <v>173.43838269633449</v>
      </c>
      <c r="T76" s="59">
        <f t="shared" si="88"/>
        <v>346.57067290129595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48.211606878659289</v>
      </c>
      <c r="AA76" s="21">
        <f>EXP(-LN(2)/25)*AA75+(1-EXP(-LN(2)/25))/(LN(2)/25)*Calculateur!V76*Calculateur!X76*VLOOKUP('Données projet'!$B$9,Paramètres!$A$1:$I$89,3,0)*0.475*44/12</f>
        <v>7.3346400779966201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55.546246956655907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5.6843418860808015E-14</v>
      </c>
      <c r="O77" s="13">
        <f>N77*VLOOKUP('Données projet'!$B$9,Paramètres!$A$1:$I$89,3,0)*VLOOKUP('Données projet'!$B$9,Paramètres!$A$1:$I$89,5,0)</f>
        <v>3.3992364478763198E-14</v>
      </c>
      <c r="P77" s="13">
        <f t="shared" si="87"/>
        <v>5.790027782444094E-13</v>
      </c>
      <c r="Q77" s="20">
        <f t="shared" si="54"/>
        <v>1.0676332069095257E-12</v>
      </c>
      <c r="R77" s="59">
        <f t="shared" si="55"/>
        <v>293.33333333333439</v>
      </c>
      <c r="S77" s="59">
        <f ca="1">AVERAGE(OFFSET($R$3,0,0,'Données projet'!$E$9+1,1))-AVERAGE(OFFSET($H$3,0,0,'Données projet'!$E$9+1,1))</f>
        <v>173.43838269633449</v>
      </c>
      <c r="T77" s="59">
        <f t="shared" si="88"/>
        <v>346.57067290129595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47.266206673945355</v>
      </c>
      <c r="AA77" s="21">
        <f>EXP(-LN(2)/25)*AA76+(1-EXP(-LN(2)/25))/(LN(2)/25)*Calculateur!V77*Calculateur!X77*VLOOKUP('Données projet'!$B$9,Paramètres!$A$1:$I$89,3,0)*0.475*44/12</f>
        <v>7.1340739593518441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54.4002806332972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5.6843418860808015E-14</v>
      </c>
      <c r="O78" s="13">
        <f>N78*VLOOKUP('Données projet'!$B$9,Paramètres!$A$1:$I$89,3,0)*VLOOKUP('Données projet'!$B$9,Paramètres!$A$1:$I$89,5,0)</f>
        <v>3.3992364478763198E-14</v>
      </c>
      <c r="P78" s="13">
        <f t="shared" si="87"/>
        <v>5.790027782444094E-13</v>
      </c>
      <c r="Q78" s="20">
        <f t="shared" si="54"/>
        <v>1.0676332069095257E-12</v>
      </c>
      <c r="R78" s="59">
        <f t="shared" si="55"/>
        <v>293.33333333333439</v>
      </c>
      <c r="S78" s="59">
        <f ca="1">AVERAGE(OFFSET($R$3,0,0,'Données projet'!$E$9+1,1))-AVERAGE(OFFSET($H$3,0,0,'Données projet'!$E$9+1,1))</f>
        <v>173.43838269633449</v>
      </c>
      <c r="T78" s="59">
        <f t="shared" si="88"/>
        <v>346.57067290129595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46.339345190608675</v>
      </c>
      <c r="AA78" s="21">
        <f>EXP(-LN(2)/25)*AA77+(1-EXP(-LN(2)/25))/(LN(2)/25)*Calculateur!V78*Calculateur!X78*VLOOKUP('Données projet'!$B$9,Paramètres!$A$1:$I$89,3,0)*0.475*44/12</f>
        <v>6.9389923317687234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53.278337522377399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5.6843418860808015E-14</v>
      </c>
      <c r="O79" s="13">
        <f>N79*VLOOKUP('Données projet'!$B$9,Paramètres!$A$1:$I$89,3,0)*VLOOKUP('Données projet'!$B$9,Paramètres!$A$1:$I$89,5,0)</f>
        <v>3.3992364478763198E-14</v>
      </c>
      <c r="P79" s="13">
        <f t="shared" si="87"/>
        <v>5.790027782444094E-13</v>
      </c>
      <c r="Q79" s="20">
        <f t="shared" si="54"/>
        <v>1.0676332069095257E-12</v>
      </c>
      <c r="R79" s="59">
        <f t="shared" si="55"/>
        <v>293.33333333333439</v>
      </c>
      <c r="S79" s="59">
        <f ca="1">AVERAGE(OFFSET($R$3,0,0,'Données projet'!$E$9+1,1))-AVERAGE(OFFSET($H$3,0,0,'Données projet'!$E$9+1,1))</f>
        <v>173.43838269633449</v>
      </c>
      <c r="T79" s="59">
        <f t="shared" si="88"/>
        <v>346.57067290129595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45.430658895630543</v>
      </c>
      <c r="AA79" s="21">
        <f>EXP(-LN(2)/25)*AA78+(1-EXP(-LN(2)/25))/(LN(2)/25)*Calculateur!V79*Calculateur!X79*VLOOKUP('Données projet'!$B$9,Paramètres!$A$1:$I$89,3,0)*0.475*44/12</f>
        <v>6.7492452215507601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52.179904117181302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5.6843418860808015E-14</v>
      </c>
      <c r="O80" s="13">
        <f>N80*VLOOKUP('Données projet'!$B$9,Paramètres!$A$1:$I$89,3,0)*VLOOKUP('Données projet'!$B$9,Paramètres!$A$1:$I$89,5,0)</f>
        <v>3.3992364478763198E-14</v>
      </c>
      <c r="P80" s="13">
        <f t="shared" si="87"/>
        <v>5.790027782444094E-13</v>
      </c>
      <c r="Q80" s="20">
        <f t="shared" si="54"/>
        <v>1.0676332069095257E-12</v>
      </c>
      <c r="R80" s="59">
        <f t="shared" si="55"/>
        <v>293.33333333333439</v>
      </c>
      <c r="S80" s="59">
        <f ca="1">AVERAGE(OFFSET($R$3,0,0,'Données projet'!$E$9+1,1))-AVERAGE(OFFSET($H$3,0,0,'Données projet'!$E$9+1,1))</f>
        <v>173.43838269633449</v>
      </c>
      <c r="T80" s="59">
        <f t="shared" si="88"/>
        <v>346.57067290129595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44.539791384653022</v>
      </c>
      <c r="AA80" s="21">
        <f>EXP(-LN(2)/25)*AA79+(1-EXP(-LN(2)/25))/(LN(2)/25)*Calculateur!V80*Calculateur!X80*VLOOKUP('Données projet'!$B$9,Paramètres!$A$1:$I$89,3,0)*0.475*44/12</f>
        <v>6.5646867560400741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51.104478140693097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5.6843418860808015E-14</v>
      </c>
      <c r="O81" s="13">
        <f>N81*VLOOKUP('Données projet'!$B$9,Paramètres!$A$1:$I$89,3,0)*VLOOKUP('Données projet'!$B$9,Paramètres!$A$1:$I$89,5,0)</f>
        <v>3.3992364478763198E-14</v>
      </c>
      <c r="P81" s="13">
        <f t="shared" si="87"/>
        <v>5.790027782444094E-13</v>
      </c>
      <c r="Q81" s="20">
        <f t="shared" si="54"/>
        <v>1.0676332069095257E-12</v>
      </c>
      <c r="R81" s="59">
        <f t="shared" si="55"/>
        <v>293.33333333333439</v>
      </c>
      <c r="S81" s="59">
        <f ca="1">AVERAGE(OFFSET($R$3,0,0,'Données projet'!$E$9+1,1))-AVERAGE(OFFSET($H$3,0,0,'Données projet'!$E$9+1,1))</f>
        <v>173.43838269633449</v>
      </c>
      <c r="T81" s="59">
        <f t="shared" si="88"/>
        <v>346.57067290129595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43.666393242190246</v>
      </c>
      <c r="AA81" s="21">
        <f>EXP(-LN(2)/25)*AA80+(1-EXP(-LN(2)/25))/(LN(2)/25)*Calculateur!V81*Calculateur!X81*VLOOKUP('Données projet'!$B$9,Paramètres!$A$1:$I$89,3,0)*0.475*44/12</f>
        <v>6.3851750514742855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50.051568293664531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5.6843418860808015E-14</v>
      </c>
      <c r="O82" s="13">
        <f>N82*VLOOKUP('Données projet'!$B$9,Paramètres!$A$1:$I$89,3,0)*VLOOKUP('Données projet'!$B$9,Paramètres!$A$1:$I$89,5,0)</f>
        <v>3.3992364478763198E-14</v>
      </c>
      <c r="P82" s="13">
        <f t="shared" si="87"/>
        <v>5.790027782444094E-13</v>
      </c>
      <c r="Q82" s="20">
        <f t="shared" si="54"/>
        <v>1.0676332069095257E-12</v>
      </c>
      <c r="R82" s="59">
        <f t="shared" si="55"/>
        <v>293.33333333333439</v>
      </c>
      <c r="S82" s="59">
        <f ca="1">AVERAGE(OFFSET($R$3,0,0,'Données projet'!$E$9+1,1))-AVERAGE(OFFSET($H$3,0,0,'Données projet'!$E$9+1,1))</f>
        <v>173.43838269633449</v>
      </c>
      <c r="T82" s="59">
        <f t="shared" si="88"/>
        <v>346.57067290129595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42.810121904580896</v>
      </c>
      <c r="AA82" s="21">
        <f>EXP(-LN(2)/25)*AA81+(1-EXP(-LN(2)/25))/(LN(2)/25)*Calculateur!V82*Calculateur!X82*VLOOKUP('Données projet'!$B$9,Paramètres!$A$1:$I$89,3,0)*0.475*44/12</f>
        <v>6.2105721039099588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49.020694008490857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5.6843418860808015E-14</v>
      </c>
      <c r="O83" s="13">
        <f>N83*VLOOKUP('Données projet'!$B$9,Paramètres!$A$1:$I$89,3,0)*VLOOKUP('Données projet'!$B$9,Paramètres!$A$1:$I$89,5,0)</f>
        <v>3.3992364478763198E-14</v>
      </c>
      <c r="P83" s="13">
        <f t="shared" si="87"/>
        <v>5.790027782444094E-13</v>
      </c>
      <c r="Q83" s="20">
        <f t="shared" si="54"/>
        <v>1.0676332069095257E-12</v>
      </c>
      <c r="R83" s="59">
        <f t="shared" si="55"/>
        <v>293.33333333333439</v>
      </c>
      <c r="S83" s="59">
        <f ca="1">AVERAGE(OFFSET($R$3,0,0,'Données projet'!$E$9+1,1))-AVERAGE(OFFSET($H$3,0,0,'Données projet'!$E$9+1,1))</f>
        <v>173.43838269633449</v>
      </c>
      <c r="T83" s="59">
        <f t="shared" si="88"/>
        <v>346.57067290129595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41.970641525628118</v>
      </c>
      <c r="AA83" s="21">
        <f>EXP(-LN(2)/25)*AA82+(1-EXP(-LN(2)/25))/(LN(2)/25)*Calculateur!V83*Calculateur!X83*VLOOKUP('Données projet'!$B$9,Paramètres!$A$1:$I$89,3,0)*0.475*44/12</f>
        <v>6.0407436831287482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48.011385208756863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5.6843418860808015E-14</v>
      </c>
      <c r="O84" s="13">
        <f>N84*VLOOKUP('Données projet'!$B$9,Paramètres!$A$1:$I$89,3,0)*VLOOKUP('Données projet'!$B$9,Paramètres!$A$1:$I$89,5,0)</f>
        <v>3.3992364478763198E-14</v>
      </c>
      <c r="P84" s="13">
        <f t="shared" si="87"/>
        <v>5.790027782444094E-13</v>
      </c>
      <c r="Q84" s="20">
        <f t="shared" si="54"/>
        <v>1.0676332069095257E-12</v>
      </c>
      <c r="R84" s="59">
        <f t="shared" si="55"/>
        <v>293.33333333333439</v>
      </c>
      <c r="S84" s="59">
        <f ca="1">AVERAGE(OFFSET($R$3,0,0,'Données projet'!$E$9+1,1))-AVERAGE(OFFSET($H$3,0,0,'Données projet'!$E$9+1,1))</f>
        <v>173.43838269633449</v>
      </c>
      <c r="T84" s="59">
        <f t="shared" si="88"/>
        <v>346.57067290129595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41.147622844874135</v>
      </c>
      <c r="AA84" s="21">
        <f>EXP(-LN(2)/25)*AA83+(1-EXP(-LN(2)/25))/(LN(2)/25)*Calculateur!V84*Calculateur!X84*VLOOKUP('Données projet'!$B$9,Paramètres!$A$1:$I$89,3,0)*0.475*44/12</f>
        <v>5.875559229444689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47.023182074318825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5.6843418860808015E-14</v>
      </c>
      <c r="O85" s="13">
        <f>N85*VLOOKUP('Données projet'!$B$9,Paramètres!$A$1:$I$89,3,0)*VLOOKUP('Données projet'!$B$9,Paramètres!$A$1:$I$89,5,0)</f>
        <v>3.3992364478763198E-14</v>
      </c>
      <c r="P85" s="13">
        <f t="shared" si="87"/>
        <v>5.790027782444094E-13</v>
      </c>
      <c r="Q85" s="20">
        <f t="shared" si="54"/>
        <v>1.0676332069095257E-12</v>
      </c>
      <c r="R85" s="59">
        <f t="shared" si="55"/>
        <v>293.33333333333439</v>
      </c>
      <c r="S85" s="59">
        <f ca="1">AVERAGE(OFFSET($R$3,0,0,'Données projet'!$E$9+1,1))-AVERAGE(OFFSET($H$3,0,0,'Données projet'!$E$9+1,1))</f>
        <v>173.43838269633449</v>
      </c>
      <c r="T85" s="59">
        <f t="shared" si="88"/>
        <v>346.57067290129595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40.34074305845791</v>
      </c>
      <c r="AA85" s="21">
        <f>EXP(-LN(2)/25)*AA84+(1-EXP(-LN(2)/25))/(LN(2)/25)*Calculateur!V85*Calculateur!X85*VLOOKUP('Données projet'!$B$9,Paramètres!$A$1:$I$89,3,0)*0.475*44/12</f>
        <v>5.7148917533332932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46.055634811791201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5.6843418860808015E-14</v>
      </c>
      <c r="O86" s="13">
        <f>N86*VLOOKUP('Données projet'!$B$9,Paramètres!$A$1:$I$89,3,0)*VLOOKUP('Données projet'!$B$9,Paramètres!$A$1:$I$89,5,0)</f>
        <v>3.3992364478763198E-14</v>
      </c>
      <c r="P86" s="13">
        <f t="shared" si="87"/>
        <v>5.790027782444094E-13</v>
      </c>
      <c r="Q86" s="20">
        <f t="shared" si="54"/>
        <v>1.0676332069095257E-12</v>
      </c>
      <c r="R86" s="59">
        <f t="shared" si="55"/>
        <v>293.33333333333439</v>
      </c>
      <c r="S86" s="59">
        <f ca="1">AVERAGE(OFFSET($R$3,0,0,'Données projet'!$E$9+1,1))-AVERAGE(OFFSET($H$3,0,0,'Données projet'!$E$9+1,1))</f>
        <v>173.43838269633449</v>
      </c>
      <c r="T86" s="59">
        <f t="shared" si="88"/>
        <v>346.57067290129595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39.549685692505236</v>
      </c>
      <c r="AA86" s="21">
        <f>EXP(-LN(2)/25)*AA85+(1-EXP(-LN(2)/25))/(LN(2)/25)*Calculateur!V86*Calculateur!X86*VLOOKUP('Données projet'!$B$9,Paramètres!$A$1:$I$89,3,0)*0.475*44/12</f>
        <v>5.5586177378052986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45.108303430310535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5.6843418860808015E-14</v>
      </c>
      <c r="O87" s="13">
        <f>N87*VLOOKUP('Données projet'!$B$9,Paramètres!$A$1:$I$89,3,0)*VLOOKUP('Données projet'!$B$9,Paramètres!$A$1:$I$89,5,0)</f>
        <v>3.3992364478763198E-14</v>
      </c>
      <c r="P87" s="13">
        <f t="shared" si="87"/>
        <v>5.790027782444094E-13</v>
      </c>
      <c r="Q87" s="20">
        <f t="shared" si="54"/>
        <v>1.0676332069095257E-12</v>
      </c>
      <c r="R87" s="59">
        <f t="shared" si="55"/>
        <v>293.33333333333439</v>
      </c>
      <c r="S87" s="59">
        <f ca="1">AVERAGE(OFFSET($R$3,0,0,'Données projet'!$E$9+1,1))-AVERAGE(OFFSET($H$3,0,0,'Données projet'!$E$9+1,1))</f>
        <v>173.43838269633449</v>
      </c>
      <c r="T87" s="59">
        <f t="shared" si="88"/>
        <v>346.57067290129595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38.774140479001538</v>
      </c>
      <c r="AA87" s="21">
        <f>EXP(-LN(2)/25)*AA86+(1-EXP(-LN(2)/25))/(LN(2)/25)*Calculateur!V87*Calculateur!X87*VLOOKUP('Données projet'!$B$9,Paramètres!$A$1:$I$89,3,0)*0.475*44/12</f>
        <v>5.4066170434500105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44.18075752245155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5.6843418860808015E-14</v>
      </c>
      <c r="O88" s="13">
        <f>N88*VLOOKUP('Données projet'!$B$9,Paramètres!$A$1:$I$89,3,0)*VLOOKUP('Données projet'!$B$9,Paramètres!$A$1:$I$89,5,0)</f>
        <v>3.3992364478763198E-14</v>
      </c>
      <c r="P88" s="13">
        <f t="shared" si="87"/>
        <v>5.790027782444094E-13</v>
      </c>
      <c r="Q88" s="20">
        <f t="shared" si="54"/>
        <v>1.0676332069095257E-12</v>
      </c>
      <c r="R88" s="59">
        <f t="shared" si="55"/>
        <v>293.33333333333439</v>
      </c>
      <c r="S88" s="59">
        <f ca="1">AVERAGE(OFFSET($R$3,0,0,'Données projet'!$E$9+1,1))-AVERAGE(OFFSET($H$3,0,0,'Données projet'!$E$9+1,1))</f>
        <v>173.43838269633449</v>
      </c>
      <c r="T88" s="59">
        <f t="shared" si="88"/>
        <v>346.57067290129595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38.013803234098781</v>
      </c>
      <c r="AA88" s="21">
        <f>EXP(-LN(2)/25)*AA87+(1-EXP(-LN(2)/25))/(LN(2)/25)*Calculateur!V88*Calculateur!X88*VLOOKUP('Données projet'!$B$9,Paramètres!$A$1:$I$89,3,0)*0.475*44/12</f>
        <v>5.2587728160752363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43.272576050174017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5.6843418860808015E-14</v>
      </c>
      <c r="O89" s="13">
        <f>N89*VLOOKUP('Données projet'!$B$9,Paramètres!$A$1:$I$89,3,0)*VLOOKUP('Données projet'!$B$9,Paramètres!$A$1:$I$89,5,0)</f>
        <v>3.3992364478763198E-14</v>
      </c>
      <c r="P89" s="13">
        <f t="shared" si="87"/>
        <v>5.790027782444094E-13</v>
      </c>
      <c r="Q89" s="20">
        <f t="shared" si="54"/>
        <v>1.0676332069095257E-12</v>
      </c>
      <c r="R89" s="59">
        <f t="shared" si="55"/>
        <v>293.33333333333439</v>
      </c>
      <c r="S89" s="59">
        <f ca="1">AVERAGE(OFFSET($R$3,0,0,'Données projet'!$E$9+1,1))-AVERAGE(OFFSET($H$3,0,0,'Données projet'!$E$9+1,1))</f>
        <v>173.43838269633449</v>
      </c>
      <c r="T89" s="59">
        <f t="shared" si="88"/>
        <v>346.57067290129595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37.268375738808636</v>
      </c>
      <c r="AA89" s="21">
        <f>EXP(-LN(2)/25)*AA88+(1-EXP(-LN(2)/25))/(LN(2)/25)*Calculateur!V89*Calculateur!X89*VLOOKUP('Données projet'!$B$9,Paramètres!$A$1:$I$89,3,0)*0.475*44/12</f>
        <v>5.1149713968728152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42.383347135681454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5.6843418860808015E-14</v>
      </c>
      <c r="O90" s="13">
        <f>N90*VLOOKUP('Données projet'!$B$9,Paramètres!$A$1:$I$89,3,0)*VLOOKUP('Données projet'!$B$9,Paramètres!$A$1:$I$89,5,0)</f>
        <v>3.3992364478763198E-14</v>
      </c>
      <c r="P90" s="13">
        <f t="shared" si="87"/>
        <v>5.790027782444094E-13</v>
      </c>
      <c r="Q90" s="20">
        <f t="shared" si="54"/>
        <v>1.0676332069095257E-12</v>
      </c>
      <c r="R90" s="59">
        <f t="shared" si="55"/>
        <v>293.33333333333439</v>
      </c>
      <c r="S90" s="59">
        <f ca="1">AVERAGE(OFFSET($R$3,0,0,'Données projet'!$E$9+1,1))-AVERAGE(OFFSET($H$3,0,0,'Données projet'!$E$9+1,1))</f>
        <v>173.43838269633449</v>
      </c>
      <c r="T90" s="59">
        <f t="shared" si="88"/>
        <v>346.57067290129595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36.537565622035252</v>
      </c>
      <c r="AA90" s="21">
        <f>EXP(-LN(2)/25)*AA89+(1-EXP(-LN(2)/25))/(LN(2)/25)*Calculateur!V90*Calculateur!X90*VLOOKUP('Données projet'!$B$9,Paramètres!$A$1:$I$89,3,0)*0.475*44/12</f>
        <v>4.9751022350406728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41.512667857075925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5.6843418860808015E-14</v>
      </c>
      <c r="O91" s="13">
        <f>N91*VLOOKUP('Données projet'!$B$9,Paramètres!$A$1:$I$89,3,0)*VLOOKUP('Données projet'!$B$9,Paramètres!$A$1:$I$89,5,0)</f>
        <v>3.3992364478763198E-14</v>
      </c>
      <c r="P91" s="13">
        <f t="shared" si="87"/>
        <v>5.790027782444094E-13</v>
      </c>
      <c r="Q91" s="20">
        <f t="shared" si="54"/>
        <v>1.0676332069095257E-12</v>
      </c>
      <c r="R91" s="59">
        <f t="shared" si="55"/>
        <v>293.33333333333439</v>
      </c>
      <c r="S91" s="59">
        <f ca="1">AVERAGE(OFFSET($R$3,0,0,'Données projet'!$E$9+1,1))-AVERAGE(OFFSET($H$3,0,0,'Données projet'!$E$9+1,1))</f>
        <v>173.43838269633449</v>
      </c>
      <c r="T91" s="59">
        <f t="shared" si="88"/>
        <v>346.57067290129595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35.82108624590164</v>
      </c>
      <c r="AA91" s="21">
        <f>EXP(-LN(2)/25)*AA90+(1-EXP(-LN(2)/25))/(LN(2)/25)*Calculateur!V91*Calculateur!X91*VLOOKUP('Données projet'!$B$9,Paramètres!$A$1:$I$89,3,0)*0.475*44/12</f>
        <v>4.8390578027942297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40.660144048695869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5.6843418860808015E-14</v>
      </c>
      <c r="O92" s="13">
        <f>N92*VLOOKUP('Données projet'!$B$9,Paramètres!$A$1:$I$89,3,0)*VLOOKUP('Données projet'!$B$9,Paramètres!$A$1:$I$89,5,0)</f>
        <v>3.3992364478763198E-14</v>
      </c>
      <c r="P92" s="13">
        <f t="shared" si="87"/>
        <v>5.790027782444094E-13</v>
      </c>
      <c r="Q92" s="20">
        <f t="shared" si="54"/>
        <v>1.0676332069095257E-12</v>
      </c>
      <c r="R92" s="59">
        <f t="shared" si="55"/>
        <v>293.33333333333439</v>
      </c>
      <c r="S92" s="59">
        <f ca="1">AVERAGE(OFFSET($R$3,0,0,'Données projet'!$E$9+1,1))-AVERAGE(OFFSET($H$3,0,0,'Données projet'!$E$9+1,1))</f>
        <v>173.43838269633449</v>
      </c>
      <c r="T92" s="59">
        <f t="shared" si="88"/>
        <v>346.57067290129595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35.118656593324737</v>
      </c>
      <c r="AA92" s="21">
        <f>EXP(-LN(2)/25)*AA91+(1-EXP(-LN(2)/25))/(LN(2)/25)*Calculateur!V92*Calculateur!X92*VLOOKUP('Données projet'!$B$9,Paramètres!$A$1:$I$89,3,0)*0.475*44/12</f>
        <v>4.706733512701831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39.825390106026568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5.6843418860808015E-14</v>
      </c>
      <c r="O93" s="13">
        <f>N93*VLOOKUP('Données projet'!$B$9,Paramètres!$A$1:$I$89,3,0)*VLOOKUP('Données projet'!$B$9,Paramètres!$A$1:$I$89,5,0)</f>
        <v>3.3992364478763198E-14</v>
      </c>
      <c r="P93" s="13">
        <f t="shared" si="87"/>
        <v>5.790027782444094E-13</v>
      </c>
      <c r="Q93" s="20">
        <f t="shared" si="54"/>
        <v>1.0676332069095257E-12</v>
      </c>
      <c r="R93" s="59">
        <f t="shared" si="55"/>
        <v>293.33333333333439</v>
      </c>
      <c r="S93" s="59">
        <f ca="1">AVERAGE(OFFSET($R$3,0,0,'Données projet'!$E$9+1,1))-AVERAGE(OFFSET($H$3,0,0,'Données projet'!$E$9+1,1))</f>
        <v>173.43838269633449</v>
      </c>
      <c r="T93" s="59">
        <f t="shared" si="88"/>
        <v>346.57067290129595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34.430001157795083</v>
      </c>
      <c r="AA93" s="21">
        <f>EXP(-LN(2)/25)*AA92+(1-EXP(-LN(2)/25))/(LN(2)/25)*Calculateur!V93*Calculateur!X93*VLOOKUP('Données projet'!$B$9,Paramètres!$A$1:$I$89,3,0)*0.475*44/12</f>
        <v>4.5780276372806412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39.008028795075724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5.6843418860808015E-14</v>
      </c>
      <c r="O94" s="13">
        <f>N94*VLOOKUP('Données projet'!$B$9,Paramètres!$A$1:$I$89,3,0)*VLOOKUP('Données projet'!$B$9,Paramètres!$A$1:$I$89,5,0)</f>
        <v>3.3992364478763198E-14</v>
      </c>
      <c r="P94" s="13">
        <f t="shared" si="87"/>
        <v>5.790027782444094E-13</v>
      </c>
      <c r="Q94" s="20">
        <f t="shared" si="54"/>
        <v>1.0676332069095257E-12</v>
      </c>
      <c r="R94" s="59">
        <f t="shared" si="55"/>
        <v>293.33333333333439</v>
      </c>
      <c r="S94" s="59">
        <f ca="1">AVERAGE(OFFSET($R$3,0,0,'Données projet'!$E$9+1,1))-AVERAGE(OFFSET($H$3,0,0,'Données projet'!$E$9+1,1))</f>
        <v>173.43838269633449</v>
      </c>
      <c r="T94" s="59">
        <f t="shared" si="88"/>
        <v>346.57067290129595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33.754849835317827</v>
      </c>
      <c r="AA94" s="21">
        <f>EXP(-LN(2)/25)*AA93+(1-EXP(-LN(2)/25))/(LN(2)/25)*Calculateur!V94*Calculateur!X94*VLOOKUP('Données projet'!$B$9,Paramètres!$A$1:$I$89,3,0)*0.475*44/12</f>
        <v>4.4528412307911918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38.207691066109021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5.6843418860808015E-14</v>
      </c>
      <c r="O95" s="13">
        <f>N95*VLOOKUP('Données projet'!$B$9,Paramètres!$A$1:$I$89,3,0)*VLOOKUP('Données projet'!$B$9,Paramètres!$A$1:$I$89,5,0)</f>
        <v>3.3992364478763198E-14</v>
      </c>
      <c r="P95" s="13">
        <f t="shared" si="87"/>
        <v>5.790027782444094E-13</v>
      </c>
      <c r="Q95" s="20">
        <f t="shared" si="54"/>
        <v>1.0676332069095257E-12</v>
      </c>
      <c r="R95" s="59">
        <f t="shared" si="55"/>
        <v>293.33333333333439</v>
      </c>
      <c r="S95" s="59">
        <f ca="1">AVERAGE(OFFSET($R$3,0,0,'Données projet'!$E$9+1,1))-AVERAGE(OFFSET($H$3,0,0,'Données projet'!$E$9+1,1))</f>
        <v>173.43838269633449</v>
      </c>
      <c r="T95" s="59">
        <f t="shared" si="88"/>
        <v>346.57067290129595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33.092937818472706</v>
      </c>
      <c r="AA95" s="21">
        <f>EXP(-LN(2)/25)*AA94+(1-EXP(-LN(2)/25))/(LN(2)/25)*Calculateur!V95*Calculateur!X95*VLOOKUP('Données projet'!$B$9,Paramètres!$A$1:$I$89,3,0)*0.475*44/12</f>
        <v>4.3310780531704633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37.424015871643171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5.6843418860808015E-14</v>
      </c>
      <c r="O96" s="13">
        <f>N96*VLOOKUP('Données projet'!$B$9,Paramètres!$A$1:$I$89,3,0)*VLOOKUP('Données projet'!$B$9,Paramètres!$A$1:$I$89,5,0)</f>
        <v>3.3992364478763198E-14</v>
      </c>
      <c r="P96" s="13">
        <f t="shared" si="87"/>
        <v>5.790027782444094E-13</v>
      </c>
      <c r="Q96" s="20">
        <f t="shared" si="54"/>
        <v>1.0676332069095257E-12</v>
      </c>
      <c r="R96" s="59">
        <f t="shared" si="55"/>
        <v>293.33333333333439</v>
      </c>
      <c r="S96" s="59">
        <f ca="1">AVERAGE(OFFSET($R$3,0,0,'Données projet'!$E$9+1,1))-AVERAGE(OFFSET($H$3,0,0,'Données projet'!$E$9+1,1))</f>
        <v>173.43838269633449</v>
      </c>
      <c r="T96" s="59">
        <f t="shared" si="88"/>
        <v>346.57067290129595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32.444005492551454</v>
      </c>
      <c r="AA96" s="21">
        <f>EXP(-LN(2)/25)*AA95+(1-EXP(-LN(2)/25))/(LN(2)/25)*Calculateur!V96*Calculateur!X96*VLOOKUP('Données projet'!$B$9,Paramètres!$A$1:$I$89,3,0)*0.475*44/12</f>
        <v>4.2126444960450211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36.656649988596477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5.6843418860808015E-14</v>
      </c>
      <c r="O97" s="13">
        <f>N97*VLOOKUP('Données projet'!$B$9,Paramètres!$A$1:$I$89,3,0)*VLOOKUP('Données projet'!$B$9,Paramètres!$A$1:$I$89,5,0)</f>
        <v>3.3992364478763198E-14</v>
      </c>
      <c r="P97" s="13">
        <f t="shared" si="87"/>
        <v>5.790027782444094E-13</v>
      </c>
      <c r="Q97" s="20">
        <f t="shared" si="54"/>
        <v>1.0676332069095257E-12</v>
      </c>
      <c r="R97" s="59">
        <f t="shared" si="55"/>
        <v>293.33333333333439</v>
      </c>
      <c r="S97" s="59">
        <f ca="1">AVERAGE(OFFSET($R$3,0,0,'Données projet'!$E$9+1,1))-AVERAGE(OFFSET($H$3,0,0,'Données projet'!$E$9+1,1))</f>
        <v>173.43838269633449</v>
      </c>
      <c r="T97" s="59">
        <f t="shared" si="88"/>
        <v>346.57067290129595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31.807798333731881</v>
      </c>
      <c r="AA97" s="21">
        <f>EXP(-LN(2)/25)*AA96+(1-EXP(-LN(2)/25))/(LN(2)/25)*Calculateur!V97*Calculateur!X97*VLOOKUP('Données projet'!$B$9,Paramètres!$A$1:$I$89,3,0)*0.475*44/12</f>
        <v>4.0974495107673237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35.905247844499208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5.6843418860808015E-14</v>
      </c>
      <c r="O98" s="13">
        <f>N98*VLOOKUP('Données projet'!$B$9,Paramètres!$A$1:$I$89,3,0)*VLOOKUP('Données projet'!$B$9,Paramètres!$A$1:$I$89,5,0)</f>
        <v>3.3992364478763198E-14</v>
      </c>
      <c r="P98" s="13">
        <f t="shared" si="87"/>
        <v>5.790027782444094E-13</v>
      </c>
      <c r="Q98" s="20">
        <f t="shared" si="54"/>
        <v>1.0676332069095257E-12</v>
      </c>
      <c r="R98" s="59">
        <f t="shared" si="55"/>
        <v>293.33333333333439</v>
      </c>
      <c r="S98" s="59">
        <f ca="1">AVERAGE(OFFSET($R$3,0,0,'Données projet'!$E$9+1,1))-AVERAGE(OFFSET($H$3,0,0,'Données projet'!$E$9+1,1))</f>
        <v>173.43838269633449</v>
      </c>
      <c r="T98" s="59">
        <f t="shared" si="88"/>
        <v>346.57067290129595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31.184066809248709</v>
      </c>
      <c r="AA98" s="21">
        <f>EXP(-LN(2)/25)*AA97+(1-EXP(-LN(2)/25))/(LN(2)/25)*Calculateur!V98*Calculateur!X98*VLOOKUP('Données projet'!$B$9,Paramètres!$A$1:$I$89,3,0)*0.475*44/12</f>
        <v>3.9854045384198864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35.169471347668598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5.6843418860808015E-14</v>
      </c>
      <c r="O99" s="13">
        <f>N99*VLOOKUP('Données projet'!$B$9,Paramètres!$A$1:$I$89,3,0)*VLOOKUP('Données projet'!$B$9,Paramètres!$A$1:$I$89,5,0)</f>
        <v>3.3992364478763198E-14</v>
      </c>
      <c r="P99" s="13">
        <f t="shared" si="87"/>
        <v>5.790027782444094E-13</v>
      </c>
      <c r="Q99" s="20">
        <f t="shared" ref="Q99:Q130" si="107">(O99+P99)*0.475*44/12</f>
        <v>1.0676332069095257E-12</v>
      </c>
      <c r="R99" s="59">
        <f t="shared" si="55"/>
        <v>293.33333333333439</v>
      </c>
      <c r="S99" s="59">
        <f ca="1">AVERAGE(OFFSET($R$3,0,0,'Données projet'!$E$9+1,1))-AVERAGE(OFFSET($H$3,0,0,'Données projet'!$E$9+1,1))</f>
        <v>173.43838269633449</v>
      </c>
      <c r="T99" s="59">
        <f t="shared" si="88"/>
        <v>346.57067290129595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30.572566279521986</v>
      </c>
      <c r="AA99" s="21">
        <f>EXP(-LN(2)/25)*AA98+(1-EXP(-LN(2)/25))/(LN(2)/25)*Calculateur!V99*Calculateur!X99*VLOOKUP('Données projet'!$B$9,Paramètres!$A$1:$I$89,3,0)*0.475*44/12</f>
        <v>3.8764234417334786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34.448989721255465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5.6843418860808015E-14</v>
      </c>
      <c r="O100" s="13">
        <f>N100*VLOOKUP('Données projet'!$B$9,Paramètres!$A$1:$I$89,3,0)*VLOOKUP('Données projet'!$B$9,Paramètres!$A$1:$I$89,5,0)</f>
        <v>3.3992364478763198E-14</v>
      </c>
      <c r="P100" s="13">
        <f t="shared" si="87"/>
        <v>5.790027782444094E-13</v>
      </c>
      <c r="Q100" s="20">
        <f t="shared" si="107"/>
        <v>1.0676332069095257E-12</v>
      </c>
      <c r="R100" s="59">
        <f t="shared" si="55"/>
        <v>293.33333333333439</v>
      </c>
      <c r="S100" s="59">
        <f ca="1">AVERAGE(OFFSET($R$3,0,0,'Données projet'!$E$9+1,1))-AVERAGE(OFFSET($H$3,0,0,'Données projet'!$E$9+1,1))</f>
        <v>173.43838269633449</v>
      </c>
      <c r="T100" s="59">
        <f t="shared" si="88"/>
        <v>346.57067290129595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29.973056902204711</v>
      </c>
      <c r="AA100" s="21">
        <f>EXP(-LN(2)/25)*AA99+(1-EXP(-LN(2)/25))/(LN(2)/25)*Calculateur!V100*Calculateur!X100*VLOOKUP('Données projet'!$B$9,Paramètres!$A$1:$I$89,3,0)*0.475*44/12</f>
        <v>3.7704224388670275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33.74347934107174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5.6843418860808015E-14</v>
      </c>
      <c r="O101" s="13">
        <f>N101*VLOOKUP('Données projet'!$B$9,Paramètres!$A$1:$I$89,3,0)*VLOOKUP('Données projet'!$B$9,Paramètres!$A$1:$I$89,5,0)</f>
        <v>3.3992364478763198E-14</v>
      </c>
      <c r="P101" s="13">
        <f t="shared" si="87"/>
        <v>5.790027782444094E-13</v>
      </c>
      <c r="Q101" s="20">
        <f t="shared" si="107"/>
        <v>1.0676332069095257E-12</v>
      </c>
      <c r="R101" s="59">
        <f t="shared" si="55"/>
        <v>293.33333333333439</v>
      </c>
      <c r="S101" s="59">
        <f ca="1">AVERAGE(OFFSET($R$3,0,0,'Données projet'!$E$9+1,1))-AVERAGE(OFFSET($H$3,0,0,'Données projet'!$E$9+1,1))</f>
        <v>173.43838269633449</v>
      </c>
      <c r="T101" s="59">
        <f t="shared" si="88"/>
        <v>346.57067290129595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29.385303538112012</v>
      </c>
      <c r="AA101" s="21">
        <f>EXP(-LN(2)/25)*AA100+(1-EXP(-LN(2)/25))/(LN(2)/25)*Calculateur!V101*Calculateur!X101*VLOOKUP('Données projet'!$B$9,Paramètres!$A$1:$I$89,3,0)*0.475*44/12</f>
        <v>3.6673200389983101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33.052623577110325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5.6843418860808015E-14</v>
      </c>
      <c r="O102" s="13">
        <f>N102*VLOOKUP('Données projet'!$B$9,Paramètres!$A$1:$I$89,3,0)*VLOOKUP('Données projet'!$B$9,Paramètres!$A$1:$I$89,5,0)</f>
        <v>3.3992364478763198E-14</v>
      </c>
      <c r="P102" s="13">
        <f t="shared" si="87"/>
        <v>5.790027782444094E-13</v>
      </c>
      <c r="Q102" s="20">
        <f t="shared" si="107"/>
        <v>1.0676332069095257E-12</v>
      </c>
      <c r="R102" s="59">
        <f t="shared" si="55"/>
        <v>293.33333333333439</v>
      </c>
      <c r="S102" s="59">
        <f ca="1">AVERAGE(OFFSET($R$3,0,0,'Données projet'!$E$9+1,1))-AVERAGE(OFFSET($H$3,0,0,'Données projet'!$E$9+1,1))</f>
        <v>173.43838269633449</v>
      </c>
      <c r="T102" s="59">
        <f t="shared" si="88"/>
        <v>346.57067290129595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28.809075658995017</v>
      </c>
      <c r="AA102" s="21">
        <f>EXP(-LN(2)/25)*AA101+(1-EXP(-LN(2)/25))/(LN(2)/25)*Calculateur!V102*Calculateur!X102*VLOOKUP('Données projet'!$B$9,Paramètres!$A$1:$I$89,3,0)*0.475*44/12</f>
        <v>3.567036979675922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32.376112638670939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5.6843418860808015E-14</v>
      </c>
      <c r="O103" s="13">
        <f>N103*VLOOKUP('Données projet'!$B$9,Paramètres!$A$1:$I$89,3,0)*VLOOKUP('Données projet'!$B$9,Paramètres!$A$1:$I$89,5,0)</f>
        <v>3.3992364478763198E-14</v>
      </c>
      <c r="P103" s="13">
        <f t="shared" si="87"/>
        <v>5.790027782444094E-13</v>
      </c>
      <c r="Q103" s="20">
        <f t="shared" si="107"/>
        <v>1.0676332069095257E-12</v>
      </c>
      <c r="R103" s="59">
        <f t="shared" si="55"/>
        <v>293.33333333333439</v>
      </c>
      <c r="S103" s="59">
        <f ca="1">AVERAGE(OFFSET($R$3,0,0,'Données projet'!$E$9+1,1))-AVERAGE(OFFSET($H$3,0,0,'Données projet'!$E$9+1,1))</f>
        <v>173.43838269633449</v>
      </c>
      <c r="T103" s="59">
        <f t="shared" si="88"/>
        <v>346.57067290129595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28.244147257123206</v>
      </c>
      <c r="AA103" s="21">
        <f>EXP(-LN(2)/25)*AA102+(1-EXP(-LN(2)/25))/(LN(2)/25)*Calculateur!V103*Calculateur!X103*VLOOKUP('Données projet'!$B$9,Paramètres!$A$1:$I$89,3,0)*0.475*44/12</f>
        <v>3.4694961658843617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31.713643423007568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5.6843418860808015E-14</v>
      </c>
      <c r="O104" s="13">
        <f>N104*VLOOKUP('Données projet'!$B$9,Paramètres!$A$1:$I$89,3,0)*VLOOKUP('Données projet'!$B$9,Paramètres!$A$1:$I$89,5,0)</f>
        <v>3.3992364478763198E-14</v>
      </c>
      <c r="P104" s="13">
        <f t="shared" si="87"/>
        <v>5.790027782444094E-13</v>
      </c>
      <c r="Q104" s="20">
        <f t="shared" si="107"/>
        <v>1.0676332069095257E-12</v>
      </c>
      <c r="R104" s="59">
        <f t="shared" si="55"/>
        <v>293.33333333333439</v>
      </c>
      <c r="S104" s="59">
        <f ca="1">AVERAGE(OFFSET($R$3,0,0,'Données projet'!$E$9+1,1))-AVERAGE(OFFSET($H$3,0,0,'Données projet'!$E$9+1,1))</f>
        <v>173.43838269633449</v>
      </c>
      <c r="T104" s="59">
        <f t="shared" si="88"/>
        <v>346.57067290129595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27.6902967566398</v>
      </c>
      <c r="AA104" s="21">
        <f>EXP(-LN(2)/25)*AA103+(1-EXP(-LN(2)/25))/(LN(2)/25)*Calculateur!V104*Calculateur!X104*VLOOKUP('Données projet'!$B$9,Paramètres!$A$1:$I$89,3,0)*0.475*44/12</f>
        <v>3.3746226107753801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31.064919367415179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5.6843418860808015E-14</v>
      </c>
      <c r="O105" s="13">
        <f>N105*VLOOKUP('Données projet'!$B$9,Paramètres!$A$1:$I$89,3,0)*VLOOKUP('Données projet'!$B$9,Paramètres!$A$1:$I$89,5,0)</f>
        <v>3.3992364478763198E-14</v>
      </c>
      <c r="P105" s="13">
        <f t="shared" si="87"/>
        <v>5.790027782444094E-13</v>
      </c>
      <c r="Q105" s="20">
        <f t="shared" si="107"/>
        <v>1.0676332069095257E-12</v>
      </c>
      <c r="R105" s="59">
        <f t="shared" si="55"/>
        <v>293.33333333333439</v>
      </c>
      <c r="S105" s="59">
        <f ca="1">AVERAGE(OFFSET($R$3,0,0,'Données projet'!$E$9+1,1))-AVERAGE(OFFSET($H$3,0,0,'Données projet'!$E$9+1,1))</f>
        <v>173.43838269633449</v>
      </c>
      <c r="T105" s="59">
        <f t="shared" si="88"/>
        <v>346.57067290129595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27.147306926655425</v>
      </c>
      <c r="AA105" s="21">
        <f>EXP(-LN(2)/25)*AA104+(1-EXP(-LN(2)/25))/(LN(2)/25)*Calculateur!V105*Calculateur!X105*VLOOKUP('Données projet'!$B$9,Paramètres!$A$1:$I$89,3,0)*0.475*44/12</f>
        <v>3.2823433780200371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30.429650304675462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5.6843418860808015E-14</v>
      </c>
      <c r="O106" s="13">
        <f>N106*VLOOKUP('Données projet'!$B$9,Paramètres!$A$1:$I$89,3,0)*VLOOKUP('Données projet'!$B$9,Paramètres!$A$1:$I$89,5,0)</f>
        <v>3.3992364478763198E-14</v>
      </c>
      <c r="P106" s="13">
        <f t="shared" si="87"/>
        <v>5.790027782444094E-13</v>
      </c>
      <c r="Q106" s="20">
        <f t="shared" si="107"/>
        <v>1.0676332069095257E-12</v>
      </c>
      <c r="R106" s="59">
        <f t="shared" si="55"/>
        <v>293.33333333333439</v>
      </c>
      <c r="S106" s="59">
        <f ca="1">AVERAGE(OFFSET($R$3,0,0,'Données projet'!$E$9+1,1))-AVERAGE(OFFSET($H$3,0,0,'Données projet'!$E$9+1,1))</f>
        <v>173.43838269633449</v>
      </c>
      <c r="T106" s="59">
        <f t="shared" si="88"/>
        <v>346.57067290129595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26.61496479604595</v>
      </c>
      <c r="AA106" s="21">
        <f>EXP(-LN(2)/25)*AA105+(1-EXP(-LN(2)/25))/(LN(2)/25)*Calculateur!V106*Calculateur!X106*VLOOKUP('Données projet'!$B$9,Paramètres!$A$1:$I$89,3,0)*0.475*44/12</f>
        <v>3.1925875257371428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29.807552321783092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5.6843418860808015E-14</v>
      </c>
      <c r="O107" s="13">
        <f>N107*VLOOKUP('Données projet'!$B$9,Paramètres!$A$1:$I$89,3,0)*VLOOKUP('Données projet'!$B$9,Paramètres!$A$1:$I$89,5,0)</f>
        <v>3.3992364478763198E-14</v>
      </c>
      <c r="P107" s="13">
        <f t="shared" si="87"/>
        <v>5.790027782444094E-13</v>
      </c>
      <c r="Q107" s="20">
        <f t="shared" si="107"/>
        <v>1.0676332069095257E-12</v>
      </c>
      <c r="R107" s="59">
        <f t="shared" si="55"/>
        <v>293.33333333333439</v>
      </c>
      <c r="S107" s="59">
        <f ca="1">AVERAGE(OFFSET($R$3,0,0,'Données projet'!$E$9+1,1))-AVERAGE(OFFSET($H$3,0,0,'Données projet'!$E$9+1,1))</f>
        <v>173.43838269633449</v>
      </c>
      <c r="T107" s="59">
        <f t="shared" si="88"/>
        <v>346.57067290129595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26.093061569921087</v>
      </c>
      <c r="AA107" s="21">
        <f>EXP(-LN(2)/25)*AA106+(1-EXP(-LN(2)/25))/(LN(2)/25)*Calculateur!V107*Calculateur!X107*VLOOKUP('Données projet'!$B$9,Paramètres!$A$1:$I$89,3,0)*0.475*44/12</f>
        <v>3.1052860519549794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29.198347621876067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5.6843418860808015E-14</v>
      </c>
      <c r="O108" s="13">
        <f>N108*VLOOKUP('Données projet'!$B$9,Paramètres!$A$1:$I$89,3,0)*VLOOKUP('Données projet'!$B$9,Paramètres!$A$1:$I$89,5,0)</f>
        <v>3.3992364478763198E-14</v>
      </c>
      <c r="P108" s="13">
        <f t="shared" si="87"/>
        <v>5.790027782444094E-13</v>
      </c>
      <c r="Q108" s="20">
        <f t="shared" si="107"/>
        <v>1.0676332069095257E-12</v>
      </c>
      <c r="R108" s="59">
        <f t="shared" si="55"/>
        <v>293.33333333333439</v>
      </c>
      <c r="S108" s="59">
        <f ca="1">AVERAGE(OFFSET($R$3,0,0,'Données projet'!$E$9+1,1))-AVERAGE(OFFSET($H$3,0,0,'Données projet'!$E$9+1,1))</f>
        <v>173.43838269633449</v>
      </c>
      <c r="T108" s="59">
        <f t="shared" si="88"/>
        <v>346.57067290129595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25.581392547730996</v>
      </c>
      <c r="AA108" s="21">
        <f>EXP(-LN(2)/25)*AA107+(1-EXP(-LN(2)/25))/(LN(2)/25)*Calculateur!V108*Calculateur!X108*VLOOKUP('Données projet'!$B$9,Paramètres!$A$1:$I$89,3,0)*0.475*44/12</f>
        <v>3.0203718415643741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28.601764389295369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5.6843418860808015E-14</v>
      </c>
      <c r="O109" s="13">
        <f>N109*VLOOKUP('Données projet'!$B$9,Paramètres!$A$1:$I$89,3,0)*VLOOKUP('Données projet'!$B$9,Paramètres!$A$1:$I$89,5,0)</f>
        <v>3.3992364478763198E-14</v>
      </c>
      <c r="P109" s="13">
        <f t="shared" si="87"/>
        <v>5.790027782444094E-13</v>
      </c>
      <c r="Q109" s="20">
        <f t="shared" si="107"/>
        <v>1.0676332069095257E-12</v>
      </c>
      <c r="R109" s="59">
        <f t="shared" si="55"/>
        <v>293.33333333333439</v>
      </c>
      <c r="S109" s="59">
        <f ca="1">AVERAGE(OFFSET($R$3,0,0,'Données projet'!$E$9+1,1))-AVERAGE(OFFSET($H$3,0,0,'Données projet'!$E$9+1,1))</f>
        <v>173.43838269633449</v>
      </c>
      <c r="T109" s="59">
        <f t="shared" si="88"/>
        <v>346.57067290129595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25.079757042978766</v>
      </c>
      <c r="AA109" s="21">
        <f>EXP(-LN(2)/25)*AA108+(1-EXP(-LN(2)/25))/(LN(2)/25)*Calculateur!V109*Calculateur!X109*VLOOKUP('Données projet'!$B$9,Paramètres!$A$1:$I$89,3,0)*0.475*44/12</f>
        <v>2.9377796147223445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28.017536657701111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5.6843418860808015E-14</v>
      </c>
      <c r="O110" s="13">
        <f>N110*VLOOKUP('Données projet'!$B$9,Paramètres!$A$1:$I$89,3,0)*VLOOKUP('Données projet'!$B$9,Paramètres!$A$1:$I$89,5,0)</f>
        <v>3.3992364478763198E-14</v>
      </c>
      <c r="P110" s="13">
        <f t="shared" si="87"/>
        <v>5.790027782444094E-13</v>
      </c>
      <c r="Q110" s="20">
        <f t="shared" si="107"/>
        <v>1.0676332069095257E-12</v>
      </c>
      <c r="R110" s="59">
        <f t="shared" si="55"/>
        <v>293.33333333333439</v>
      </c>
      <c r="S110" s="59">
        <f ca="1">AVERAGE(OFFSET($R$3,0,0,'Données projet'!$E$9+1,1))-AVERAGE(OFFSET($H$3,0,0,'Données projet'!$E$9+1,1))</f>
        <v>173.43838269633449</v>
      </c>
      <c r="T110" s="59">
        <f t="shared" si="88"/>
        <v>346.57067290129595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24.587958304507282</v>
      </c>
      <c r="AA110" s="21">
        <f>EXP(-LN(2)/25)*AA109+(1-EXP(-LN(2)/25))/(LN(2)/25)*Calculateur!V110*Calculateur!X110*VLOOKUP('Données projet'!$B$9,Paramètres!$A$1:$I$89,3,0)*0.475*44/12</f>
        <v>2.8574458766666466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27.445404181173927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5.6843418860808015E-14</v>
      </c>
      <c r="O111" s="13">
        <f>N111*VLOOKUP('Données projet'!$B$9,Paramètres!$A$1:$I$89,3,0)*VLOOKUP('Données projet'!$B$9,Paramètres!$A$1:$I$89,5,0)</f>
        <v>3.3992364478763198E-14</v>
      </c>
      <c r="P111" s="13">
        <f t="shared" si="87"/>
        <v>5.790027782444094E-13</v>
      </c>
      <c r="Q111" s="20">
        <f t="shared" si="107"/>
        <v>1.0676332069095257E-12</v>
      </c>
      <c r="R111" s="59">
        <f t="shared" si="55"/>
        <v>293.33333333333439</v>
      </c>
      <c r="S111" s="59">
        <f ca="1">AVERAGE(OFFSET($R$3,0,0,'Données projet'!$E$9+1,1))-AVERAGE(OFFSET($H$3,0,0,'Données projet'!$E$9+1,1))</f>
        <v>173.43838269633449</v>
      </c>
      <c r="T111" s="59">
        <f t="shared" si="88"/>
        <v>346.57067290129595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24.105803439329613</v>
      </c>
      <c r="AA111" s="21">
        <f>EXP(-LN(2)/25)*AA110+(1-EXP(-LN(2)/25))/(LN(2)/25)*Calculateur!V111*Calculateur!X111*VLOOKUP('Données projet'!$B$9,Paramètres!$A$1:$I$89,3,0)*0.475*44/12</f>
        <v>2.7793088689026493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26.885112308232262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5.6843418860808015E-14</v>
      </c>
      <c r="O112" s="13">
        <f>N112*VLOOKUP('Données projet'!$B$9,Paramètres!$A$1:$I$89,3,0)*VLOOKUP('Données projet'!$B$9,Paramètres!$A$1:$I$89,5,0)</f>
        <v>3.3992364478763198E-14</v>
      </c>
      <c r="P112" s="13">
        <f t="shared" si="87"/>
        <v>5.790027782444094E-13</v>
      </c>
      <c r="Q112" s="20">
        <f t="shared" si="107"/>
        <v>1.0676332069095257E-12</v>
      </c>
      <c r="R112" s="59">
        <f t="shared" si="55"/>
        <v>293.33333333333439</v>
      </c>
      <c r="S112" s="59">
        <f ca="1">AVERAGE(OFFSET($R$3,0,0,'Données projet'!$E$9+1,1))-AVERAGE(OFFSET($H$3,0,0,'Données projet'!$E$9+1,1))</f>
        <v>173.43838269633449</v>
      </c>
      <c r="T112" s="59">
        <f t="shared" si="88"/>
        <v>346.57067290129595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23.633103336972649</v>
      </c>
      <c r="AA112" s="21">
        <f>EXP(-LN(2)/25)*AA111+(1-EXP(-LN(2)/25))/(LN(2)/25)*Calculateur!V112*Calculateur!X112*VLOOKUP('Données projet'!$B$9,Paramètres!$A$1:$I$89,3,0)*0.475*44/12</f>
        <v>2.7033085217250052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26.336411858697655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5.6843418860808015E-14</v>
      </c>
      <c r="O113" s="13">
        <f>N113*VLOOKUP('Données projet'!$B$9,Paramètres!$A$1:$I$89,3,0)*VLOOKUP('Données projet'!$B$9,Paramètres!$A$1:$I$89,5,0)</f>
        <v>3.3992364478763198E-14</v>
      </c>
      <c r="P113" s="13">
        <f t="shared" si="87"/>
        <v>5.790027782444094E-13</v>
      </c>
      <c r="Q113" s="20">
        <f t="shared" si="107"/>
        <v>1.0676332069095257E-12</v>
      </c>
      <c r="R113" s="59">
        <f t="shared" si="55"/>
        <v>293.33333333333439</v>
      </c>
      <c r="S113" s="59">
        <f ca="1">AVERAGE(OFFSET($R$3,0,0,'Données projet'!$E$9+1,1))-AVERAGE(OFFSET($H$3,0,0,'Données projet'!$E$9+1,1))</f>
        <v>173.43838269633449</v>
      </c>
      <c r="T113" s="59">
        <f t="shared" si="88"/>
        <v>346.57067290129595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23.169672595304309</v>
      </c>
      <c r="AA113" s="21">
        <f>EXP(-LN(2)/25)*AA112+(1-EXP(-LN(2)/25))/(LN(2)/25)*Calculateur!V113*Calculateur!X113*VLOOKUP('Données projet'!$B$9,Paramètres!$A$1:$I$89,3,0)*0.475*44/12</f>
        <v>2.6293864080376181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25.799059003341927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5.6843418860808015E-14</v>
      </c>
      <c r="O114" s="13">
        <f>N114*VLOOKUP('Données projet'!$B$9,Paramètres!$A$1:$I$89,3,0)*VLOOKUP('Données projet'!$B$9,Paramètres!$A$1:$I$89,5,0)</f>
        <v>3.3992364478763198E-14</v>
      </c>
      <c r="P114" s="13">
        <f t="shared" si="87"/>
        <v>5.790027782444094E-13</v>
      </c>
      <c r="Q114" s="20">
        <f t="shared" si="107"/>
        <v>1.0676332069095257E-12</v>
      </c>
      <c r="R114" s="59">
        <f t="shared" si="55"/>
        <v>293.33333333333439</v>
      </c>
      <c r="S114" s="59">
        <f ca="1">AVERAGE(OFFSET($R$3,0,0,'Données projet'!$E$9+1,1))-AVERAGE(OFFSET($H$3,0,0,'Données projet'!$E$9+1,1))</f>
        <v>173.43838269633449</v>
      </c>
      <c r="T114" s="59">
        <f t="shared" si="88"/>
        <v>346.57067290129595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22.715329447815247</v>
      </c>
      <c r="AA114" s="21">
        <f>EXP(-LN(2)/25)*AA113+(1-EXP(-LN(2)/25))/(LN(2)/25)*Calculateur!V114*Calculateur!X114*VLOOKUP('Données projet'!$B$9,Paramètres!$A$1:$I$89,3,0)*0.475*44/12</f>
        <v>2.5574856984364076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25.272815146251656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5.6843418860808015E-14</v>
      </c>
      <c r="O115" s="13">
        <f>N115*VLOOKUP('Données projet'!$B$9,Paramètres!$A$1:$I$89,3,0)*VLOOKUP('Données projet'!$B$9,Paramètres!$A$1:$I$89,5,0)</f>
        <v>3.3992364478763198E-14</v>
      </c>
      <c r="P115" s="13">
        <f t="shared" si="87"/>
        <v>5.790027782444094E-13</v>
      </c>
      <c r="Q115" s="20">
        <f t="shared" si="107"/>
        <v>1.0676332069095257E-12</v>
      </c>
      <c r="R115" s="59">
        <f t="shared" si="55"/>
        <v>293.33333333333439</v>
      </c>
      <c r="S115" s="59">
        <f ca="1">AVERAGE(OFFSET($R$3,0,0,'Données projet'!$E$9+1,1))-AVERAGE(OFFSET($H$3,0,0,'Données projet'!$E$9+1,1))</f>
        <v>173.43838269633449</v>
      </c>
      <c r="T115" s="59">
        <f t="shared" si="88"/>
        <v>346.57067290129595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22.269895692326486</v>
      </c>
      <c r="AA115" s="21">
        <f>EXP(-LN(2)/25)*AA114+(1-EXP(-LN(2)/25))/(LN(2)/25)*Calculateur!V115*Calculateur!X115*VLOOKUP('Données projet'!$B$9,Paramètres!$A$1:$I$89,3,0)*0.475*44/12</f>
        <v>2.4875511175203364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24.757446809846822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5.6843418860808015E-14</v>
      </c>
      <c r="O116" s="13">
        <f>N116*VLOOKUP('Données projet'!$B$9,Paramètres!$A$1:$I$89,3,0)*VLOOKUP('Données projet'!$B$9,Paramètres!$A$1:$I$89,5,0)</f>
        <v>3.3992364478763198E-14</v>
      </c>
      <c r="P116" s="13">
        <f t="shared" si="87"/>
        <v>5.790027782444094E-13</v>
      </c>
      <c r="Q116" s="20">
        <f t="shared" si="107"/>
        <v>1.0676332069095257E-12</v>
      </c>
      <c r="R116" s="59">
        <f t="shared" si="55"/>
        <v>293.33333333333439</v>
      </c>
      <c r="S116" s="59">
        <f ca="1">AVERAGE(OFFSET($R$3,0,0,'Données projet'!$E$9+1,1))-AVERAGE(OFFSET($H$3,0,0,'Données projet'!$E$9+1,1))</f>
        <v>173.43838269633449</v>
      </c>
      <c r="T116" s="59">
        <f t="shared" si="88"/>
        <v>346.57067290129595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21.833196621095098</v>
      </c>
      <c r="AA116" s="21">
        <f>EXP(-LN(2)/25)*AA115+(1-EXP(-LN(2)/25))/(LN(2)/25)*Calculateur!V116*Calculateur!X116*VLOOKUP('Données projet'!$B$9,Paramètres!$A$1:$I$89,3,0)*0.475*44/12</f>
        <v>2.4195289013971149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24.252725522492213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5.6843418860808015E-14</v>
      </c>
      <c r="O117" s="13">
        <f>N117*VLOOKUP('Données projet'!$B$9,Paramètres!$A$1:$I$89,3,0)*VLOOKUP('Données projet'!$B$9,Paramètres!$A$1:$I$89,5,0)</f>
        <v>3.3992364478763198E-14</v>
      </c>
      <c r="P117" s="13">
        <f t="shared" si="87"/>
        <v>5.790027782444094E-13</v>
      </c>
      <c r="Q117" s="20">
        <f t="shared" si="107"/>
        <v>1.0676332069095257E-12</v>
      </c>
      <c r="R117" s="59">
        <f t="shared" si="55"/>
        <v>293.33333333333439</v>
      </c>
      <c r="S117" s="59">
        <f ca="1">AVERAGE(OFFSET($R$3,0,0,'Données projet'!$E$9+1,1))-AVERAGE(OFFSET($H$3,0,0,'Données projet'!$E$9+1,1))</f>
        <v>173.43838269633449</v>
      </c>
      <c r="T117" s="59">
        <f t="shared" si="88"/>
        <v>346.57067290129595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21.405060952290423</v>
      </c>
      <c r="AA117" s="21">
        <f>EXP(-LN(2)/25)*AA116+(1-EXP(-LN(2)/25))/(LN(2)/25)*Calculateur!V117*Calculateur!X117*VLOOKUP('Données projet'!$B$9,Paramètres!$A$1:$I$89,3,0)*0.475*44/12</f>
        <v>2.3533667563509155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23.758427708641339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5.6843418860808015E-14</v>
      </c>
      <c r="O118" s="13">
        <f>N118*VLOOKUP('Données projet'!$B$9,Paramètres!$A$1:$I$89,3,0)*VLOOKUP('Données projet'!$B$9,Paramètres!$A$1:$I$89,5,0)</f>
        <v>3.3992364478763198E-14</v>
      </c>
      <c r="P118" s="13">
        <f t="shared" si="87"/>
        <v>5.790027782444094E-13</v>
      </c>
      <c r="Q118" s="20">
        <f t="shared" si="107"/>
        <v>1.0676332069095257E-12</v>
      </c>
      <c r="R118" s="59">
        <f t="shared" si="55"/>
        <v>293.33333333333439</v>
      </c>
      <c r="S118" s="59">
        <f ca="1">AVERAGE(OFFSET($R$3,0,0,'Données projet'!$E$9+1,1))-AVERAGE(OFFSET($H$3,0,0,'Données projet'!$E$9+1,1))</f>
        <v>173.43838269633449</v>
      </c>
      <c r="T118" s="59">
        <f t="shared" si="88"/>
        <v>346.57067290129595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20.985320762814037</v>
      </c>
      <c r="AA118" s="21">
        <f>EXP(-LN(2)/25)*AA117+(1-EXP(-LN(2)/25))/(LN(2)/25)*Calculateur!V118*Calculateur!X118*VLOOKUP('Données projet'!$B$9,Paramètres!$A$1:$I$89,3,0)*0.475*44/12</f>
        <v>2.2890138186403206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23.274334581454358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5.6843418860808015E-14</v>
      </c>
      <c r="O119" s="13">
        <f>N119*VLOOKUP('Données projet'!$B$9,Paramètres!$A$1:$I$89,3,0)*VLOOKUP('Données projet'!$B$9,Paramètres!$A$1:$I$89,5,0)</f>
        <v>3.3992364478763198E-14</v>
      </c>
      <c r="P119" s="13">
        <f t="shared" si="87"/>
        <v>5.790027782444094E-13</v>
      </c>
      <c r="Q119" s="20">
        <f t="shared" si="107"/>
        <v>1.0676332069095257E-12</v>
      </c>
      <c r="R119" s="59">
        <f t="shared" si="55"/>
        <v>293.33333333333439</v>
      </c>
      <c r="S119" s="59">
        <f ca="1">AVERAGE(OFFSET($R$3,0,0,'Données projet'!$E$9+1,1))-AVERAGE(OFFSET($H$3,0,0,'Données projet'!$E$9+1,1))</f>
        <v>173.43838269633449</v>
      </c>
      <c r="T119" s="59">
        <f t="shared" si="88"/>
        <v>346.57067290129595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20.573811422437046</v>
      </c>
      <c r="AA119" s="21">
        <f>EXP(-LN(2)/25)*AA118+(1-EXP(-LN(2)/25))/(LN(2)/25)*Calculateur!V119*Calculateur!X119*VLOOKUP('Données projet'!$B$9,Paramètres!$A$1:$I$89,3,0)*0.475*44/12</f>
        <v>2.2264206153955959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22.800232037832643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5.6843418860808015E-14</v>
      </c>
      <c r="O120" s="13">
        <f>N120*VLOOKUP('Données projet'!$B$9,Paramètres!$A$1:$I$89,3,0)*VLOOKUP('Données projet'!$B$9,Paramètres!$A$1:$I$89,5,0)</f>
        <v>3.3992364478763198E-14</v>
      </c>
      <c r="P120" s="13">
        <f t="shared" si="87"/>
        <v>5.790027782444094E-13</v>
      </c>
      <c r="Q120" s="20">
        <f t="shared" si="107"/>
        <v>1.0676332069095257E-12</v>
      </c>
      <c r="R120" s="59">
        <f t="shared" si="55"/>
        <v>293.33333333333439</v>
      </c>
      <c r="S120" s="59">
        <f ca="1">AVERAGE(OFFSET($R$3,0,0,'Données projet'!$E$9+1,1))-AVERAGE(OFFSET($H$3,0,0,'Données projet'!$E$9+1,1))</f>
        <v>173.43838269633449</v>
      </c>
      <c r="T120" s="59">
        <f t="shared" si="88"/>
        <v>346.57067290129595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20.170371529228934</v>
      </c>
      <c r="AA120" s="21">
        <f>EXP(-LN(2)/25)*AA119+(1-EXP(-LN(2)/25))/(LN(2)/25)*Calculateur!V120*Calculateur!X120*VLOOKUP('Données projet'!$B$9,Paramètres!$A$1:$I$89,3,0)*0.475*44/12</f>
        <v>2.1655390265852317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22.335910555814166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5.6843418860808015E-14</v>
      </c>
      <c r="O121" s="13">
        <f>N121*VLOOKUP('Données projet'!$B$9,Paramètres!$A$1:$I$89,3,0)*VLOOKUP('Données projet'!$B$9,Paramètres!$A$1:$I$89,5,0)</f>
        <v>3.3992364478763198E-14</v>
      </c>
      <c r="P121" s="13">
        <f t="shared" si="87"/>
        <v>5.790027782444094E-13</v>
      </c>
      <c r="Q121" s="20">
        <f t="shared" si="107"/>
        <v>1.0676332069095257E-12</v>
      </c>
      <c r="R121" s="59">
        <f t="shared" si="55"/>
        <v>293.33333333333439</v>
      </c>
      <c r="S121" s="59">
        <f ca="1">AVERAGE(OFFSET($R$3,0,0,'Données projet'!$E$9+1,1))-AVERAGE(OFFSET($H$3,0,0,'Données projet'!$E$9+1,1))</f>
        <v>173.43838269633449</v>
      </c>
      <c r="T121" s="59">
        <f t="shared" si="88"/>
        <v>346.57067290129595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19.774842846252596</v>
      </c>
      <c r="AA121" s="21">
        <f>EXP(-LN(2)/25)*AA120+(1-EXP(-LN(2)/25))/(LN(2)/25)*Calculateur!V121*Calculateur!X121*VLOOKUP('Données projet'!$B$9,Paramètres!$A$1:$I$89,3,0)*0.475*44/12</f>
        <v>2.1063222480225106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21.881165094275108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5.6843418860808015E-14</v>
      </c>
      <c r="O122" s="13">
        <f>N122*VLOOKUP('Données projet'!$B$9,Paramètres!$A$1:$I$89,3,0)*VLOOKUP('Données projet'!$B$9,Paramètres!$A$1:$I$89,5,0)</f>
        <v>3.3992364478763198E-14</v>
      </c>
      <c r="P122" s="13">
        <f t="shared" si="87"/>
        <v>5.790027782444094E-13</v>
      </c>
      <c r="Q122" s="20">
        <f t="shared" si="107"/>
        <v>1.0676332069095257E-12</v>
      </c>
      <c r="R122" s="59">
        <f t="shared" si="55"/>
        <v>293.33333333333439</v>
      </c>
      <c r="S122" s="59">
        <f ca="1">AVERAGE(OFFSET($R$3,0,0,'Données projet'!$E$9+1,1))-AVERAGE(OFFSET($H$3,0,0,'Données projet'!$E$9+1,1))</f>
        <v>173.43838269633449</v>
      </c>
      <c r="T122" s="59">
        <f t="shared" si="88"/>
        <v>346.57067290129595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19.387070239500748</v>
      </c>
      <c r="AA122" s="21">
        <f>EXP(-LN(2)/25)*AA121+(1-EXP(-LN(2)/25))/(LN(2)/25)*Calculateur!V122*Calculateur!X122*VLOOKUP('Données projet'!$B$9,Paramètres!$A$1:$I$89,3,0)*0.475*44/12</f>
        <v>2.0487247553836618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21.435794994884411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5.6843418860808015E-14</v>
      </c>
      <c r="O123" s="13">
        <f>N123*VLOOKUP('Données projet'!$B$9,Paramètres!$A$1:$I$89,3,0)*VLOOKUP('Données projet'!$B$9,Paramètres!$A$1:$I$89,5,0)</f>
        <v>3.3992364478763198E-14</v>
      </c>
      <c r="P123" s="13">
        <f t="shared" si="87"/>
        <v>5.790027782444094E-13</v>
      </c>
      <c r="Q123" s="20">
        <f t="shared" si="107"/>
        <v>1.0676332069095257E-12</v>
      </c>
      <c r="R123" s="59">
        <f t="shared" si="55"/>
        <v>293.33333333333439</v>
      </c>
      <c r="S123" s="59">
        <f ca="1">AVERAGE(OFFSET($R$3,0,0,'Données projet'!$E$9+1,1))-AVERAGE(OFFSET($H$3,0,0,'Données projet'!$E$9+1,1))</f>
        <v>173.43838269633449</v>
      </c>
      <c r="T123" s="59">
        <f t="shared" si="88"/>
        <v>346.57067290129595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19.006901617049369</v>
      </c>
      <c r="AA123" s="21">
        <f>EXP(-LN(2)/25)*AA122+(1-EXP(-LN(2)/25))/(LN(2)/25)*Calculateur!V123*Calculateur!X123*VLOOKUP('Données projet'!$B$9,Paramètres!$A$1:$I$89,3,0)*0.475*44/12</f>
        <v>1.9927022692099432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20.999603886259312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5.6843418860808015E-14</v>
      </c>
      <c r="O124" s="13">
        <f>N124*VLOOKUP('Données projet'!$B$9,Paramètres!$A$1:$I$89,3,0)*VLOOKUP('Données projet'!$B$9,Paramètres!$A$1:$I$89,5,0)</f>
        <v>3.3992364478763198E-14</v>
      </c>
      <c r="P124" s="13">
        <f t="shared" si="87"/>
        <v>5.790027782444094E-13</v>
      </c>
      <c r="Q124" s="20">
        <f t="shared" si="107"/>
        <v>1.0676332069095257E-12</v>
      </c>
      <c r="R124" s="59">
        <f t="shared" si="55"/>
        <v>293.33333333333439</v>
      </c>
      <c r="S124" s="59">
        <f ca="1">AVERAGE(OFFSET($R$3,0,0,'Données projet'!$E$9+1,1))-AVERAGE(OFFSET($H$3,0,0,'Données projet'!$E$9+1,1))</f>
        <v>173.43838269633449</v>
      </c>
      <c r="T124" s="59">
        <f t="shared" si="88"/>
        <v>346.57067290129595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18.634187869404297</v>
      </c>
      <c r="AA124" s="21">
        <f>EXP(-LN(2)/25)*AA123+(1-EXP(-LN(2)/25))/(LN(2)/25)*Calculateur!V124*Calculateur!X124*VLOOKUP('Données projet'!$B$9,Paramètres!$A$1:$I$89,3,0)*0.475*44/12</f>
        <v>1.9382117208667393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20.572399590271036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5.6843418860808015E-14</v>
      </c>
      <c r="O125" s="13">
        <f>N125*VLOOKUP('Données projet'!$B$9,Paramètres!$A$1:$I$89,3,0)*VLOOKUP('Données projet'!$B$9,Paramètres!$A$1:$I$89,5,0)</f>
        <v>3.3992364478763198E-14</v>
      </c>
      <c r="P125" s="13">
        <f t="shared" si="87"/>
        <v>5.790027782444094E-13</v>
      </c>
      <c r="Q125" s="20">
        <f t="shared" si="107"/>
        <v>1.0676332069095257E-12</v>
      </c>
      <c r="R125" s="59">
        <f t="shared" si="55"/>
        <v>293.33333333333439</v>
      </c>
      <c r="S125" s="59">
        <f ca="1">AVERAGE(OFFSET($R$3,0,0,'Données projet'!$E$9+1,1))-AVERAGE(OFFSET($H$3,0,0,'Données projet'!$E$9+1,1))</f>
        <v>173.43838269633449</v>
      </c>
      <c r="T125" s="59">
        <f t="shared" si="88"/>
        <v>346.57067290129595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18.268782811017605</v>
      </c>
      <c r="AA125" s="21">
        <f>EXP(-LN(2)/25)*AA124+(1-EXP(-LN(2)/25))/(LN(2)/25)*Calculateur!V125*Calculateur!X125*VLOOKUP('Données projet'!$B$9,Paramètres!$A$1:$I$89,3,0)*0.475*44/12</f>
        <v>1.8852112194335138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20.15399403045112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5.6843418860808015E-14</v>
      </c>
      <c r="O126" s="13">
        <f>N126*VLOOKUP('Données projet'!$B$9,Paramètres!$A$1:$I$89,3,0)*VLOOKUP('Données projet'!$B$9,Paramètres!$A$1:$I$89,5,0)</f>
        <v>3.3992364478763198E-14</v>
      </c>
      <c r="P126" s="13">
        <f t="shared" si="87"/>
        <v>5.790027782444094E-13</v>
      </c>
      <c r="Q126" s="20">
        <f t="shared" si="107"/>
        <v>1.0676332069095257E-12</v>
      </c>
      <c r="R126" s="59">
        <f t="shared" si="55"/>
        <v>293.33333333333439</v>
      </c>
      <c r="S126" s="59">
        <f ca="1">AVERAGE(OFFSET($R$3,0,0,'Données projet'!$E$9+1,1))-AVERAGE(OFFSET($H$3,0,0,'Données projet'!$E$9+1,1))</f>
        <v>173.43838269633449</v>
      </c>
      <c r="T126" s="59">
        <f t="shared" si="88"/>
        <v>346.57067290129595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17.910543122950799</v>
      </c>
      <c r="AA126" s="21">
        <f>EXP(-LN(2)/25)*AA125+(1-EXP(-LN(2)/25))/(LN(2)/25)*Calculateur!V126*Calculateur!X126*VLOOKUP('Données projet'!$B$9,Paramètres!$A$1:$I$89,3,0)*0.475*44/12</f>
        <v>1.833660019499155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19.744203142449955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5.6843418860808015E-14</v>
      </c>
      <c r="O127" s="13">
        <f>N127*VLOOKUP('Données projet'!$B$9,Paramètres!$A$1:$I$89,3,0)*VLOOKUP('Données projet'!$B$9,Paramètres!$A$1:$I$89,5,0)</f>
        <v>3.3992364478763198E-14</v>
      </c>
      <c r="P127" s="13">
        <f t="shared" si="87"/>
        <v>5.790027782444094E-13</v>
      </c>
      <c r="Q127" s="20">
        <f t="shared" si="107"/>
        <v>1.0676332069095257E-12</v>
      </c>
      <c r="R127" s="59">
        <f t="shared" si="55"/>
        <v>293.33333333333439</v>
      </c>
      <c r="S127" s="59">
        <f ca="1">AVERAGE(OFFSET($R$3,0,0,'Données projet'!$E$9+1,1))-AVERAGE(OFFSET($H$3,0,0,'Données projet'!$E$9+1,1))</f>
        <v>173.43838269633449</v>
      </c>
      <c r="T127" s="59">
        <f t="shared" si="88"/>
        <v>346.57067290129595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17.559328296662347</v>
      </c>
      <c r="AA127" s="21">
        <f>EXP(-LN(2)/25)*AA126+(1-EXP(-LN(2)/25))/(LN(2)/25)*Calculateur!V127*Calculateur!X127*VLOOKUP('Données projet'!$B$9,Paramètres!$A$1:$I$89,3,0)*0.475*44/12</f>
        <v>1.783518489837961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19.342846786500306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5.6843418860808015E-14</v>
      </c>
      <c r="O128" s="13">
        <f>N128*VLOOKUP('Données projet'!$B$9,Paramètres!$A$1:$I$89,3,0)*VLOOKUP('Données projet'!$B$9,Paramètres!$A$1:$I$89,5,0)</f>
        <v>3.3992364478763198E-14</v>
      </c>
      <c r="P128" s="13">
        <f t="shared" si="87"/>
        <v>5.790027782444094E-13</v>
      </c>
      <c r="Q128" s="20">
        <f t="shared" si="107"/>
        <v>1.0676332069095257E-12</v>
      </c>
      <c r="R128" s="59">
        <f t="shared" si="55"/>
        <v>293.33333333333439</v>
      </c>
      <c r="S128" s="59">
        <f ca="1">AVERAGE(OFFSET($R$3,0,0,'Données projet'!$E$9+1,1))-AVERAGE(OFFSET($H$3,0,0,'Données projet'!$E$9+1,1))</f>
        <v>173.43838269633449</v>
      </c>
      <c r="T128" s="59">
        <f t="shared" si="88"/>
        <v>346.57067290129595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17.21500057889752</v>
      </c>
      <c r="AA128" s="21">
        <f>EXP(-LN(2)/25)*AA127+(1-EXP(-LN(2)/25))/(LN(2)/25)*Calculateur!V128*Calculateur!X128*VLOOKUP('Données projet'!$B$9,Paramètres!$A$1:$I$89,3,0)*0.475*44/12</f>
        <v>1.7347480829421809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18.949748661839699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5.6843418860808015E-14</v>
      </c>
      <c r="O129" s="13">
        <f>N129*VLOOKUP('Données projet'!$B$9,Paramètres!$A$1:$I$89,3,0)*VLOOKUP('Données projet'!$B$9,Paramètres!$A$1:$I$89,5,0)</f>
        <v>3.3992364478763198E-14</v>
      </c>
      <c r="P129" s="13">
        <f t="shared" si="87"/>
        <v>5.790027782444094E-13</v>
      </c>
      <c r="Q129" s="20">
        <f t="shared" si="107"/>
        <v>1.0676332069095257E-12</v>
      </c>
      <c r="R129" s="59">
        <f t="shared" si="55"/>
        <v>293.33333333333439</v>
      </c>
      <c r="S129" s="59">
        <f ca="1">AVERAGE(OFFSET($R$3,0,0,'Données projet'!$E$9+1,1))-AVERAGE(OFFSET($H$3,0,0,'Données projet'!$E$9+1,1))</f>
        <v>173.43838269633449</v>
      </c>
      <c r="T129" s="59">
        <f t="shared" si="88"/>
        <v>346.57067290129595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16.877424917658892</v>
      </c>
      <c r="AA129" s="21">
        <f>EXP(-LN(2)/25)*AA128+(1-EXP(-LN(2)/25))/(LN(2)/25)*Calculateur!V129*Calculateur!X129*VLOOKUP('Données projet'!$B$9,Paramètres!$A$1:$I$89,3,0)*0.475*44/12</f>
        <v>1.68731130538769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18.564736223046584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5.6843418860808015E-14</v>
      </c>
      <c r="O130" s="13">
        <f>N130*VLOOKUP('Données projet'!$B$9,Paramètres!$A$1:$I$89,3,0)*VLOOKUP('Données projet'!$B$9,Paramètres!$A$1:$I$89,5,0)</f>
        <v>3.3992364478763198E-14</v>
      </c>
      <c r="P130" s="13">
        <f t="shared" si="87"/>
        <v>5.790027782444094E-13</v>
      </c>
      <c r="Q130" s="20">
        <f t="shared" si="107"/>
        <v>1.0676332069095257E-12</v>
      </c>
      <c r="R130" s="59">
        <f t="shared" si="55"/>
        <v>293.33333333333439</v>
      </c>
      <c r="S130" s="59">
        <f ca="1">AVERAGE(OFFSET($R$3,0,0,'Données projet'!$E$9+1,1))-AVERAGE(OFFSET($H$3,0,0,'Données projet'!$E$9+1,1))</f>
        <v>173.43838269633449</v>
      </c>
      <c r="T130" s="59">
        <f t="shared" si="88"/>
        <v>346.57067290129595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16.546468909236332</v>
      </c>
      <c r="AA130" s="21">
        <f>EXP(-LN(2)/25)*AA129+(1-EXP(-LN(2)/25))/(LN(2)/25)*Calculateur!V130*Calculateur!X130*VLOOKUP('Données projet'!$B$9,Paramètres!$A$1:$I$89,3,0)*0.475*44/12</f>
        <v>1.6411716890100185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18.18764059824635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5.6843418860808015E-14</v>
      </c>
      <c r="O131" s="13">
        <f>N131*VLOOKUP('Données projet'!$B$9,Paramètres!$A$1:$I$89,3,0)*VLOOKUP('Données projet'!$B$9,Paramètres!$A$1:$I$89,5,0)</f>
        <v>3.3992364478763198E-14</v>
      </c>
      <c r="P131" s="13">
        <f t="shared" si="87"/>
        <v>5.790027782444094E-13</v>
      </c>
      <c r="Q131" s="20">
        <f t="shared" ref="Q131:Q153" si="108">(O131+P131)*0.475*44/12</f>
        <v>1.0676332069095257E-12</v>
      </c>
      <c r="R131" s="59">
        <f t="shared" ref="R131:R194" si="109">Q131+(I131+J131)*44/12</f>
        <v>293.33333333333439</v>
      </c>
      <c r="S131" s="59">
        <f ca="1">AVERAGE(OFFSET($R$3,0,0,'Données projet'!$E$9+1,1))-AVERAGE(OFFSET($H$3,0,0,'Données projet'!$E$9+1,1))</f>
        <v>173.43838269633449</v>
      </c>
      <c r="T131" s="59">
        <f t="shared" si="88"/>
        <v>346.57067290129595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16.222002746275706</v>
      </c>
      <c r="AA131" s="21">
        <f>EXP(-LN(2)/25)*AA130+(1-EXP(-LN(2)/25))/(LN(2)/25)*Calculateur!V131*Calculateur!X131*VLOOKUP('Données projet'!$B$9,Paramètres!$A$1:$I$89,3,0)*0.475*44/12</f>
        <v>1.5962937628685714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17.818296509144279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5.6843418860808015E-14</v>
      </c>
      <c r="O132" s="13">
        <f>N132*VLOOKUP('Données projet'!$B$9,Paramètres!$A$1:$I$89,3,0)*VLOOKUP('Données projet'!$B$9,Paramètres!$A$1:$I$89,5,0)</f>
        <v>3.3992364478763198E-14</v>
      </c>
      <c r="P132" s="13">
        <f t="shared" si="87"/>
        <v>5.790027782444094E-13</v>
      </c>
      <c r="Q132" s="20">
        <f t="shared" si="108"/>
        <v>1.0676332069095257E-12</v>
      </c>
      <c r="R132" s="59">
        <f t="shared" si="109"/>
        <v>293.33333333333439</v>
      </c>
      <c r="S132" s="59">
        <f ca="1">AVERAGE(OFFSET($R$3,0,0,'Données projet'!$E$9+1,1))-AVERAGE(OFFSET($H$3,0,0,'Données projet'!$E$9+1,1))</f>
        <v>173.43838269633449</v>
      </c>
      <c r="T132" s="59">
        <f t="shared" si="88"/>
        <v>346.57067290129595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15.903899166865919</v>
      </c>
      <c r="AA132" s="21">
        <f>EXP(-LN(2)/25)*AA131+(1-EXP(-LN(2)/25))/(LN(2)/25)*Calculateur!V132*Calculateur!X132*VLOOKUP('Données projet'!$B$9,Paramètres!$A$1:$I$89,3,0)*0.475*44/12</f>
        <v>1.5526430259774897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17.456542192843408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5.6843418860808015E-14</v>
      </c>
      <c r="O133" s="13">
        <f>N133*VLOOKUP('Données projet'!$B$9,Paramètres!$A$1:$I$89,3,0)*VLOOKUP('Données projet'!$B$9,Paramètres!$A$1:$I$89,5,0)</f>
        <v>3.3992364478763198E-14</v>
      </c>
      <c r="P133" s="13">
        <f t="shared" ref="P133:P196" si="141">EXP(-1.0587+0.8836*LN(O133)+0.284)</f>
        <v>5.790027782444094E-13</v>
      </c>
      <c r="Q133" s="20">
        <f t="shared" si="108"/>
        <v>1.0676332069095257E-12</v>
      </c>
      <c r="R133" s="59">
        <f t="shared" si="109"/>
        <v>293.33333333333439</v>
      </c>
      <c r="S133" s="59">
        <f ca="1">AVERAGE(OFFSET($R$3,0,0,'Données projet'!$E$9+1,1))-AVERAGE(OFFSET($H$3,0,0,'Données projet'!$E$9+1,1))</f>
        <v>173.43838269633449</v>
      </c>
      <c r="T133" s="59">
        <f t="shared" ref="T133:T196" si="142">$T$3</f>
        <v>346.57067290129595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15.592033404624333</v>
      </c>
      <c r="AA133" s="21">
        <f>EXP(-LN(2)/25)*AA132+(1-EXP(-LN(2)/25))/(LN(2)/25)*Calculateur!V133*Calculateur!X133*VLOOKUP('Données projet'!$B$9,Paramètres!$A$1:$I$89,3,0)*0.475*44/12</f>
        <v>1.5101859207821871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17.102219325406519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5.6843418860808015E-14</v>
      </c>
      <c r="O134" s="13">
        <f>N134*VLOOKUP('Données projet'!$B$9,Paramètres!$A$1:$I$89,3,0)*VLOOKUP('Données projet'!$B$9,Paramètres!$A$1:$I$89,5,0)</f>
        <v>3.3992364478763198E-14</v>
      </c>
      <c r="P134" s="13">
        <f t="shared" si="141"/>
        <v>5.790027782444094E-13</v>
      </c>
      <c r="Q134" s="20">
        <f t="shared" si="108"/>
        <v>1.0676332069095257E-12</v>
      </c>
      <c r="R134" s="59">
        <f t="shared" si="109"/>
        <v>293.33333333333439</v>
      </c>
      <c r="S134" s="59">
        <f ca="1">AVERAGE(OFFSET($R$3,0,0,'Données projet'!$E$9+1,1))-AVERAGE(OFFSET($H$3,0,0,'Données projet'!$E$9+1,1))</f>
        <v>173.43838269633449</v>
      </c>
      <c r="T134" s="59">
        <f t="shared" si="142"/>
        <v>346.57067290129595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15.286283139760972</v>
      </c>
      <c r="AA134" s="21">
        <f>EXP(-LN(2)/25)*AA133+(1-EXP(-LN(2)/25))/(LN(2)/25)*Calculateur!V134*Calculateur!X134*VLOOKUP('Données projet'!$B$9,Paramètres!$A$1:$I$89,3,0)*0.475*44/12</f>
        <v>1.4688898073611723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16.755172947122144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5.6843418860808015E-14</v>
      </c>
      <c r="O135" s="13">
        <f>N135*VLOOKUP('Données projet'!$B$9,Paramètres!$A$1:$I$89,3,0)*VLOOKUP('Données projet'!$B$9,Paramètres!$A$1:$I$89,5,0)</f>
        <v>3.3992364478763198E-14</v>
      </c>
      <c r="P135" s="13">
        <f t="shared" si="141"/>
        <v>5.790027782444094E-13</v>
      </c>
      <c r="Q135" s="20">
        <f t="shared" si="108"/>
        <v>1.0676332069095257E-12</v>
      </c>
      <c r="R135" s="59">
        <f t="shared" si="109"/>
        <v>293.33333333333439</v>
      </c>
      <c r="S135" s="59">
        <f ca="1">AVERAGE(OFFSET($R$3,0,0,'Données projet'!$E$9+1,1))-AVERAGE(OFFSET($H$3,0,0,'Données projet'!$E$9+1,1))</f>
        <v>173.43838269633449</v>
      </c>
      <c r="T135" s="59">
        <f t="shared" si="142"/>
        <v>346.57067290129595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14.986528451102334</v>
      </c>
      <c r="AA135" s="21">
        <f>EXP(-LN(2)/25)*AA134+(1-EXP(-LN(2)/25))/(LN(2)/25)*Calculateur!V135*Calculateur!X135*VLOOKUP('Données projet'!$B$9,Paramètres!$A$1:$I$89,3,0)*0.475*44/12</f>
        <v>1.4287229383333233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16.415251389435657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5.6843418860808015E-14</v>
      </c>
      <c r="O136" s="13">
        <f>N136*VLOOKUP('Données projet'!$B$9,Paramètres!$A$1:$I$89,3,0)*VLOOKUP('Données projet'!$B$9,Paramètres!$A$1:$I$89,5,0)</f>
        <v>3.3992364478763198E-14</v>
      </c>
      <c r="P136" s="13">
        <f t="shared" si="141"/>
        <v>5.790027782444094E-13</v>
      </c>
      <c r="Q136" s="20">
        <f t="shared" si="108"/>
        <v>1.0676332069095257E-12</v>
      </c>
      <c r="R136" s="59">
        <f t="shared" si="109"/>
        <v>293.33333333333439</v>
      </c>
      <c r="S136" s="59">
        <f ca="1">AVERAGE(OFFSET($R$3,0,0,'Données projet'!$E$9+1,1))-AVERAGE(OFFSET($H$3,0,0,'Données projet'!$E$9+1,1))</f>
        <v>173.43838269633449</v>
      </c>
      <c r="T136" s="59">
        <f t="shared" si="142"/>
        <v>346.57067290129595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14.692651769055985</v>
      </c>
      <c r="AA136" s="21">
        <f>EXP(-LN(2)/25)*AA135+(1-EXP(-LN(2)/25))/(LN(2)/25)*Calculateur!V136*Calculateur!X136*VLOOKUP('Données projet'!$B$9,Paramètres!$A$1:$I$89,3,0)*0.475*44/12</f>
        <v>1.3896544344513246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16.082306203507308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5.6843418860808015E-14</v>
      </c>
      <c r="O137" s="13">
        <f>N137*VLOOKUP('Données projet'!$B$9,Paramètres!$A$1:$I$89,3,0)*VLOOKUP('Données projet'!$B$9,Paramètres!$A$1:$I$89,5,0)</f>
        <v>3.3992364478763198E-14</v>
      </c>
      <c r="P137" s="13">
        <f t="shared" si="141"/>
        <v>5.790027782444094E-13</v>
      </c>
      <c r="Q137" s="20">
        <f t="shared" si="108"/>
        <v>1.0676332069095257E-12</v>
      </c>
      <c r="R137" s="59">
        <f t="shared" si="109"/>
        <v>293.33333333333439</v>
      </c>
      <c r="S137" s="59">
        <f ca="1">AVERAGE(OFFSET($R$3,0,0,'Données projet'!$E$9+1,1))-AVERAGE(OFFSET($H$3,0,0,'Données projet'!$E$9+1,1))</f>
        <v>173.43838269633449</v>
      </c>
      <c r="T137" s="59">
        <f t="shared" si="142"/>
        <v>346.57067290129595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14.404537829497489</v>
      </c>
      <c r="AA137" s="21">
        <f>EXP(-LN(2)/25)*AA136+(1-EXP(-LN(2)/25))/(LN(2)/25)*Calculateur!V137*Calculateur!X137*VLOOKUP('Données projet'!$B$9,Paramètres!$A$1:$I$89,3,0)*0.475*44/12</f>
        <v>1.3516542608625026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15.756192090359992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5.6843418860808015E-14</v>
      </c>
      <c r="O138" s="13">
        <f>N138*VLOOKUP('Données projet'!$B$9,Paramètres!$A$1:$I$89,3,0)*VLOOKUP('Données projet'!$B$9,Paramètres!$A$1:$I$89,5,0)</f>
        <v>3.3992364478763198E-14</v>
      </c>
      <c r="P138" s="13">
        <f t="shared" si="141"/>
        <v>5.790027782444094E-13</v>
      </c>
      <c r="Q138" s="20">
        <f t="shared" si="108"/>
        <v>1.0676332069095257E-12</v>
      </c>
      <c r="R138" s="59">
        <f t="shared" si="109"/>
        <v>293.33333333333439</v>
      </c>
      <c r="S138" s="59">
        <f ca="1">AVERAGE(OFFSET($R$3,0,0,'Données projet'!$E$9+1,1))-AVERAGE(OFFSET($H$3,0,0,'Données projet'!$E$9+1,1))</f>
        <v>173.43838269633449</v>
      </c>
      <c r="T138" s="59">
        <f t="shared" si="142"/>
        <v>346.57067290129595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14.122073628561584</v>
      </c>
      <c r="AA138" s="21">
        <f>EXP(-LN(2)/25)*AA137+(1-EXP(-LN(2)/25))/(LN(2)/25)*Calculateur!V138*Calculateur!X138*VLOOKUP('Données projet'!$B$9,Paramètres!$A$1:$I$89,3,0)*0.475*44/12</f>
        <v>1.3146932040188091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15.436766832580393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5.6843418860808015E-14</v>
      </c>
      <c r="O139" s="13">
        <f>N139*VLOOKUP('Données projet'!$B$9,Paramètres!$A$1:$I$89,3,0)*VLOOKUP('Données projet'!$B$9,Paramètres!$A$1:$I$89,5,0)</f>
        <v>3.3992364478763198E-14</v>
      </c>
      <c r="P139" s="13">
        <f t="shared" si="141"/>
        <v>5.790027782444094E-13</v>
      </c>
      <c r="Q139" s="20">
        <f t="shared" si="108"/>
        <v>1.0676332069095257E-12</v>
      </c>
      <c r="R139" s="59">
        <f t="shared" si="109"/>
        <v>293.33333333333439</v>
      </c>
      <c r="S139" s="59">
        <f ca="1">AVERAGE(OFFSET($R$3,0,0,'Données projet'!$E$9+1,1))-AVERAGE(OFFSET($H$3,0,0,'Données projet'!$E$9+1,1))</f>
        <v>173.43838269633449</v>
      </c>
      <c r="T139" s="59">
        <f t="shared" si="142"/>
        <v>346.57067290129595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13.84514837831988</v>
      </c>
      <c r="AA139" s="21">
        <f>EXP(-LN(2)/25)*AA138+(1-EXP(-LN(2)/25))/(LN(2)/25)*Calculateur!V139*Calculateur!X139*VLOOKUP('Données projet'!$B$9,Paramètres!$A$1:$I$89,3,0)*0.475*44/12</f>
        <v>1.2787428492182038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15.123891227538085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5.6843418860808015E-14</v>
      </c>
      <c r="O140" s="13">
        <f>N140*VLOOKUP('Données projet'!$B$9,Paramètres!$A$1:$I$89,3,0)*VLOOKUP('Données projet'!$B$9,Paramètres!$A$1:$I$89,5,0)</f>
        <v>3.3992364478763198E-14</v>
      </c>
      <c r="P140" s="13">
        <f t="shared" si="141"/>
        <v>5.790027782444094E-13</v>
      </c>
      <c r="Q140" s="20">
        <f t="shared" si="108"/>
        <v>1.0676332069095257E-12</v>
      </c>
      <c r="R140" s="59">
        <f t="shared" si="109"/>
        <v>293.33333333333439</v>
      </c>
      <c r="S140" s="59">
        <f ca="1">AVERAGE(OFFSET($R$3,0,0,'Données projet'!$E$9+1,1))-AVERAGE(OFFSET($H$3,0,0,'Données projet'!$E$9+1,1))</f>
        <v>173.43838269633449</v>
      </c>
      <c r="T140" s="59">
        <f t="shared" si="142"/>
        <v>346.57067290129595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13.573653463327693</v>
      </c>
      <c r="AA140" s="21">
        <f>EXP(-LN(2)/25)*AA139+(1-EXP(-LN(2)/25))/(LN(2)/25)*Calculateur!V140*Calculateur!X140*VLOOKUP('Données projet'!$B$9,Paramètres!$A$1:$I$89,3,0)*0.475*44/12</f>
        <v>1.2437755587601682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14.817429022087861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5.6843418860808015E-14</v>
      </c>
      <c r="O141" s="13">
        <f>N141*VLOOKUP('Données projet'!$B$9,Paramètres!$A$1:$I$89,3,0)*VLOOKUP('Données projet'!$B$9,Paramètres!$A$1:$I$89,5,0)</f>
        <v>3.3992364478763198E-14</v>
      </c>
      <c r="P141" s="13">
        <f t="shared" si="141"/>
        <v>5.790027782444094E-13</v>
      </c>
      <c r="Q141" s="20">
        <f t="shared" si="108"/>
        <v>1.0676332069095257E-12</v>
      </c>
      <c r="R141" s="59">
        <f t="shared" si="109"/>
        <v>293.33333333333439</v>
      </c>
      <c r="S141" s="59">
        <f ca="1">AVERAGE(OFFSET($R$3,0,0,'Données projet'!$E$9+1,1))-AVERAGE(OFFSET($H$3,0,0,'Données projet'!$E$9+1,1))</f>
        <v>173.43838269633449</v>
      </c>
      <c r="T141" s="59">
        <f t="shared" si="142"/>
        <v>346.57067290129595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13.307482398022955</v>
      </c>
      <c r="AA141" s="21">
        <f>EXP(-LN(2)/25)*AA140+(1-EXP(-LN(2)/25))/(LN(2)/25)*Calculateur!V141*Calculateur!X141*VLOOKUP('Données projet'!$B$9,Paramètres!$A$1:$I$89,3,0)*0.475*44/12</f>
        <v>1.2097644506985574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14.517246848721513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5.6843418860808015E-14</v>
      </c>
      <c r="O142" s="13">
        <f>N142*VLOOKUP('Données projet'!$B$9,Paramètres!$A$1:$I$89,3,0)*VLOOKUP('Données projet'!$B$9,Paramètres!$A$1:$I$89,5,0)</f>
        <v>3.3992364478763198E-14</v>
      </c>
      <c r="P142" s="13">
        <f t="shared" si="141"/>
        <v>5.790027782444094E-13</v>
      </c>
      <c r="Q142" s="20">
        <f t="shared" si="108"/>
        <v>1.0676332069095257E-12</v>
      </c>
      <c r="R142" s="59">
        <f t="shared" si="109"/>
        <v>293.33333333333439</v>
      </c>
      <c r="S142" s="59">
        <f ca="1">AVERAGE(OFFSET($R$3,0,0,'Données projet'!$E$9+1,1))-AVERAGE(OFFSET($H$3,0,0,'Données projet'!$E$9+1,1))</f>
        <v>173.43838269633449</v>
      </c>
      <c r="T142" s="59">
        <f t="shared" si="142"/>
        <v>346.57067290129595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13.046530784960524</v>
      </c>
      <c r="AA142" s="21">
        <f>EXP(-LN(2)/25)*AA141+(1-EXP(-LN(2)/25))/(LN(2)/25)*Calculateur!V142*Calculateur!X142*VLOOKUP('Données projet'!$B$9,Paramètres!$A$1:$I$89,3,0)*0.475*44/12</f>
        <v>1.1766833781754578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14.223214163135982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5.6843418860808015E-14</v>
      </c>
      <c r="O143" s="13">
        <f>N143*VLOOKUP('Données projet'!$B$9,Paramètres!$A$1:$I$89,3,0)*VLOOKUP('Données projet'!$B$9,Paramètres!$A$1:$I$89,5,0)</f>
        <v>3.3992364478763198E-14</v>
      </c>
      <c r="P143" s="13">
        <f t="shared" si="141"/>
        <v>5.790027782444094E-13</v>
      </c>
      <c r="Q143" s="20">
        <f t="shared" si="108"/>
        <v>1.0676332069095257E-12</v>
      </c>
      <c r="R143" s="59">
        <f t="shared" si="109"/>
        <v>293.33333333333439</v>
      </c>
      <c r="S143" s="59">
        <f ca="1">AVERAGE(OFFSET($R$3,0,0,'Données projet'!$E$9+1,1))-AVERAGE(OFFSET($H$3,0,0,'Données projet'!$E$9+1,1))</f>
        <v>173.43838269633449</v>
      </c>
      <c r="T143" s="59">
        <f t="shared" si="142"/>
        <v>346.57067290129595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12.79069627386548</v>
      </c>
      <c r="AA143" s="21">
        <f>EXP(-LN(2)/25)*AA142+(1-EXP(-LN(2)/25))/(LN(2)/25)*Calculateur!V143*Calculateur!X143*VLOOKUP('Données projet'!$B$9,Paramètres!$A$1:$I$89,3,0)*0.475*44/12</f>
        <v>1.1445069093201603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13.93520318318564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5.6843418860808015E-14</v>
      </c>
      <c r="O144" s="13">
        <f>N144*VLOOKUP('Données projet'!$B$9,Paramètres!$A$1:$I$89,3,0)*VLOOKUP('Données projet'!$B$9,Paramètres!$A$1:$I$89,5,0)</f>
        <v>3.3992364478763198E-14</v>
      </c>
      <c r="P144" s="13">
        <f t="shared" si="141"/>
        <v>5.790027782444094E-13</v>
      </c>
      <c r="Q144" s="20">
        <f t="shared" si="108"/>
        <v>1.0676332069095257E-12</v>
      </c>
      <c r="R144" s="59">
        <f t="shared" si="109"/>
        <v>293.33333333333439</v>
      </c>
      <c r="S144" s="59">
        <f ca="1">AVERAGE(OFFSET($R$3,0,0,'Données projet'!$E$9+1,1))-AVERAGE(OFFSET($H$3,0,0,'Données projet'!$E$9+1,1))</f>
        <v>173.43838269633449</v>
      </c>
      <c r="T144" s="59">
        <f t="shared" si="142"/>
        <v>346.57067290129595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12.539878521489365</v>
      </c>
      <c r="AA144" s="21">
        <f>EXP(-LN(2)/25)*AA143+(1-EXP(-LN(2)/25))/(LN(2)/25)*Calculateur!V144*Calculateur!X144*VLOOKUP('Données projet'!$B$9,Paramètres!$A$1:$I$89,3,0)*0.475*44/12</f>
        <v>1.1132103076977979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13.653088829187164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5.6843418860808015E-14</v>
      </c>
      <c r="O145" s="13">
        <f>N145*VLOOKUP('Données projet'!$B$9,Paramètres!$A$1:$I$89,3,0)*VLOOKUP('Données projet'!$B$9,Paramètres!$A$1:$I$89,5,0)</f>
        <v>3.3992364478763198E-14</v>
      </c>
      <c r="P145" s="13">
        <f t="shared" si="141"/>
        <v>5.790027782444094E-13</v>
      </c>
      <c r="Q145" s="20">
        <f t="shared" si="108"/>
        <v>1.0676332069095257E-12</v>
      </c>
      <c r="R145" s="59">
        <f t="shared" si="109"/>
        <v>293.33333333333439</v>
      </c>
      <c r="S145" s="59">
        <f ca="1">AVERAGE(OFFSET($R$3,0,0,'Données projet'!$E$9+1,1))-AVERAGE(OFFSET($H$3,0,0,'Données projet'!$E$9+1,1))</f>
        <v>173.43838269633449</v>
      </c>
      <c r="T145" s="59">
        <f t="shared" si="142"/>
        <v>346.57067290129595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12.293979152253623</v>
      </c>
      <c r="AA145" s="21">
        <f>EXP(-LN(2)/25)*AA144+(1-EXP(-LN(2)/25))/(LN(2)/25)*Calculateur!V145*Calculateur!X145*VLOOKUP('Données projet'!$B$9,Paramètres!$A$1:$I$89,3,0)*0.475*44/12</f>
        <v>1.0827695132926158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13.37674866554624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5.6843418860808015E-14</v>
      </c>
      <c r="O146" s="13">
        <f>N146*VLOOKUP('Données projet'!$B$9,Paramètres!$A$1:$I$89,3,0)*VLOOKUP('Données projet'!$B$9,Paramètres!$A$1:$I$89,5,0)</f>
        <v>3.3992364478763198E-14</v>
      </c>
      <c r="P146" s="13">
        <f t="shared" si="141"/>
        <v>5.790027782444094E-13</v>
      </c>
      <c r="Q146" s="20">
        <f t="shared" si="108"/>
        <v>1.0676332069095257E-12</v>
      </c>
      <c r="R146" s="59">
        <f t="shared" si="109"/>
        <v>293.33333333333439</v>
      </c>
      <c r="S146" s="59">
        <f ca="1">AVERAGE(OFFSET($R$3,0,0,'Données projet'!$E$9+1,1))-AVERAGE(OFFSET($H$3,0,0,'Données projet'!$E$9+1,1))</f>
        <v>173.43838269633449</v>
      </c>
      <c r="T146" s="59">
        <f t="shared" si="142"/>
        <v>346.57067290129595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12.052901719664789</v>
      </c>
      <c r="AA146" s="21">
        <f>EXP(-LN(2)/25)*AA145+(1-EXP(-LN(2)/25))/(LN(2)/25)*Calculateur!V146*Calculateur!X146*VLOOKUP('Données projet'!$B$9,Paramètres!$A$1:$I$89,3,0)*0.475*44/12</f>
        <v>1.0531611240112553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13.106062843676044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5.6843418860808015E-14</v>
      </c>
      <c r="O147" s="13">
        <f>N147*VLOOKUP('Données projet'!$B$9,Paramètres!$A$1:$I$89,3,0)*VLOOKUP('Données projet'!$B$9,Paramètres!$A$1:$I$89,5,0)</f>
        <v>3.3992364478763198E-14</v>
      </c>
      <c r="P147" s="13">
        <f t="shared" si="141"/>
        <v>5.790027782444094E-13</v>
      </c>
      <c r="Q147" s="20">
        <f t="shared" si="108"/>
        <v>1.0676332069095257E-12</v>
      </c>
      <c r="R147" s="59">
        <f t="shared" si="109"/>
        <v>293.33333333333439</v>
      </c>
      <c r="S147" s="59">
        <f ca="1">AVERAGE(OFFSET($R$3,0,0,'Données projet'!$E$9+1,1))-AVERAGE(OFFSET($H$3,0,0,'Données projet'!$E$9+1,1))</f>
        <v>173.43838269633449</v>
      </c>
      <c r="T147" s="59">
        <f t="shared" si="142"/>
        <v>346.57067290129595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11.816551668486307</v>
      </c>
      <c r="AA147" s="21">
        <f>EXP(-LN(2)/25)*AA146+(1-EXP(-LN(2)/25))/(LN(2)/25)*Calculateur!V147*Calculateur!X147*VLOOKUP('Données projet'!$B$9,Paramètres!$A$1:$I$89,3,0)*0.475*44/12</f>
        <v>1.0243623776918309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12.840914046178138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5.6843418860808015E-14</v>
      </c>
      <c r="O148" s="13">
        <f>N148*VLOOKUP('Données projet'!$B$9,Paramètres!$A$1:$I$89,3,0)*VLOOKUP('Données projet'!$B$9,Paramètres!$A$1:$I$89,5,0)</f>
        <v>3.3992364478763198E-14</v>
      </c>
      <c r="P148" s="13">
        <f t="shared" si="141"/>
        <v>5.790027782444094E-13</v>
      </c>
      <c r="Q148" s="20">
        <f t="shared" si="108"/>
        <v>1.0676332069095257E-12</v>
      </c>
      <c r="R148" s="59">
        <f t="shared" si="109"/>
        <v>293.33333333333439</v>
      </c>
      <c r="S148" s="59">
        <f ca="1">AVERAGE(OFFSET($R$3,0,0,'Données projet'!$E$9+1,1))-AVERAGE(OFFSET($H$3,0,0,'Données projet'!$E$9+1,1))</f>
        <v>173.43838269633449</v>
      </c>
      <c r="T148" s="59">
        <f t="shared" si="142"/>
        <v>346.57067290129595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11.584836297652139</v>
      </c>
      <c r="AA148" s="21">
        <f>EXP(-LN(2)/25)*AA147+(1-EXP(-LN(2)/25))/(LN(2)/25)*Calculateur!V148*Calculateur!X148*VLOOKUP('Données projet'!$B$9,Paramètres!$A$1:$I$89,3,0)*0.475*44/12</f>
        <v>0.9963511346049716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12.58118743225711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5.6843418860808015E-14</v>
      </c>
      <c r="O149" s="13">
        <f>N149*VLOOKUP('Données projet'!$B$9,Paramètres!$A$1:$I$89,3,0)*VLOOKUP('Données projet'!$B$9,Paramètres!$A$1:$I$89,5,0)</f>
        <v>3.3992364478763198E-14</v>
      </c>
      <c r="P149" s="13">
        <f t="shared" si="141"/>
        <v>5.790027782444094E-13</v>
      </c>
      <c r="Q149" s="20">
        <f t="shared" si="108"/>
        <v>1.0676332069095257E-12</v>
      </c>
      <c r="R149" s="59">
        <f t="shared" si="109"/>
        <v>293.33333333333439</v>
      </c>
      <c r="S149" s="59">
        <f ca="1">AVERAGE(OFFSET($R$3,0,0,'Données projet'!$E$9+1,1))-AVERAGE(OFFSET($H$3,0,0,'Données projet'!$E$9+1,1))</f>
        <v>173.43838269633449</v>
      </c>
      <c r="T149" s="59">
        <f t="shared" si="142"/>
        <v>346.57067290129595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11.357664723907607</v>
      </c>
      <c r="AA149" s="21">
        <f>EXP(-LN(2)/25)*AA148+(1-EXP(-LN(2)/25))/(LN(2)/25)*Calculateur!V149*Calculateur!X149*VLOOKUP('Données projet'!$B$9,Paramètres!$A$1:$I$89,3,0)*0.475*44/12</f>
        <v>0.96910586043336966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12.326770584340977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5.6843418860808015E-14</v>
      </c>
      <c r="O150" s="13">
        <f>N150*VLOOKUP('Données projet'!$B$9,Paramètres!$A$1:$I$89,3,0)*VLOOKUP('Données projet'!$B$9,Paramètres!$A$1:$I$89,5,0)</f>
        <v>3.3992364478763198E-14</v>
      </c>
      <c r="P150" s="13">
        <f t="shared" si="141"/>
        <v>5.790027782444094E-13</v>
      </c>
      <c r="Q150" s="20">
        <f t="shared" si="108"/>
        <v>1.0676332069095257E-12</v>
      </c>
      <c r="R150" s="59">
        <f t="shared" si="109"/>
        <v>293.33333333333439</v>
      </c>
      <c r="S150" s="59">
        <f ca="1">AVERAGE(OFFSET($R$3,0,0,'Données projet'!$E$9+1,1))-AVERAGE(OFFSET($H$3,0,0,'Données projet'!$E$9+1,1))</f>
        <v>173.43838269633449</v>
      </c>
      <c r="T150" s="59">
        <f t="shared" si="142"/>
        <v>346.57067290129595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11.134947846163227</v>
      </c>
      <c r="AA150" s="21">
        <f>EXP(-LN(2)/25)*AA149+(1-EXP(-LN(2)/25))/(LN(2)/25)*Calculateur!V150*Calculateur!X150*VLOOKUP('Données projet'!$B$9,Paramètres!$A$1:$I$89,3,0)*0.475*44/12</f>
        <v>0.94260560971675689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12.077553455879984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5.6843418860808015E-14</v>
      </c>
      <c r="O151" s="13">
        <f>N151*VLOOKUP('Données projet'!$B$9,Paramètres!$A$1:$I$89,3,0)*VLOOKUP('Données projet'!$B$9,Paramètres!$A$1:$I$89,5,0)</f>
        <v>3.3992364478763198E-14</v>
      </c>
      <c r="P151" s="13">
        <f t="shared" si="141"/>
        <v>5.790027782444094E-13</v>
      </c>
      <c r="Q151" s="20">
        <f t="shared" si="108"/>
        <v>1.0676332069095257E-12</v>
      </c>
      <c r="R151" s="59">
        <f t="shared" si="109"/>
        <v>293.33333333333439</v>
      </c>
      <c r="S151" s="59">
        <f ca="1">AVERAGE(OFFSET($R$3,0,0,'Données projet'!$E$9+1,1))-AVERAGE(OFFSET($H$3,0,0,'Données projet'!$E$9+1,1))</f>
        <v>173.43838269633449</v>
      </c>
      <c r="T151" s="59">
        <f t="shared" si="142"/>
        <v>346.57067290129595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10.916598310547533</v>
      </c>
      <c r="AA151" s="21">
        <f>EXP(-LN(2)/25)*AA150+(1-EXP(-LN(2)/25))/(LN(2)/25)*Calculateur!V151*Calculateur!X151*VLOOKUP('Données projet'!$B$9,Paramètres!$A$1:$I$89,3,0)*0.475*44/12</f>
        <v>0.91683000974957751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11.833428320297111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5.6843418860808015E-14</v>
      </c>
      <c r="O152" s="13">
        <f>N152*VLOOKUP('Données projet'!$B$9,Paramètres!$A$1:$I$89,3,0)*VLOOKUP('Données projet'!$B$9,Paramètres!$A$1:$I$89,5,0)</f>
        <v>3.3992364478763198E-14</v>
      </c>
      <c r="P152" s="13">
        <f t="shared" si="141"/>
        <v>5.790027782444094E-13</v>
      </c>
      <c r="Q152" s="20">
        <f t="shared" si="108"/>
        <v>1.0676332069095257E-12</v>
      </c>
      <c r="R152" s="59">
        <f t="shared" si="109"/>
        <v>293.33333333333439</v>
      </c>
      <c r="S152" s="59">
        <f ca="1">AVERAGE(OFFSET($R$3,0,0,'Données projet'!$E$9+1,1))-AVERAGE(OFFSET($H$3,0,0,'Données projet'!$E$9+1,1))</f>
        <v>173.43838269633449</v>
      </c>
      <c r="T152" s="59">
        <f t="shared" si="142"/>
        <v>346.57067290129595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10.702530476145196</v>
      </c>
      <c r="AA152" s="21">
        <f>EXP(-LN(2)/25)*AA151+(1-EXP(-LN(2)/25))/(LN(2)/25)*Calculateur!V152*Calculateur!X152*VLOOKUP('Données projet'!$B$9,Paramètres!$A$1:$I$89,3,0)*0.475*44/12</f>
        <v>0.89175924491898051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11.594289721064175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5.6843418860808015E-14</v>
      </c>
      <c r="O153" s="13">
        <f>N153*VLOOKUP('Données projet'!$B$9,Paramètres!$A$1:$I$89,3,0)*VLOOKUP('Données projet'!$B$9,Paramètres!$A$1:$I$89,5,0)</f>
        <v>3.3992364478763198E-14</v>
      </c>
      <c r="P153" s="13">
        <f t="shared" si="141"/>
        <v>5.790027782444094E-13</v>
      </c>
      <c r="Q153" s="20">
        <f t="shared" si="108"/>
        <v>1.0676332069095257E-12</v>
      </c>
      <c r="R153" s="59">
        <f t="shared" si="109"/>
        <v>293.33333333333439</v>
      </c>
      <c r="S153" s="59">
        <f ca="1">AVERAGE(OFFSET($R$3,0,0,'Données projet'!$E$9+1,1))-AVERAGE(OFFSET($H$3,0,0,'Données projet'!$E$9+1,1))</f>
        <v>173.43838269633449</v>
      </c>
      <c r="T153" s="59">
        <f t="shared" si="142"/>
        <v>346.57067290129595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10.492660381407003</v>
      </c>
      <c r="AA153" s="21">
        <f>EXP(-LN(2)/25)*AA152+(1-EXP(-LN(2)/25))/(LN(2)/25)*Calculateur!V153*Calculateur!X153*VLOOKUP('Données projet'!$B$9,Paramètres!$A$1:$I$89,3,0)*0.475*44/12</f>
        <v>0.86737404147109043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11.360034422878094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5.6843418860808015E-14</v>
      </c>
      <c r="O154" s="13">
        <f>N154*VLOOKUP('Données projet'!$B$9,Paramètres!$A$1:$I$89,3,0)*VLOOKUP('Données projet'!$B$9,Paramètres!$A$1:$I$89,5,0)</f>
        <v>3.3992364478763198E-14</v>
      </c>
      <c r="P154" s="13">
        <f t="shared" si="141"/>
        <v>5.790027782444094E-13</v>
      </c>
      <c r="Q154" s="20">
        <f t="shared" ref="Q154:Q203" si="162">(O154+P154)*0.475*44/12</f>
        <v>1.0676332069095257E-12</v>
      </c>
      <c r="R154" s="59">
        <f t="shared" si="109"/>
        <v>293.33333333333439</v>
      </c>
      <c r="S154" s="59">
        <f ca="1">AVERAGE(OFFSET($R$3,0,0,'Données projet'!$E$9+1,1))-AVERAGE(OFFSET($H$3,0,0,'Données projet'!$E$9+1,1))</f>
        <v>173.43838269633449</v>
      </c>
      <c r="T154" s="59">
        <f t="shared" si="142"/>
        <v>346.57067290129595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10.286905711218507</v>
      </c>
      <c r="AA154" s="21">
        <f>EXP(-LN(2)/25)*AA153+(1-EXP(-LN(2)/25))/(LN(2)/25)*Calculateur!V154*Calculateur!X154*VLOOKUP('Données projet'!$B$9,Paramètres!$A$1:$I$89,3,0)*0.475*44/12</f>
        <v>0.84365565269384502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11.130561363912353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5.6843418860808015E-14</v>
      </c>
      <c r="O155" s="13">
        <f>N155*VLOOKUP('Données projet'!$B$9,Paramètres!$A$1:$I$89,3,0)*VLOOKUP('Données projet'!$B$9,Paramètres!$A$1:$I$89,5,0)</f>
        <v>3.3992364478763198E-14</v>
      </c>
      <c r="P155" s="13">
        <f t="shared" si="141"/>
        <v>5.790027782444094E-13</v>
      </c>
      <c r="Q155" s="20">
        <f t="shared" si="162"/>
        <v>1.0676332069095257E-12</v>
      </c>
      <c r="R155" s="59">
        <f t="shared" si="109"/>
        <v>293.33333333333439</v>
      </c>
      <c r="S155" s="59">
        <f ca="1">AVERAGE(OFFSET($R$3,0,0,'Données projet'!$E$9+1,1))-AVERAGE(OFFSET($H$3,0,0,'Données projet'!$E$9+1,1))</f>
        <v>173.43838269633449</v>
      </c>
      <c r="T155" s="59">
        <f t="shared" si="142"/>
        <v>346.57067290129595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10.085185764614451</v>
      </c>
      <c r="AA155" s="21">
        <f>EXP(-LN(2)/25)*AA154+(1-EXP(-LN(2)/25))/(LN(2)/25)*Calculateur!V155*Calculateur!X155*VLOOKUP('Données projet'!$B$9,Paramètres!$A$1:$I$89,3,0)*0.475*44/12</f>
        <v>0.82058584450500927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10.90577160911946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5.6843418860808015E-14</v>
      </c>
      <c r="O156" s="13">
        <f>N156*VLOOKUP('Données projet'!$B$9,Paramètres!$A$1:$I$89,3,0)*VLOOKUP('Données projet'!$B$9,Paramètres!$A$1:$I$89,5,0)</f>
        <v>3.3992364478763198E-14</v>
      </c>
      <c r="P156" s="13">
        <f t="shared" si="141"/>
        <v>5.790027782444094E-13</v>
      </c>
      <c r="Q156" s="20">
        <f t="shared" si="162"/>
        <v>1.0676332069095257E-12</v>
      </c>
      <c r="R156" s="59">
        <f t="shared" si="109"/>
        <v>293.33333333333439</v>
      </c>
      <c r="S156" s="59">
        <f ca="1">AVERAGE(OFFSET($R$3,0,0,'Données projet'!$E$9+1,1))-AVERAGE(OFFSET($H$3,0,0,'Données projet'!$E$9+1,1))</f>
        <v>173.43838269633449</v>
      </c>
      <c r="T156" s="59">
        <f t="shared" si="142"/>
        <v>346.57067290129595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9.8874214231262822</v>
      </c>
      <c r="AA156" s="21">
        <f>EXP(-LN(2)/25)*AA155+(1-EXP(-LN(2)/25))/(LN(2)/25)*Calculateur!V156*Calculateur!X156*VLOOKUP('Données projet'!$B$9,Paramètres!$A$1:$I$89,3,0)*0.475*44/12</f>
        <v>0.79814688143428569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10.685568304560569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5.6843418860808015E-14</v>
      </c>
      <c r="O157" s="13">
        <f>N157*VLOOKUP('Données projet'!$B$9,Paramètres!$A$1:$I$89,3,0)*VLOOKUP('Données projet'!$B$9,Paramètres!$A$1:$I$89,5,0)</f>
        <v>3.3992364478763198E-14</v>
      </c>
      <c r="P157" s="13">
        <f t="shared" si="141"/>
        <v>5.790027782444094E-13</v>
      </c>
      <c r="Q157" s="20">
        <f t="shared" si="162"/>
        <v>1.0676332069095257E-12</v>
      </c>
      <c r="R157" s="59">
        <f t="shared" si="109"/>
        <v>293.33333333333439</v>
      </c>
      <c r="S157" s="59">
        <f ca="1">AVERAGE(OFFSET($R$3,0,0,'Données projet'!$E$9+1,1))-AVERAGE(OFFSET($H$3,0,0,'Données projet'!$E$9+1,1))</f>
        <v>173.43838269633449</v>
      </c>
      <c r="T157" s="59">
        <f t="shared" si="142"/>
        <v>346.57067290129595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9.6935351197503579</v>
      </c>
      <c r="AA157" s="21">
        <f>EXP(-LN(2)/25)*AA156+(1-EXP(-LN(2)/25))/(LN(2)/25)*Calculateur!V157*Calculateur!X157*VLOOKUP('Données projet'!$B$9,Paramètres!$A$1:$I$89,3,0)*0.475*44/12</f>
        <v>0.77632151298874486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10.469856632739102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5.6843418860808015E-14</v>
      </c>
      <c r="O158" s="13">
        <f>N158*VLOOKUP('Données projet'!$B$9,Paramètres!$A$1:$I$89,3,0)*VLOOKUP('Données projet'!$B$9,Paramètres!$A$1:$I$89,5,0)</f>
        <v>3.3992364478763198E-14</v>
      </c>
      <c r="P158" s="13">
        <f t="shared" si="141"/>
        <v>5.790027782444094E-13</v>
      </c>
      <c r="Q158" s="20">
        <f t="shared" si="162"/>
        <v>1.0676332069095257E-12</v>
      </c>
      <c r="R158" s="59">
        <f t="shared" si="109"/>
        <v>293.33333333333439</v>
      </c>
      <c r="S158" s="59">
        <f ca="1">AVERAGE(OFFSET($R$3,0,0,'Données projet'!$E$9+1,1))-AVERAGE(OFFSET($H$3,0,0,'Données projet'!$E$9+1,1))</f>
        <v>173.43838269633449</v>
      </c>
      <c r="T158" s="59">
        <f t="shared" si="142"/>
        <v>346.57067290129595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9.5034508085246685</v>
      </c>
      <c r="AA158" s="21">
        <f>EXP(-LN(2)/25)*AA157+(1-EXP(-LN(2)/25))/(LN(2)/25)*Calculateur!V158*Calculateur!X158*VLOOKUP('Données projet'!$B$9,Paramètres!$A$1:$I$89,3,0)*0.475*44/12</f>
        <v>0.75509296039109353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10.258543768915763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5.6843418860808015E-14</v>
      </c>
      <c r="O159" s="13">
        <f>N159*VLOOKUP('Données projet'!$B$9,Paramètres!$A$1:$I$89,3,0)*VLOOKUP('Données projet'!$B$9,Paramètres!$A$1:$I$89,5,0)</f>
        <v>3.3992364478763198E-14</v>
      </c>
      <c r="P159" s="13">
        <f t="shared" si="141"/>
        <v>5.790027782444094E-13</v>
      </c>
      <c r="Q159" s="20">
        <f t="shared" si="162"/>
        <v>1.0676332069095257E-12</v>
      </c>
      <c r="R159" s="59">
        <f t="shared" si="109"/>
        <v>293.33333333333439</v>
      </c>
      <c r="S159" s="59">
        <f ca="1">AVERAGE(OFFSET($R$3,0,0,'Données projet'!$E$9+1,1))-AVERAGE(OFFSET($H$3,0,0,'Données projet'!$E$9+1,1))</f>
        <v>173.43838269633449</v>
      </c>
      <c r="T159" s="59">
        <f t="shared" si="142"/>
        <v>346.57067290129595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9.3170939347021324</v>
      </c>
      <c r="AA159" s="21">
        <f>EXP(-LN(2)/25)*AA158+(1-EXP(-LN(2)/25))/(LN(2)/25)*Calculateur!V159*Calculateur!X159*VLOOKUP('Données projet'!$B$9,Paramètres!$A$1:$I$89,3,0)*0.475*44/12</f>
        <v>0.73444490368058613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10.051538838382719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5.6843418860808015E-14</v>
      </c>
      <c r="O160" s="13">
        <f>N160*VLOOKUP('Données projet'!$B$9,Paramètres!$A$1:$I$89,3,0)*VLOOKUP('Données projet'!$B$9,Paramètres!$A$1:$I$89,5,0)</f>
        <v>3.3992364478763198E-14</v>
      </c>
      <c r="P160" s="13">
        <f t="shared" si="141"/>
        <v>5.790027782444094E-13</v>
      </c>
      <c r="Q160" s="20">
        <f t="shared" si="162"/>
        <v>1.0676332069095257E-12</v>
      </c>
      <c r="R160" s="59">
        <f t="shared" si="109"/>
        <v>293.33333333333439</v>
      </c>
      <c r="S160" s="59">
        <f ca="1">AVERAGE(OFFSET($R$3,0,0,'Données projet'!$E$9+1,1))-AVERAGE(OFFSET($H$3,0,0,'Données projet'!$E$9+1,1))</f>
        <v>173.43838269633449</v>
      </c>
      <c r="T160" s="59">
        <f t="shared" si="142"/>
        <v>346.57067290129595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9.1343914055087865</v>
      </c>
      <c r="AA160" s="21">
        <f>EXP(-LN(2)/25)*AA159+(1-EXP(-LN(2)/25))/(LN(2)/25)*Calculateur!V160*Calculateur!X160*VLOOKUP('Données projet'!$B$9,Paramètres!$A$1:$I$89,3,0)*0.475*44/12</f>
        <v>0.71436146916666166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9.8487528746754478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5.6843418860808015E-14</v>
      </c>
      <c r="O161" s="13">
        <f>N161*VLOOKUP('Données projet'!$B$9,Paramètres!$A$1:$I$89,3,0)*VLOOKUP('Données projet'!$B$9,Paramètres!$A$1:$I$89,5,0)</f>
        <v>3.3992364478763198E-14</v>
      </c>
      <c r="P161" s="13">
        <f t="shared" si="141"/>
        <v>5.790027782444094E-13</v>
      </c>
      <c r="Q161" s="20">
        <f t="shared" si="162"/>
        <v>1.0676332069095257E-12</v>
      </c>
      <c r="R161" s="59">
        <f t="shared" si="109"/>
        <v>293.33333333333439</v>
      </c>
      <c r="S161" s="59">
        <f ca="1">AVERAGE(OFFSET($R$3,0,0,'Données projet'!$E$9+1,1))-AVERAGE(OFFSET($H$3,0,0,'Données projet'!$E$9+1,1))</f>
        <v>173.43838269633449</v>
      </c>
      <c r="T161" s="59">
        <f t="shared" si="142"/>
        <v>346.57067290129595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8.9552715614753833</v>
      </c>
      <c r="AA161" s="21">
        <f>EXP(-LN(2)/25)*AA160+(1-EXP(-LN(2)/25))/(LN(2)/25)*Calculateur!V161*Calculateur!X161*VLOOKUP('Données projet'!$B$9,Paramètres!$A$1:$I$89,3,0)*0.475*44/12</f>
        <v>0.69482721722566232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9.6500987787010448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5.6843418860808015E-14</v>
      </c>
      <c r="O162" s="13">
        <f>N162*VLOOKUP('Données projet'!$B$9,Paramètres!$A$1:$I$89,3,0)*VLOOKUP('Données projet'!$B$9,Paramètres!$A$1:$I$89,5,0)</f>
        <v>3.3992364478763198E-14</v>
      </c>
      <c r="P162" s="13">
        <f t="shared" si="141"/>
        <v>5.790027782444094E-13</v>
      </c>
      <c r="Q162" s="20">
        <f t="shared" si="162"/>
        <v>1.0676332069095257E-12</v>
      </c>
      <c r="R162" s="59">
        <f t="shared" si="109"/>
        <v>293.33333333333439</v>
      </c>
      <c r="S162" s="59">
        <f ca="1">AVERAGE(OFFSET($R$3,0,0,'Données projet'!$E$9+1,1))-AVERAGE(OFFSET($H$3,0,0,'Données projet'!$E$9+1,1))</f>
        <v>173.43838269633449</v>
      </c>
      <c r="T162" s="59">
        <f t="shared" si="142"/>
        <v>346.57067290129595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8.7796641483311593</v>
      </c>
      <c r="AA162" s="21">
        <f>EXP(-LN(2)/25)*AA161+(1-EXP(-LN(2)/25))/(LN(2)/25)*Calculateur!V162*Calculateur!X162*VLOOKUP('Données projet'!$B$9,Paramètres!$A$1:$I$89,3,0)*0.475*44/12</f>
        <v>0.67582713043125131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9.4554912787624108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5.6843418860808015E-14</v>
      </c>
      <c r="O163" s="13">
        <f>N163*VLOOKUP('Données projet'!$B$9,Paramètres!$A$1:$I$89,3,0)*VLOOKUP('Données projet'!$B$9,Paramètres!$A$1:$I$89,5,0)</f>
        <v>3.3992364478763198E-14</v>
      </c>
      <c r="P163" s="13">
        <f t="shared" si="141"/>
        <v>5.790027782444094E-13</v>
      </c>
      <c r="Q163" s="20">
        <f t="shared" si="162"/>
        <v>1.0676332069095257E-12</v>
      </c>
      <c r="R163" s="59">
        <f t="shared" si="109"/>
        <v>293.33333333333439</v>
      </c>
      <c r="S163" s="59">
        <f ca="1">AVERAGE(OFFSET($R$3,0,0,'Données projet'!$E$9+1,1))-AVERAGE(OFFSET($H$3,0,0,'Données projet'!$E$9+1,1))</f>
        <v>173.43838269633449</v>
      </c>
      <c r="T163" s="59">
        <f t="shared" si="142"/>
        <v>346.57067290129595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8.6075002894487476</v>
      </c>
      <c r="AA163" s="21">
        <f>EXP(-LN(2)/25)*AA162+(1-EXP(-LN(2)/25))/(LN(2)/25)*Calculateur!V163*Calculateur!X163*VLOOKUP('Données projet'!$B$9,Paramètres!$A$1:$I$89,3,0)*0.475*44/12</f>
        <v>0.65734660200940453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9.2648468914581521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5.6843418860808015E-14</v>
      </c>
      <c r="O164" s="13">
        <f>N164*VLOOKUP('Données projet'!$B$9,Paramètres!$A$1:$I$89,3,0)*VLOOKUP('Données projet'!$B$9,Paramètres!$A$1:$I$89,5,0)</f>
        <v>3.3992364478763198E-14</v>
      </c>
      <c r="P164" s="13">
        <f t="shared" si="141"/>
        <v>5.790027782444094E-13</v>
      </c>
      <c r="Q164" s="20">
        <f t="shared" si="162"/>
        <v>1.0676332069095257E-12</v>
      </c>
      <c r="R164" s="59">
        <f t="shared" si="109"/>
        <v>293.33333333333439</v>
      </c>
      <c r="S164" s="59">
        <f ca="1">AVERAGE(OFFSET($R$3,0,0,'Données projet'!$E$9+1,1))-AVERAGE(OFFSET($H$3,0,0,'Données projet'!$E$9+1,1))</f>
        <v>173.43838269633449</v>
      </c>
      <c r="T164" s="59">
        <f t="shared" si="142"/>
        <v>346.57067290129595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8.4387124588294338</v>
      </c>
      <c r="AA164" s="21">
        <f>EXP(-LN(2)/25)*AA163+(1-EXP(-LN(2)/25))/(LN(2)/25)*Calculateur!V164*Calculateur!X164*VLOOKUP('Données projet'!$B$9,Paramètres!$A$1:$I$89,3,0)*0.475*44/12</f>
        <v>0.6393714246091019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9.078083883438536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5.6843418860808015E-14</v>
      </c>
      <c r="O165" s="13">
        <f>N165*VLOOKUP('Données projet'!$B$9,Paramètres!$A$1:$I$89,3,0)*VLOOKUP('Données projet'!$B$9,Paramètres!$A$1:$I$89,5,0)</f>
        <v>3.3992364478763198E-14</v>
      </c>
      <c r="P165" s="13">
        <f t="shared" si="141"/>
        <v>5.790027782444094E-13</v>
      </c>
      <c r="Q165" s="20">
        <f t="shared" si="162"/>
        <v>1.0676332069095257E-12</v>
      </c>
      <c r="R165" s="59">
        <f t="shared" si="109"/>
        <v>293.33333333333439</v>
      </c>
      <c r="S165" s="59">
        <f ca="1">AVERAGE(OFFSET($R$3,0,0,'Données projet'!$E$9+1,1))-AVERAGE(OFFSET($H$3,0,0,'Données projet'!$E$9+1,1))</f>
        <v>173.43838269633449</v>
      </c>
      <c r="T165" s="59">
        <f t="shared" si="142"/>
        <v>346.57067290129595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8.2732344546181533</v>
      </c>
      <c r="AA165" s="21">
        <f>EXP(-LN(2)/25)*AA164+(1-EXP(-LN(2)/25))/(LN(2)/25)*Calculateur!V165*Calculateur!X165*VLOOKUP('Données projet'!$B$9,Paramètres!$A$1:$I$89,3,0)*0.475*44/12</f>
        <v>0.6218877793800841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8.8951222339982365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5.6843418860808015E-14</v>
      </c>
      <c r="O166" s="13">
        <f>N166*VLOOKUP('Données projet'!$B$9,Paramètres!$A$1:$I$89,3,0)*VLOOKUP('Données projet'!$B$9,Paramètres!$A$1:$I$89,5,0)</f>
        <v>3.3992364478763198E-14</v>
      </c>
      <c r="P166" s="13">
        <f t="shared" si="141"/>
        <v>5.790027782444094E-13</v>
      </c>
      <c r="Q166" s="20">
        <f t="shared" si="162"/>
        <v>1.0676332069095257E-12</v>
      </c>
      <c r="R166" s="59">
        <f t="shared" si="109"/>
        <v>293.33333333333439</v>
      </c>
      <c r="S166" s="59">
        <f ca="1">AVERAGE(OFFSET($R$3,0,0,'Données projet'!$E$9+1,1))-AVERAGE(OFFSET($H$3,0,0,'Données projet'!$E$9+1,1))</f>
        <v>173.43838269633449</v>
      </c>
      <c r="T166" s="59">
        <f t="shared" si="142"/>
        <v>346.57067290129595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8.1110013731378405</v>
      </c>
      <c r="AA166" s="21">
        <f>EXP(-LN(2)/25)*AA165+(1-EXP(-LN(2)/25))/(LN(2)/25)*Calculateur!V166*Calculateur!X166*VLOOKUP('Données projet'!$B$9,Paramètres!$A$1:$I$89,3,0)*0.475*44/12</f>
        <v>0.60488222534927871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8.7158835984871192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5.6843418860808015E-14</v>
      </c>
      <c r="O167" s="13">
        <f>N167*VLOOKUP('Données projet'!$B$9,Paramètres!$A$1:$I$89,3,0)*VLOOKUP('Données projet'!$B$9,Paramètres!$A$1:$I$89,5,0)</f>
        <v>3.3992364478763198E-14</v>
      </c>
      <c r="P167" s="13">
        <f t="shared" si="141"/>
        <v>5.790027782444094E-13</v>
      </c>
      <c r="Q167" s="20">
        <f t="shared" si="162"/>
        <v>1.0676332069095257E-12</v>
      </c>
      <c r="R167" s="59">
        <f t="shared" si="109"/>
        <v>293.33333333333439</v>
      </c>
      <c r="S167" s="59">
        <f ca="1">AVERAGE(OFFSET($R$3,0,0,'Données projet'!$E$9+1,1))-AVERAGE(OFFSET($H$3,0,0,'Données projet'!$E$9+1,1))</f>
        <v>173.43838269633449</v>
      </c>
      <c r="T167" s="59">
        <f t="shared" si="142"/>
        <v>346.57067290129595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7.9519495834329472</v>
      </c>
      <c r="AA167" s="21">
        <f>EXP(-LN(2)/25)*AA166+(1-EXP(-LN(2)/25))/(LN(2)/25)*Calculateur!V167*Calculateur!X167*VLOOKUP('Données projet'!$B$9,Paramètres!$A$1:$I$89,3,0)*0.475*44/12</f>
        <v>0.58834168908772888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8.5402912725206761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5.6843418860808015E-14</v>
      </c>
      <c r="O168" s="13">
        <f>N168*VLOOKUP('Données projet'!$B$9,Paramètres!$A$1:$I$89,3,0)*VLOOKUP('Données projet'!$B$9,Paramètres!$A$1:$I$89,5,0)</f>
        <v>3.3992364478763198E-14</v>
      </c>
      <c r="P168" s="13">
        <f t="shared" si="141"/>
        <v>5.790027782444094E-13</v>
      </c>
      <c r="Q168" s="20">
        <f t="shared" si="162"/>
        <v>1.0676332069095257E-12</v>
      </c>
      <c r="R168" s="59">
        <f t="shared" si="109"/>
        <v>293.33333333333439</v>
      </c>
      <c r="S168" s="59">
        <f ca="1">AVERAGE(OFFSET($R$3,0,0,'Données projet'!$E$9+1,1))-AVERAGE(OFFSET($H$3,0,0,'Données projet'!$E$9+1,1))</f>
        <v>173.43838269633449</v>
      </c>
      <c r="T168" s="59">
        <f t="shared" si="142"/>
        <v>346.57067290129595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7.7960167023121549</v>
      </c>
      <c r="AA168" s="21">
        <f>EXP(-LN(2)/25)*AA167+(1-EXP(-LN(2)/25))/(LN(2)/25)*Calculateur!V168*Calculateur!X168*VLOOKUP('Données projet'!$B$9,Paramètres!$A$1:$I$89,3,0)*0.475*44/12</f>
        <v>0.57225345466008015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8.3682701569722351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5.6843418860808015E-14</v>
      </c>
      <c r="O169" s="13">
        <f>N169*VLOOKUP('Données projet'!$B$9,Paramètres!$A$1:$I$89,3,0)*VLOOKUP('Données projet'!$B$9,Paramètres!$A$1:$I$89,5,0)</f>
        <v>3.3992364478763198E-14</v>
      </c>
      <c r="P169" s="13">
        <f t="shared" si="141"/>
        <v>5.790027782444094E-13</v>
      </c>
      <c r="Q169" s="20">
        <f t="shared" si="162"/>
        <v>1.0676332069095257E-12</v>
      </c>
      <c r="R169" s="59">
        <f t="shared" si="109"/>
        <v>293.33333333333439</v>
      </c>
      <c r="S169" s="59">
        <f ca="1">AVERAGE(OFFSET($R$3,0,0,'Données projet'!$E$9+1,1))-AVERAGE(OFFSET($H$3,0,0,'Données projet'!$E$9+1,1))</f>
        <v>173.43838269633449</v>
      </c>
      <c r="T169" s="59">
        <f t="shared" si="142"/>
        <v>346.57067290129595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7.6431415698804752</v>
      </c>
      <c r="AA169" s="21">
        <f>EXP(-LN(2)/25)*AA168+(1-EXP(-LN(2)/25))/(LN(2)/25)*Calculateur!V169*Calculateur!X169*VLOOKUP('Données projet'!$B$9,Paramètres!$A$1:$I$89,3,0)*0.475*44/12</f>
        <v>0.55660515384889897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8.1997467237293744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5.6843418860808015E-14</v>
      </c>
      <c r="O170" s="13">
        <f>N170*VLOOKUP('Données projet'!$B$9,Paramètres!$A$1:$I$89,3,0)*VLOOKUP('Données projet'!$B$9,Paramètres!$A$1:$I$89,5,0)</f>
        <v>3.3992364478763198E-14</v>
      </c>
      <c r="P170" s="13">
        <f t="shared" si="141"/>
        <v>5.790027782444094E-13</v>
      </c>
      <c r="Q170" s="20">
        <f t="shared" si="162"/>
        <v>1.0676332069095257E-12</v>
      </c>
      <c r="R170" s="59">
        <f t="shared" si="109"/>
        <v>293.33333333333439</v>
      </c>
      <c r="S170" s="59">
        <f ca="1">AVERAGE(OFFSET($R$3,0,0,'Données projet'!$E$9+1,1))-AVERAGE(OFFSET($H$3,0,0,'Données projet'!$E$9+1,1))</f>
        <v>173.43838269633449</v>
      </c>
      <c r="T170" s="59">
        <f t="shared" si="142"/>
        <v>346.57067290129595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7.4932642255511563</v>
      </c>
      <c r="AA170" s="21">
        <f>EXP(-LN(2)/25)*AA169+(1-EXP(-LN(2)/25))/(LN(2)/25)*Calculateur!V170*Calculateur!X170*VLOOKUP('Données projet'!$B$9,Paramètres!$A$1:$I$89,3,0)*0.475*44/12</f>
        <v>0.54138475664630792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8.0346489821974636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5.6843418860808015E-14</v>
      </c>
      <c r="O171" s="13">
        <f>N171*VLOOKUP('Données projet'!$B$9,Paramètres!$A$1:$I$89,3,0)*VLOOKUP('Données projet'!$B$9,Paramètres!$A$1:$I$89,5,0)</f>
        <v>3.3992364478763198E-14</v>
      </c>
      <c r="P171" s="13">
        <f t="shared" si="141"/>
        <v>5.790027782444094E-13</v>
      </c>
      <c r="Q171" s="20">
        <f t="shared" si="162"/>
        <v>1.0676332069095257E-12</v>
      </c>
      <c r="R171" s="59">
        <f t="shared" si="109"/>
        <v>293.33333333333439</v>
      </c>
      <c r="S171" s="59">
        <f ca="1">AVERAGE(OFFSET($R$3,0,0,'Données projet'!$E$9+1,1))-AVERAGE(OFFSET($H$3,0,0,'Données projet'!$E$9+1,1))</f>
        <v>173.43838269633449</v>
      </c>
      <c r="T171" s="59">
        <f t="shared" si="142"/>
        <v>346.57067290129595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7.3463258845279826</v>
      </c>
      <c r="AA171" s="21">
        <f>EXP(-LN(2)/25)*AA170+(1-EXP(-LN(2)/25))/(LN(2)/25)*Calculateur!V171*Calculateur!X171*VLOOKUP('Données projet'!$B$9,Paramètres!$A$1:$I$89,3,0)*0.475*44/12</f>
        <v>0.52658056200562764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7.8729064465336105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5.6843418860808015E-14</v>
      </c>
      <c r="O172" s="13">
        <f>N172*VLOOKUP('Données projet'!$B$9,Paramètres!$A$1:$I$89,3,0)*VLOOKUP('Données projet'!$B$9,Paramètres!$A$1:$I$89,5,0)</f>
        <v>3.3992364478763198E-14</v>
      </c>
      <c r="P172" s="13">
        <f t="shared" si="141"/>
        <v>5.790027782444094E-13</v>
      </c>
      <c r="Q172" s="20">
        <f t="shared" si="162"/>
        <v>1.0676332069095257E-12</v>
      </c>
      <c r="R172" s="59">
        <f t="shared" si="109"/>
        <v>293.33333333333439</v>
      </c>
      <c r="S172" s="59">
        <f ca="1">AVERAGE(OFFSET($R$3,0,0,'Données projet'!$E$9+1,1))-AVERAGE(OFFSET($H$3,0,0,'Données projet'!$E$9+1,1))</f>
        <v>173.43838269633449</v>
      </c>
      <c r="T172" s="59">
        <f t="shared" si="142"/>
        <v>346.57067290129595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7.2022689147487347</v>
      </c>
      <c r="AA172" s="21">
        <f>EXP(-LN(2)/25)*AA171+(1-EXP(-LN(2)/25))/(LN(2)/25)*Calculateur!V172*Calculateur!X172*VLOOKUP('Données projet'!$B$9,Paramètres!$A$1:$I$89,3,0)*0.475*44/12</f>
        <v>0.51218118884591546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7.7144501035946504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5.6843418860808015E-14</v>
      </c>
      <c r="O173" s="13">
        <f>N173*VLOOKUP('Données projet'!$B$9,Paramètres!$A$1:$I$89,3,0)*VLOOKUP('Données projet'!$B$9,Paramètres!$A$1:$I$89,5,0)</f>
        <v>3.3992364478763198E-14</v>
      </c>
      <c r="P173" s="13">
        <f t="shared" si="141"/>
        <v>5.790027782444094E-13</v>
      </c>
      <c r="Q173" s="20">
        <f t="shared" si="162"/>
        <v>1.0676332069095257E-12</v>
      </c>
      <c r="R173" s="59">
        <f t="shared" si="109"/>
        <v>293.33333333333439</v>
      </c>
      <c r="S173" s="59">
        <f ca="1">AVERAGE(OFFSET($R$3,0,0,'Données projet'!$E$9+1,1))-AVERAGE(OFFSET($H$3,0,0,'Données projet'!$E$9+1,1))</f>
        <v>173.43838269633449</v>
      </c>
      <c r="T173" s="59">
        <f t="shared" si="142"/>
        <v>346.57067290129595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7.061036814280782</v>
      </c>
      <c r="AA173" s="21">
        <f>EXP(-LN(2)/25)*AA172+(1-EXP(-LN(2)/25))/(LN(2)/25)*Calculateur!V173*Calculateur!X173*VLOOKUP('Données projet'!$B$9,Paramètres!$A$1:$I$89,3,0)*0.475*44/12</f>
        <v>0.4981755673024858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7.5592123815832677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5.6843418860808015E-14</v>
      </c>
      <c r="O174" s="13">
        <f>N174*VLOOKUP('Données projet'!$B$9,Paramètres!$A$1:$I$89,3,0)*VLOOKUP('Données projet'!$B$9,Paramètres!$A$1:$I$89,5,0)</f>
        <v>3.3992364478763198E-14</v>
      </c>
      <c r="P174" s="13">
        <f t="shared" si="141"/>
        <v>5.790027782444094E-13</v>
      </c>
      <c r="Q174" s="20">
        <f t="shared" si="162"/>
        <v>1.0676332069095257E-12</v>
      </c>
      <c r="R174" s="59">
        <f t="shared" si="109"/>
        <v>293.33333333333439</v>
      </c>
      <c r="S174" s="59">
        <f ca="1">AVERAGE(OFFSET($R$3,0,0,'Données projet'!$E$9+1,1))-AVERAGE(OFFSET($H$3,0,0,'Données projet'!$E$9+1,1))</f>
        <v>173.43838269633449</v>
      </c>
      <c r="T174" s="59">
        <f t="shared" si="142"/>
        <v>346.57067290129595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6.9225741891599304</v>
      </c>
      <c r="AA174" s="21">
        <f>EXP(-LN(2)/25)*AA173+(1-EXP(-LN(2)/25))/(LN(2)/25)*Calculateur!V174*Calculateur!X174*VLOOKUP('Données projet'!$B$9,Paramètres!$A$1:$I$89,3,0)*0.475*44/12</f>
        <v>0.48455293021668483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7.4071271193766153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5.6843418860808015E-14</v>
      </c>
      <c r="O175" s="13">
        <f>N175*VLOOKUP('Données projet'!$B$9,Paramètres!$A$1:$I$89,3,0)*VLOOKUP('Données projet'!$B$9,Paramètres!$A$1:$I$89,5,0)</f>
        <v>3.3992364478763198E-14</v>
      </c>
      <c r="P175" s="13">
        <f t="shared" si="141"/>
        <v>5.790027782444094E-13</v>
      </c>
      <c r="Q175" s="20">
        <f t="shared" si="162"/>
        <v>1.0676332069095257E-12</v>
      </c>
      <c r="R175" s="59">
        <f t="shared" si="109"/>
        <v>293.33333333333439</v>
      </c>
      <c r="S175" s="59">
        <f ca="1">AVERAGE(OFFSET($R$3,0,0,'Données projet'!$E$9+1,1))-AVERAGE(OFFSET($H$3,0,0,'Données projet'!$E$9+1,1))</f>
        <v>173.43838269633449</v>
      </c>
      <c r="T175" s="59">
        <f t="shared" si="142"/>
        <v>346.57067290129595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6.7868267316638367</v>
      </c>
      <c r="AA175" s="21">
        <f>EXP(-LN(2)/25)*AA174+(1-EXP(-LN(2)/25))/(LN(2)/25)*Calculateur!V175*Calculateur!X175*VLOOKUP('Données projet'!$B$9,Paramètres!$A$1:$I$89,3,0)*0.475*44/12</f>
        <v>0.47130280485837844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7.2581295365222154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5.6843418860808015E-14</v>
      </c>
      <c r="O176" s="13">
        <f>N176*VLOOKUP('Données projet'!$B$9,Paramètres!$A$1:$I$89,3,0)*VLOOKUP('Données projet'!$B$9,Paramètres!$A$1:$I$89,5,0)</f>
        <v>3.3992364478763198E-14</v>
      </c>
      <c r="P176" s="13">
        <f t="shared" si="141"/>
        <v>5.790027782444094E-13</v>
      </c>
      <c r="Q176" s="20">
        <f t="shared" si="162"/>
        <v>1.0676332069095257E-12</v>
      </c>
      <c r="R176" s="59">
        <f t="shared" si="109"/>
        <v>293.33333333333439</v>
      </c>
      <c r="S176" s="59">
        <f ca="1">AVERAGE(OFFSET($R$3,0,0,'Données projet'!$E$9+1,1))-AVERAGE(OFFSET($H$3,0,0,'Données projet'!$E$9+1,1))</f>
        <v>173.43838269633449</v>
      </c>
      <c r="T176" s="59">
        <f t="shared" si="142"/>
        <v>346.57067290129595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6.6537411990114679</v>
      </c>
      <c r="AA176" s="21">
        <f>EXP(-LN(2)/25)*AA175+(1-EXP(-LN(2)/25))/(LN(2)/25)*Calculateur!V176*Calculateur!X176*VLOOKUP('Données projet'!$B$9,Paramètres!$A$1:$I$89,3,0)*0.475*44/12</f>
        <v>0.45841500487478876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7.1121562038862569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5.6843418860808015E-14</v>
      </c>
      <c r="O177" s="13">
        <f>N177*VLOOKUP('Données projet'!$B$9,Paramètres!$A$1:$I$89,3,0)*VLOOKUP('Données projet'!$B$9,Paramètres!$A$1:$I$89,5,0)</f>
        <v>3.3992364478763198E-14</v>
      </c>
      <c r="P177" s="13">
        <f t="shared" si="141"/>
        <v>5.790027782444094E-13</v>
      </c>
      <c r="Q177" s="20">
        <f t="shared" si="162"/>
        <v>1.0676332069095257E-12</v>
      </c>
      <c r="R177" s="59">
        <f t="shared" si="109"/>
        <v>293.33333333333439</v>
      </c>
      <c r="S177" s="59">
        <f ca="1">AVERAGE(OFFSET($R$3,0,0,'Données projet'!$E$9+1,1))-AVERAGE(OFFSET($H$3,0,0,'Données projet'!$E$9+1,1))</f>
        <v>173.43838269633449</v>
      </c>
      <c r="T177" s="59">
        <f t="shared" si="142"/>
        <v>346.57067290129595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6.5232653924802522</v>
      </c>
      <c r="AA177" s="21">
        <f>EXP(-LN(2)/25)*AA176+(1-EXP(-LN(2)/25))/(LN(2)/25)*Calculateur!V177*Calculateur!X177*VLOOKUP('Données projet'!$B$9,Paramètres!$A$1:$I$89,3,0)*0.475*44/12</f>
        <v>0.44587962245949025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6.969145014939742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5.6843418860808015E-14</v>
      </c>
      <c r="O178" s="13">
        <f>N178*VLOOKUP('Données projet'!$B$9,Paramètres!$A$1:$I$89,3,0)*VLOOKUP('Données projet'!$B$9,Paramètres!$A$1:$I$89,5,0)</f>
        <v>3.3992364478763198E-14</v>
      </c>
      <c r="P178" s="13">
        <f t="shared" si="141"/>
        <v>5.790027782444094E-13</v>
      </c>
      <c r="Q178" s="20">
        <f t="shared" si="162"/>
        <v>1.0676332069095257E-12</v>
      </c>
      <c r="R178" s="59">
        <f t="shared" si="109"/>
        <v>293.33333333333439</v>
      </c>
      <c r="S178" s="59">
        <f ca="1">AVERAGE(OFFSET($R$3,0,0,'Données projet'!$E$9+1,1))-AVERAGE(OFFSET($H$3,0,0,'Données projet'!$E$9+1,1))</f>
        <v>173.43838269633449</v>
      </c>
      <c r="T178" s="59">
        <f t="shared" si="142"/>
        <v>346.57067290129595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6.3953481369327303</v>
      </c>
      <c r="AA178" s="21">
        <f>EXP(-LN(2)/25)*AA177+(1-EXP(-LN(2)/25))/(LN(2)/25)*Calculateur!V178*Calculateur!X178*VLOOKUP('Données projet'!$B$9,Paramètres!$A$1:$I$89,3,0)*0.475*44/12</f>
        <v>0.43368702073554521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6.829035157668276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5.6843418860808015E-14</v>
      </c>
      <c r="O179" s="13">
        <f>N179*VLOOKUP('Données projet'!$B$9,Paramètres!$A$1:$I$89,3,0)*VLOOKUP('Données projet'!$B$9,Paramètres!$A$1:$I$89,5,0)</f>
        <v>3.3992364478763198E-14</v>
      </c>
      <c r="P179" s="13">
        <f t="shared" si="141"/>
        <v>5.790027782444094E-13</v>
      </c>
      <c r="Q179" s="20">
        <f t="shared" si="162"/>
        <v>1.0676332069095257E-12</v>
      </c>
      <c r="R179" s="59">
        <f t="shared" si="109"/>
        <v>293.33333333333439</v>
      </c>
      <c r="S179" s="59">
        <f ca="1">AVERAGE(OFFSET($R$3,0,0,'Données projet'!$E$9+1,1))-AVERAGE(OFFSET($H$3,0,0,'Données projet'!$E$9+1,1))</f>
        <v>173.43838269633449</v>
      </c>
      <c r="T179" s="59">
        <f t="shared" si="142"/>
        <v>346.57067290129595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6.2699392607446729</v>
      </c>
      <c r="AA179" s="21">
        <f>EXP(-LN(2)/25)*AA178+(1-EXP(-LN(2)/25))/(LN(2)/25)*Calculateur!V179*Calculateur!X179*VLOOKUP('Données projet'!$B$9,Paramètres!$A$1:$I$89,3,0)*0.475*44/12</f>
        <v>0.42182782634692251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6.6917670870915957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5.6843418860808015E-14</v>
      </c>
      <c r="O180" s="13">
        <f>N180*VLOOKUP('Données projet'!$B$9,Paramètres!$A$1:$I$89,3,0)*VLOOKUP('Données projet'!$B$9,Paramètres!$A$1:$I$89,5,0)</f>
        <v>3.3992364478763198E-14</v>
      </c>
      <c r="P180" s="13">
        <f t="shared" si="141"/>
        <v>5.790027782444094E-13</v>
      </c>
      <c r="Q180" s="20">
        <f t="shared" si="162"/>
        <v>1.0676332069095257E-12</v>
      </c>
      <c r="R180" s="59">
        <f t="shared" si="109"/>
        <v>293.33333333333439</v>
      </c>
      <c r="S180" s="59">
        <f ca="1">AVERAGE(OFFSET($R$3,0,0,'Données projet'!$E$9+1,1))-AVERAGE(OFFSET($H$3,0,0,'Données projet'!$E$9+1,1))</f>
        <v>173.43838269633449</v>
      </c>
      <c r="T180" s="59">
        <f t="shared" si="142"/>
        <v>346.57067290129595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6.1469895761268019</v>
      </c>
      <c r="AA180" s="21">
        <f>EXP(-LN(2)/25)*AA179+(1-EXP(-LN(2)/25))/(LN(2)/25)*Calculateur!V180*Calculateur!X180*VLOOKUP('Données projet'!$B$9,Paramètres!$A$1:$I$89,3,0)*0.475*44/12</f>
        <v>0.41029292225250463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6.5572824983793065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5.6843418860808015E-14</v>
      </c>
      <c r="O181" s="13">
        <f>N181*VLOOKUP('Données projet'!$B$9,Paramètres!$A$1:$I$89,3,0)*VLOOKUP('Données projet'!$B$9,Paramètres!$A$1:$I$89,5,0)</f>
        <v>3.3992364478763198E-14</v>
      </c>
      <c r="P181" s="13">
        <f t="shared" si="141"/>
        <v>5.790027782444094E-13</v>
      </c>
      <c r="Q181" s="20">
        <f t="shared" si="162"/>
        <v>1.0676332069095257E-12</v>
      </c>
      <c r="R181" s="59">
        <f t="shared" si="109"/>
        <v>293.33333333333439</v>
      </c>
      <c r="S181" s="59">
        <f ca="1">AVERAGE(OFFSET($R$3,0,0,'Données projet'!$E$9+1,1))-AVERAGE(OFFSET($H$3,0,0,'Données projet'!$E$9+1,1))</f>
        <v>173.43838269633449</v>
      </c>
      <c r="T181" s="59">
        <f t="shared" si="142"/>
        <v>346.57067290129595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6.0264508598323845</v>
      </c>
      <c r="AA181" s="21">
        <f>EXP(-LN(2)/25)*AA180+(1-EXP(-LN(2)/25))/(LN(2)/25)*Calculateur!V181*Calculateur!X181*VLOOKUP('Données projet'!$B$9,Paramètres!$A$1:$I$89,3,0)*0.475*44/12</f>
        <v>0.39907344071714285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6.4255243005495277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5.6843418860808015E-14</v>
      </c>
      <c r="O182" s="13">
        <f>N182*VLOOKUP('Données projet'!$B$9,Paramètres!$A$1:$I$89,3,0)*VLOOKUP('Données projet'!$B$9,Paramètres!$A$1:$I$89,5,0)</f>
        <v>3.3992364478763198E-14</v>
      </c>
      <c r="P182" s="13">
        <f t="shared" si="141"/>
        <v>5.790027782444094E-13</v>
      </c>
      <c r="Q182" s="20">
        <f t="shared" si="162"/>
        <v>1.0676332069095257E-12</v>
      </c>
      <c r="R182" s="59">
        <f t="shared" si="109"/>
        <v>293.33333333333439</v>
      </c>
      <c r="S182" s="59">
        <f ca="1">AVERAGE(OFFSET($R$3,0,0,'Données projet'!$E$9+1,1))-AVERAGE(OFFSET($H$3,0,0,'Données projet'!$E$9+1,1))</f>
        <v>173.43838269633449</v>
      </c>
      <c r="T182" s="59">
        <f t="shared" si="142"/>
        <v>346.57067290129595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5.9082758342431436</v>
      </c>
      <c r="AA182" s="21">
        <f>EXP(-LN(2)/25)*AA181+(1-EXP(-LN(2)/25))/(LN(2)/25)*Calculateur!V182*Calculateur!X182*VLOOKUP('Données projet'!$B$9,Paramètres!$A$1:$I$89,3,0)*0.475*44/12</f>
        <v>0.38816075649437243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6.2964365907375157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5.6843418860808015E-14</v>
      </c>
      <c r="O183" s="13">
        <f>N183*VLOOKUP('Données projet'!$B$9,Paramètres!$A$1:$I$89,3,0)*VLOOKUP('Données projet'!$B$9,Paramètres!$A$1:$I$89,5,0)</f>
        <v>3.3992364478763198E-14</v>
      </c>
      <c r="P183" s="13">
        <f t="shared" si="141"/>
        <v>5.790027782444094E-13</v>
      </c>
      <c r="Q183" s="20">
        <f t="shared" si="162"/>
        <v>1.0676332069095257E-12</v>
      </c>
      <c r="R183" s="59">
        <f t="shared" si="109"/>
        <v>293.33333333333439</v>
      </c>
      <c r="S183" s="59">
        <f ca="1">AVERAGE(OFFSET($R$3,0,0,'Données projet'!$E$9+1,1))-AVERAGE(OFFSET($H$3,0,0,'Données projet'!$E$9+1,1))</f>
        <v>173.43838269633449</v>
      </c>
      <c r="T183" s="59">
        <f t="shared" si="142"/>
        <v>346.57067290129595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5.7924181488260595</v>
      </c>
      <c r="AA183" s="21">
        <f>EXP(-LN(2)/25)*AA182+(1-EXP(-LN(2)/25))/(LN(2)/25)*Calculateur!V183*Calculateur!X183*VLOOKUP('Données projet'!$B$9,Paramètres!$A$1:$I$89,3,0)*0.475*44/12</f>
        <v>0.37754648019554676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6.1699646290216066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5.6843418860808015E-14</v>
      </c>
      <c r="O184" s="13">
        <f>N184*VLOOKUP('Données projet'!$B$9,Paramètres!$A$1:$I$89,3,0)*VLOOKUP('Données projet'!$B$9,Paramètres!$A$1:$I$89,5,0)</f>
        <v>3.3992364478763198E-14</v>
      </c>
      <c r="P184" s="13">
        <f t="shared" si="141"/>
        <v>5.790027782444094E-13</v>
      </c>
      <c r="Q184" s="20">
        <f t="shared" si="162"/>
        <v>1.0676332069095257E-12</v>
      </c>
      <c r="R184" s="59">
        <f t="shared" si="109"/>
        <v>293.33333333333439</v>
      </c>
      <c r="S184" s="59">
        <f ca="1">AVERAGE(OFFSET($R$3,0,0,'Données projet'!$E$9+1,1))-AVERAGE(OFFSET($H$3,0,0,'Données projet'!$E$9+1,1))</f>
        <v>173.43838269633449</v>
      </c>
      <c r="T184" s="59">
        <f t="shared" si="142"/>
        <v>346.57067290129595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5.6788323619537939</v>
      </c>
      <c r="AA184" s="21">
        <f>EXP(-LN(2)/25)*AA183+(1-EXP(-LN(2)/25))/(LN(2)/25)*Calculateur!V184*Calculateur!X184*VLOOKUP('Données projet'!$B$9,Paramètres!$A$1:$I$89,3,0)*0.475*44/12</f>
        <v>0.36722245184029306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6.046054813794087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5.6843418860808015E-14</v>
      </c>
      <c r="O185" s="13">
        <f>N185*VLOOKUP('Données projet'!$B$9,Paramètres!$A$1:$I$89,3,0)*VLOOKUP('Données projet'!$B$9,Paramètres!$A$1:$I$89,5,0)</f>
        <v>3.3992364478763198E-14</v>
      </c>
      <c r="P185" s="13">
        <f t="shared" si="141"/>
        <v>5.790027782444094E-13</v>
      </c>
      <c r="Q185" s="20">
        <f t="shared" si="162"/>
        <v>1.0676332069095257E-12</v>
      </c>
      <c r="R185" s="59">
        <f t="shared" si="109"/>
        <v>293.33333333333439</v>
      </c>
      <c r="S185" s="59">
        <f ca="1">AVERAGE(OFFSET($R$3,0,0,'Données projet'!$E$9+1,1))-AVERAGE(OFFSET($H$3,0,0,'Données projet'!$E$9+1,1))</f>
        <v>173.43838269633449</v>
      </c>
      <c r="T185" s="59">
        <f t="shared" si="142"/>
        <v>346.57067290129595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5.5674739230816046</v>
      </c>
      <c r="AA185" s="21">
        <f>EXP(-LN(2)/25)*AA184+(1-EXP(-LN(2)/25))/(LN(2)/25)*Calculateur!V185*Calculateur!X185*VLOOKUP('Données projet'!$B$9,Paramètres!$A$1:$I$89,3,0)*0.475*44/12</f>
        <v>0.35718073458333083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5.9246546576649353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5.6843418860808015E-14</v>
      </c>
      <c r="O186" s="13">
        <f>N186*VLOOKUP('Données projet'!$B$9,Paramètres!$A$1:$I$89,3,0)*VLOOKUP('Données projet'!$B$9,Paramètres!$A$1:$I$89,5,0)</f>
        <v>3.3992364478763198E-14</v>
      </c>
      <c r="P186" s="13">
        <f t="shared" si="141"/>
        <v>5.790027782444094E-13</v>
      </c>
      <c r="Q186" s="20">
        <f t="shared" si="162"/>
        <v>1.0676332069095257E-12</v>
      </c>
      <c r="R186" s="59">
        <f t="shared" si="109"/>
        <v>293.33333333333439</v>
      </c>
      <c r="S186" s="59">
        <f ca="1">AVERAGE(OFFSET($R$3,0,0,'Données projet'!$E$9+1,1))-AVERAGE(OFFSET($H$3,0,0,'Données projet'!$E$9+1,1))</f>
        <v>173.43838269633449</v>
      </c>
      <c r="T186" s="59">
        <f t="shared" si="142"/>
        <v>346.57067290129595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5.4582991552737576</v>
      </c>
      <c r="AA186" s="21">
        <f>EXP(-LN(2)/25)*AA185+(1-EXP(-LN(2)/25))/(LN(2)/25)*Calculateur!V186*Calculateur!X186*VLOOKUP('Données projet'!$B$9,Paramètres!$A$1:$I$89,3,0)*0.475*44/12</f>
        <v>0.34741360861283116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5.8057127638865884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5.6843418860808015E-14</v>
      </c>
      <c r="O187" s="13">
        <f>N187*VLOOKUP('Données projet'!$B$9,Paramètres!$A$1:$I$89,3,0)*VLOOKUP('Données projet'!$B$9,Paramètres!$A$1:$I$89,5,0)</f>
        <v>3.3992364478763198E-14</v>
      </c>
      <c r="P187" s="13">
        <f t="shared" si="141"/>
        <v>5.790027782444094E-13</v>
      </c>
      <c r="Q187" s="20">
        <f t="shared" si="162"/>
        <v>1.0676332069095257E-12</v>
      </c>
      <c r="R187" s="59">
        <f t="shared" si="109"/>
        <v>293.33333333333439</v>
      </c>
      <c r="S187" s="59">
        <f ca="1">AVERAGE(OFFSET($R$3,0,0,'Données projet'!$E$9+1,1))-AVERAGE(OFFSET($H$3,0,0,'Données projet'!$E$9+1,1))</f>
        <v>173.43838269633449</v>
      </c>
      <c r="T187" s="59">
        <f t="shared" si="142"/>
        <v>346.57067290129595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5.3512652380725898</v>
      </c>
      <c r="AA187" s="21">
        <f>EXP(-LN(2)/25)*AA186+(1-EXP(-LN(2)/25))/(LN(2)/25)*Calculateur!V187*Calculateur!X187*VLOOKUP('Données projet'!$B$9,Paramètres!$A$1:$I$89,3,0)*0.475*44/12</f>
        <v>0.33791356521562566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5.6891788032882156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5.6843418860808015E-14</v>
      </c>
      <c r="O188" s="13">
        <f>N188*VLOOKUP('Données projet'!$B$9,Paramètres!$A$1:$I$89,3,0)*VLOOKUP('Données projet'!$B$9,Paramètres!$A$1:$I$89,5,0)</f>
        <v>3.3992364478763198E-14</v>
      </c>
      <c r="P188" s="13">
        <f t="shared" si="141"/>
        <v>5.790027782444094E-13</v>
      </c>
      <c r="Q188" s="20">
        <f t="shared" si="162"/>
        <v>1.0676332069095257E-12</v>
      </c>
      <c r="R188" s="59">
        <f t="shared" si="109"/>
        <v>293.33333333333439</v>
      </c>
      <c r="S188" s="59">
        <f ca="1">AVERAGE(OFFSET($R$3,0,0,'Données projet'!$E$9+1,1))-AVERAGE(OFFSET($H$3,0,0,'Données projet'!$E$9+1,1))</f>
        <v>173.43838269633449</v>
      </c>
      <c r="T188" s="59">
        <f t="shared" si="142"/>
        <v>346.57067290129595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5.2463301907034934</v>
      </c>
      <c r="AA188" s="21">
        <f>EXP(-LN(2)/25)*AA187+(1-EXP(-LN(2)/25))/(LN(2)/25)*Calculateur!V188*Calculateur!X188*VLOOKUP('Données projet'!$B$9,Paramètres!$A$1:$I$89,3,0)*0.475*44/12</f>
        <v>0.32867330100470227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5.5750034917081956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5.6843418860808015E-14</v>
      </c>
      <c r="O189" s="13">
        <f>N189*VLOOKUP('Données projet'!$B$9,Paramètres!$A$1:$I$89,3,0)*VLOOKUP('Données projet'!$B$9,Paramètres!$A$1:$I$89,5,0)</f>
        <v>3.3992364478763198E-14</v>
      </c>
      <c r="P189" s="13">
        <f t="shared" si="141"/>
        <v>5.790027782444094E-13</v>
      </c>
      <c r="Q189" s="20">
        <f t="shared" si="162"/>
        <v>1.0676332069095257E-12</v>
      </c>
      <c r="R189" s="59">
        <f t="shared" si="109"/>
        <v>293.33333333333439</v>
      </c>
      <c r="S189" s="59">
        <f ca="1">AVERAGE(OFFSET($R$3,0,0,'Données projet'!$E$9+1,1))-AVERAGE(OFFSET($H$3,0,0,'Données projet'!$E$9+1,1))</f>
        <v>173.43838269633449</v>
      </c>
      <c r="T189" s="59">
        <f t="shared" si="142"/>
        <v>346.57067290129595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5.1434528556092456</v>
      </c>
      <c r="AA189" s="21">
        <f>EXP(-LN(2)/25)*AA188+(1-EXP(-LN(2)/25))/(LN(2)/25)*Calculateur!V189*Calculateur!X189*VLOOKUP('Données projet'!$B$9,Paramètres!$A$1:$I$89,3,0)*0.475*44/12</f>
        <v>0.31968571230455095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5.4631385679137967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5.6843418860808015E-14</v>
      </c>
      <c r="O190" s="13">
        <f>N190*VLOOKUP('Données projet'!$B$9,Paramètres!$A$1:$I$89,3,0)*VLOOKUP('Données projet'!$B$9,Paramètres!$A$1:$I$89,5,0)</f>
        <v>3.3992364478763198E-14</v>
      </c>
      <c r="P190" s="13">
        <f t="shared" si="141"/>
        <v>5.790027782444094E-13</v>
      </c>
      <c r="Q190" s="20">
        <f t="shared" si="162"/>
        <v>1.0676332069095257E-12</v>
      </c>
      <c r="R190" s="59">
        <f t="shared" si="109"/>
        <v>293.33333333333439</v>
      </c>
      <c r="S190" s="59">
        <f ca="1">AVERAGE(OFFSET($R$3,0,0,'Données projet'!$E$9+1,1))-AVERAGE(OFFSET($H$3,0,0,'Données projet'!$E$9+1,1))</f>
        <v>173.43838269633449</v>
      </c>
      <c r="T190" s="59">
        <f t="shared" si="142"/>
        <v>346.57067290129595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5.0425928823072175</v>
      </c>
      <c r="AA190" s="21">
        <f>EXP(-LN(2)/25)*AA189+(1-EXP(-LN(2)/25))/(LN(2)/25)*Calculateur!V190*Calculateur!X190*VLOOKUP('Données projet'!$B$9,Paramètres!$A$1:$I$89,3,0)*0.475*44/12</f>
        <v>0.31094388969004205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5.3535367719972591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5.6843418860808015E-14</v>
      </c>
      <c r="O191" s="13">
        <f>N191*VLOOKUP('Données projet'!$B$9,Paramètres!$A$1:$I$89,3,0)*VLOOKUP('Données projet'!$B$9,Paramètres!$A$1:$I$89,5,0)</f>
        <v>3.3992364478763198E-14</v>
      </c>
      <c r="P191" s="13">
        <f t="shared" si="141"/>
        <v>5.790027782444094E-13</v>
      </c>
      <c r="Q191" s="20">
        <f t="shared" si="162"/>
        <v>1.0676332069095257E-12</v>
      </c>
      <c r="R191" s="59">
        <f t="shared" si="109"/>
        <v>293.33333333333439</v>
      </c>
      <c r="S191" s="59">
        <f ca="1">AVERAGE(OFFSET($R$3,0,0,'Données projet'!$E$9+1,1))-AVERAGE(OFFSET($H$3,0,0,'Données projet'!$E$9+1,1))</f>
        <v>173.43838269633449</v>
      </c>
      <c r="T191" s="59">
        <f t="shared" si="142"/>
        <v>346.57067290129595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4.9437107115631331</v>
      </c>
      <c r="AA191" s="21">
        <f>EXP(-LN(2)/25)*AA190+(1-EXP(-LN(2)/25))/(LN(2)/25)*Calculateur!V191*Calculateur!X191*VLOOKUP('Données projet'!$B$9,Paramètres!$A$1:$I$89,3,0)*0.475*44/12</f>
        <v>0.30244111267463936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5.2461518242377725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5.6843418860808015E-14</v>
      </c>
      <c r="O192" s="13">
        <f>N192*VLOOKUP('Données projet'!$B$9,Paramètres!$A$1:$I$89,3,0)*VLOOKUP('Données projet'!$B$9,Paramètres!$A$1:$I$89,5,0)</f>
        <v>3.3992364478763198E-14</v>
      </c>
      <c r="P192" s="13">
        <f t="shared" si="141"/>
        <v>5.790027782444094E-13</v>
      </c>
      <c r="Q192" s="20">
        <f t="shared" si="162"/>
        <v>1.0676332069095257E-12</v>
      </c>
      <c r="R192" s="59">
        <f t="shared" si="109"/>
        <v>293.33333333333439</v>
      </c>
      <c r="S192" s="59">
        <f ca="1">AVERAGE(OFFSET($R$3,0,0,'Données projet'!$E$9+1,1))-AVERAGE(OFFSET($H$3,0,0,'Données projet'!$E$9+1,1))</f>
        <v>173.43838269633449</v>
      </c>
      <c r="T192" s="59">
        <f t="shared" si="142"/>
        <v>346.57067290129595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4.8467675598751718</v>
      </c>
      <c r="AA192" s="21">
        <f>EXP(-LN(2)/25)*AA191+(1-EXP(-LN(2)/25))/(LN(2)/25)*Calculateur!V192*Calculateur!X192*VLOOKUP('Données projet'!$B$9,Paramètres!$A$1:$I$89,3,0)*0.475*44/12</f>
        <v>0.29417084454386444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5.1409384044190363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5.6843418860808015E-14</v>
      </c>
      <c r="O193" s="13">
        <f>N193*VLOOKUP('Données projet'!$B$9,Paramètres!$A$1:$I$89,3,0)*VLOOKUP('Données projet'!$B$9,Paramètres!$A$1:$I$89,5,0)</f>
        <v>3.3992364478763198E-14</v>
      </c>
      <c r="P193" s="13">
        <f t="shared" si="141"/>
        <v>5.790027782444094E-13</v>
      </c>
      <c r="Q193" s="20">
        <f t="shared" si="162"/>
        <v>1.0676332069095257E-12</v>
      </c>
      <c r="R193" s="59">
        <f t="shared" si="109"/>
        <v>293.33333333333439</v>
      </c>
      <c r="S193" s="59">
        <f ca="1">AVERAGE(OFFSET($R$3,0,0,'Données projet'!$E$9+1,1))-AVERAGE(OFFSET($H$3,0,0,'Données projet'!$E$9+1,1))</f>
        <v>173.43838269633449</v>
      </c>
      <c r="T193" s="59">
        <f t="shared" si="142"/>
        <v>346.57067290129595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4.7517254042623271</v>
      </c>
      <c r="AA193" s="21">
        <f>EXP(-LN(2)/25)*AA192+(1-EXP(-LN(2)/25))/(LN(2)/25)*Calculateur!V193*Calculateur!X193*VLOOKUP('Données projet'!$B$9,Paramètres!$A$1:$I$89,3,0)*0.475*44/12</f>
        <v>0.28612672733004008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5.0378521315923672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5.6843418860808015E-14</v>
      </c>
      <c r="O194" s="13">
        <f>N194*VLOOKUP('Données projet'!$B$9,Paramètres!$A$1:$I$89,3,0)*VLOOKUP('Données projet'!$B$9,Paramètres!$A$1:$I$89,5,0)</f>
        <v>3.3992364478763198E-14</v>
      </c>
      <c r="P194" s="13">
        <f t="shared" si="141"/>
        <v>5.790027782444094E-13</v>
      </c>
      <c r="Q194" s="20">
        <f t="shared" si="162"/>
        <v>1.0676332069095257E-12</v>
      </c>
      <c r="R194" s="59">
        <f t="shared" si="109"/>
        <v>293.33333333333439</v>
      </c>
      <c r="S194" s="59">
        <f ca="1">AVERAGE(OFFSET($R$3,0,0,'Données projet'!$E$9+1,1))-AVERAGE(OFFSET($H$3,0,0,'Données projet'!$E$9+1,1))</f>
        <v>173.43838269633449</v>
      </c>
      <c r="T194" s="59">
        <f t="shared" si="142"/>
        <v>346.57067290129595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4.6585469673510591</v>
      </c>
      <c r="AA194" s="21">
        <f>EXP(-LN(2)/25)*AA193+(1-EXP(-LN(2)/25))/(LN(2)/25)*Calculateur!V194*Calculateur!X194*VLOOKUP('Données projet'!$B$9,Paramètres!$A$1:$I$89,3,0)*0.475*44/12</f>
        <v>0.27830257692444949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4.9368495442755087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5.6843418860808015E-14</v>
      </c>
      <c r="O195" s="13">
        <f>N195*VLOOKUP('Données projet'!$B$9,Paramètres!$A$1:$I$89,3,0)*VLOOKUP('Données projet'!$B$9,Paramètres!$A$1:$I$89,5,0)</f>
        <v>3.3992364478763198E-14</v>
      </c>
      <c r="P195" s="13">
        <f t="shared" si="141"/>
        <v>5.790027782444094E-13</v>
      </c>
      <c r="Q195" s="20">
        <f t="shared" si="162"/>
        <v>1.0676332069095257E-12</v>
      </c>
      <c r="R195" s="59">
        <f t="shared" ref="R195:R203" si="191">Q195+(I195+J195)*44/12</f>
        <v>293.33333333333439</v>
      </c>
      <c r="S195" s="59">
        <f ca="1">AVERAGE(OFFSET($R$3,0,0,'Données projet'!$E$9+1,1))-AVERAGE(OFFSET($H$3,0,0,'Données projet'!$E$9+1,1))</f>
        <v>173.43838269633449</v>
      </c>
      <c r="T195" s="59">
        <f t="shared" si="142"/>
        <v>346.57067290129595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4.567195702754387</v>
      </c>
      <c r="AA195" s="21">
        <f>EXP(-LN(2)/25)*AA194+(1-EXP(-LN(2)/25))/(LN(2)/25)*Calculateur!V195*Calculateur!X195*VLOOKUP('Données projet'!$B$9,Paramètres!$A$1:$I$89,3,0)*0.475*44/12</f>
        <v>0.27069237832315396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4.8378880810775406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5.6843418860808015E-14</v>
      </c>
      <c r="O196" s="13">
        <f>N196*VLOOKUP('Données projet'!$B$9,Paramètres!$A$1:$I$89,3,0)*VLOOKUP('Données projet'!$B$9,Paramètres!$A$1:$I$89,5,0)</f>
        <v>3.3992364478763198E-14</v>
      </c>
      <c r="P196" s="13">
        <f t="shared" si="141"/>
        <v>5.790027782444094E-13</v>
      </c>
      <c r="Q196" s="20">
        <f t="shared" si="162"/>
        <v>1.0676332069095257E-12</v>
      </c>
      <c r="R196" s="59">
        <f t="shared" si="191"/>
        <v>293.33333333333439</v>
      </c>
      <c r="S196" s="59">
        <f ca="1">AVERAGE(OFFSET($R$3,0,0,'Données projet'!$E$9+1,1))-AVERAGE(OFFSET($H$3,0,0,'Données projet'!$E$9+1,1))</f>
        <v>173.43838269633449</v>
      </c>
      <c r="T196" s="59">
        <f t="shared" si="142"/>
        <v>346.57067290129595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4.4776357807376854</v>
      </c>
      <c r="AA196" s="21">
        <f>EXP(-LN(2)/25)*AA195+(1-EXP(-LN(2)/25))/(LN(2)/25)*Calculateur!V196*Calculateur!X196*VLOOKUP('Données projet'!$B$9,Paramètres!$A$1:$I$89,3,0)*0.475*44/12</f>
        <v>0.26329028100281382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4.7409260617404989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5.6843418860808015E-14</v>
      </c>
      <c r="O197" s="13">
        <f>N197*VLOOKUP('Données projet'!$B$9,Paramètres!$A$1:$I$89,3,0)*VLOOKUP('Données projet'!$B$9,Paramètres!$A$1:$I$89,5,0)</f>
        <v>3.3992364478763198E-14</v>
      </c>
      <c r="P197" s="13">
        <f t="shared" ref="P197:P203" si="203">EXP(-1.0587+0.8836*LN(O197)+0.284)</f>
        <v>5.790027782444094E-13</v>
      </c>
      <c r="Q197" s="20">
        <f t="shared" si="162"/>
        <v>1.0676332069095257E-12</v>
      </c>
      <c r="R197" s="59">
        <f t="shared" si="191"/>
        <v>293.33333333333439</v>
      </c>
      <c r="S197" s="59">
        <f ca="1">AVERAGE(OFFSET($R$3,0,0,'Données projet'!$E$9+1,1))-AVERAGE(OFFSET($H$3,0,0,'Données projet'!$E$9+1,1))</f>
        <v>173.43838269633449</v>
      </c>
      <c r="T197" s="59">
        <f t="shared" ref="T197:T203" si="204">$T$3</f>
        <v>346.57067290129595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4.3898320741655734</v>
      </c>
      <c r="AA197" s="21">
        <f>EXP(-LN(2)/25)*AA196+(1-EXP(-LN(2)/25))/(LN(2)/25)*Calculateur!V197*Calculateur!X197*VLOOKUP('Données projet'!$B$9,Paramètres!$A$1:$I$89,3,0)*0.475*44/12</f>
        <v>0.25609059442295773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4.6459226685885309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5.6843418860808015E-14</v>
      </c>
      <c r="O198" s="13">
        <f>N198*VLOOKUP('Données projet'!$B$9,Paramètres!$A$1:$I$89,3,0)*VLOOKUP('Données projet'!$B$9,Paramètres!$A$1:$I$89,5,0)</f>
        <v>3.3992364478763198E-14</v>
      </c>
      <c r="P198" s="13">
        <f t="shared" si="203"/>
        <v>5.790027782444094E-13</v>
      </c>
      <c r="Q198" s="20">
        <f t="shared" si="162"/>
        <v>1.0676332069095257E-12</v>
      </c>
      <c r="R198" s="59">
        <f t="shared" si="191"/>
        <v>293.33333333333439</v>
      </c>
      <c r="S198" s="59">
        <f ca="1">AVERAGE(OFFSET($R$3,0,0,'Données projet'!$E$9+1,1))-AVERAGE(OFFSET($H$3,0,0,'Données projet'!$E$9+1,1))</f>
        <v>173.43838269633449</v>
      </c>
      <c r="T198" s="59">
        <f t="shared" si="204"/>
        <v>346.57067290129595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4.3037501447243676</v>
      </c>
      <c r="AA198" s="21">
        <f>EXP(-LN(2)/25)*AA197+(1-EXP(-LN(2)/25))/(LN(2)/25)*Calculateur!V198*Calculateur!X198*VLOOKUP('Données projet'!$B$9,Paramètres!$A$1:$I$89,3,0)*0.475*44/12</f>
        <v>0.2490877836512429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4.5528379283756104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5.6843418860808015E-14</v>
      </c>
      <c r="O199" s="13">
        <f>N199*VLOOKUP('Données projet'!$B$9,Paramètres!$A$1:$I$89,3,0)*VLOOKUP('Données projet'!$B$9,Paramètres!$A$1:$I$89,5,0)</f>
        <v>3.3992364478763198E-14</v>
      </c>
      <c r="P199" s="13">
        <f t="shared" si="203"/>
        <v>5.790027782444094E-13</v>
      </c>
      <c r="Q199" s="20">
        <f t="shared" si="162"/>
        <v>1.0676332069095257E-12</v>
      </c>
      <c r="R199" s="59">
        <f t="shared" si="191"/>
        <v>293.33333333333439</v>
      </c>
      <c r="S199" s="59">
        <f ca="1">AVERAGE(OFFSET($R$3,0,0,'Données projet'!$E$9+1,1))-AVERAGE(OFFSET($H$3,0,0,'Données projet'!$E$9+1,1))</f>
        <v>173.43838269633449</v>
      </c>
      <c r="T199" s="59">
        <f t="shared" si="204"/>
        <v>346.57067290129595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4.2193562294147107</v>
      </c>
      <c r="AA199" s="21">
        <f>EXP(-LN(2)/25)*AA198+(1-EXP(-LN(2)/25))/(LN(2)/25)*Calculateur!V199*Calculateur!X199*VLOOKUP('Données projet'!$B$9,Paramètres!$A$1:$I$89,3,0)*0.475*44/12</f>
        <v>0.24227646510834241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4.4616326945230531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5.6843418860808015E-14</v>
      </c>
      <c r="O200" s="13">
        <f>N200*VLOOKUP('Données projet'!$B$9,Paramètres!$A$1:$I$89,3,0)*VLOOKUP('Données projet'!$B$9,Paramètres!$A$1:$I$89,5,0)</f>
        <v>3.3992364478763198E-14</v>
      </c>
      <c r="P200" s="13">
        <f t="shared" si="203"/>
        <v>5.790027782444094E-13</v>
      </c>
      <c r="Q200" s="20">
        <f t="shared" si="162"/>
        <v>1.0676332069095257E-12</v>
      </c>
      <c r="R200" s="59">
        <f t="shared" si="191"/>
        <v>293.33333333333439</v>
      </c>
      <c r="S200" s="59">
        <f ca="1">AVERAGE(OFFSET($R$3,0,0,'Données projet'!$E$9+1,1))-AVERAGE(OFFSET($H$3,0,0,'Données projet'!$E$9+1,1))</f>
        <v>173.43838269633449</v>
      </c>
      <c r="T200" s="59">
        <f t="shared" si="204"/>
        <v>346.57067290129595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4.1366172273090704</v>
      </c>
      <c r="AA200" s="21">
        <f>EXP(-LN(2)/25)*AA199+(1-EXP(-LN(2)/25))/(LN(2)/25)*Calculateur!V200*Calculateur!X200*VLOOKUP('Données projet'!$B$9,Paramètres!$A$1:$I$89,3,0)*0.475*44/12</f>
        <v>0.23565140242918922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4.3722686297382598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5.6843418860808015E-14</v>
      </c>
      <c r="O201" s="13">
        <f>N201*VLOOKUP('Données projet'!$B$9,Paramètres!$A$1:$I$89,3,0)*VLOOKUP('Données projet'!$B$9,Paramètres!$A$1:$I$89,5,0)</f>
        <v>3.3992364478763198E-14</v>
      </c>
      <c r="P201" s="13">
        <f t="shared" si="203"/>
        <v>5.790027782444094E-13</v>
      </c>
      <c r="Q201" s="20">
        <f t="shared" si="162"/>
        <v>1.0676332069095257E-12</v>
      </c>
      <c r="R201" s="59">
        <f t="shared" si="191"/>
        <v>293.33333333333439</v>
      </c>
      <c r="S201" s="59">
        <f ca="1">AVERAGE(OFFSET($R$3,0,0,'Données projet'!$E$9+1,1))-AVERAGE(OFFSET($H$3,0,0,'Données projet'!$E$9+1,1))</f>
        <v>173.43838269633449</v>
      </c>
      <c r="T201" s="59">
        <f t="shared" si="204"/>
        <v>346.57067290129595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4.055500686568914</v>
      </c>
      <c r="AA201" s="21">
        <f>EXP(-LN(2)/25)*AA200+(1-EXP(-LN(2)/25))/(LN(2)/25)*Calculateur!V201*Calculateur!X201*VLOOKUP('Données projet'!$B$9,Paramètres!$A$1:$I$89,3,0)*0.475*44/12</f>
        <v>0.22920750243739438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4.2847081890063086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5.6843418860808015E-14</v>
      </c>
      <c r="O202" s="13">
        <f>N202*VLOOKUP('Données projet'!$B$9,Paramètres!$A$1:$I$89,3,0)*VLOOKUP('Données projet'!$B$9,Paramètres!$A$1:$I$89,5,0)</f>
        <v>3.3992364478763198E-14</v>
      </c>
      <c r="P202" s="13">
        <f t="shared" si="203"/>
        <v>5.790027782444094E-13</v>
      </c>
      <c r="Q202" s="20">
        <f t="shared" si="162"/>
        <v>1.0676332069095257E-12</v>
      </c>
      <c r="R202" s="59">
        <f t="shared" si="191"/>
        <v>293.33333333333439</v>
      </c>
      <c r="S202" s="59">
        <f ca="1">AVERAGE(OFFSET($R$3,0,0,'Données projet'!$E$9+1,1))-AVERAGE(OFFSET($H$3,0,0,'Données projet'!$E$9+1,1))</f>
        <v>173.43838269633449</v>
      </c>
      <c r="T202" s="59">
        <f t="shared" si="204"/>
        <v>346.57067290129595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3.9759747917164678</v>
      </c>
      <c r="AA202" s="21">
        <f>EXP(-LN(2)/25)*AA201+(1-EXP(-LN(2)/25))/(LN(2)/25)*Calculateur!V202*Calculateur!X202*VLOOKUP('Données projet'!$B$9,Paramètres!$A$1:$I$89,3,0)*0.475*44/12</f>
        <v>0.22293981122974513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4.1989146029462132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5.6843418860808015E-14</v>
      </c>
      <c r="O203" s="13">
        <f>N203*VLOOKUP('Données projet'!$B$9,Paramètres!$A$1:$I$89,3,0)*VLOOKUP('Données projet'!$B$9,Paramètres!$A$1:$I$89,5,0)</f>
        <v>3.3992364478763198E-14</v>
      </c>
      <c r="P203" s="13">
        <f t="shared" si="203"/>
        <v>5.790027782444094E-13</v>
      </c>
      <c r="Q203" s="20">
        <f t="shared" si="162"/>
        <v>1.0676332069095257E-12</v>
      </c>
      <c r="R203" s="59">
        <f t="shared" si="191"/>
        <v>293.33333333333439</v>
      </c>
      <c r="S203" s="59">
        <f ca="1">AVERAGE(OFFSET($R$3,0,0,'Données projet'!$E$9+1,1))-AVERAGE(OFFSET($H$3,0,0,'Données projet'!$E$9+1,1))</f>
        <v>173.43838269633449</v>
      </c>
      <c r="T203" s="59">
        <f t="shared" si="204"/>
        <v>346.57067290129595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3.8980083511560717</v>
      </c>
      <c r="AA203" s="21">
        <f>EXP(-LN(2)/25)*AA202+(1-EXP(-LN(2)/25))/(LN(2)/25)*Calculateur!V203*Calculateur!X203*VLOOKUP('Données projet'!$B$9,Paramètres!$A$1:$I$89,3,0)*0.475*44/12</f>
        <v>0.21684351036777261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4.1148518615238441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1.4261938757879591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1" zoomScale="169" zoomScaleNormal="90" workbookViewId="0">
      <selection activeCell="M14" sqref="M1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8.36</v>
      </c>
      <c r="C6" s="147">
        <f ca="1">IF(OR('Données projet'!B9="",'Données projet'!C9="",'Données projet'!C9=0%),0,Calculateur!S3)</f>
        <v>173.43838269633449</v>
      </c>
      <c r="D6" s="147">
        <f>IF(OR('Données projet'!B9="",'Données projet'!C9="",'Données projet'!C9=0%),0,Calculateur!T3)</f>
        <v>346.57067290129595</v>
      </c>
      <c r="E6" s="147">
        <f ca="1">MIN(C6,D6)</f>
        <v>173.43838269633449</v>
      </c>
      <c r="F6" s="147">
        <f ca="1">E6*B6</f>
        <v>1449.9448793413562</v>
      </c>
      <c r="G6" s="147">
        <f ca="1">F6*(100%-'Données projet'!$C$24)*(100%-'Données projet'!$C$25)*(100%-'Données projet'!$C$26)*(100%-'Données projet'!$C$27)</f>
        <v>1109.2078326961375</v>
      </c>
      <c r="H6" s="148">
        <f>IF(OR('Données projet'!B9="",'Données projet'!C9="",'Données projet'!C9=0%),0,AVERAGE(Calculateur!$AC$3:$AC$33)*B6)</f>
        <v>81.354147399047633</v>
      </c>
      <c r="I6" s="149">
        <f>H6*(100%-'Données projet'!$C$24)*(100%-'Données projet'!$C$25)*(100%-'Données projet'!$C$26)*(100%-'Données projet'!$C$27)</f>
        <v>62.235922760271443</v>
      </c>
      <c r="J6" s="150">
        <f>IF(OR('Données projet'!B9="",'Données projet'!C9="",'Données projet'!C9=0%),0,SUM(Calculateur!$V$3:$V$33)*VLOOKUP('Données projet'!$B$9,Paramètres!$A$1:$I$89,9,0)*B6)</f>
        <v>591.88799999999992</v>
      </c>
      <c r="K6" s="151">
        <f>J6*(100%-'Données projet'!$C$24)*(100%-'Données projet'!$C$25)*(100%-'Données projet'!$C$26)*(100%-'Données projet'!$C$27)</f>
        <v>452.79431999999991</v>
      </c>
      <c r="L6" s="152">
        <f ca="1">G6+I6+K6</f>
        <v>1624.238075456409</v>
      </c>
      <c r="M6" s="23" t="s">
        <v>324</v>
      </c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1449.9448793413562</v>
      </c>
      <c r="G16" s="166">
        <f t="shared" ca="1" si="3"/>
        <v>1109.2078326961375</v>
      </c>
      <c r="H16" s="167">
        <f t="shared" si="3"/>
        <v>81.354147399047633</v>
      </c>
      <c r="I16" s="167">
        <f t="shared" si="3"/>
        <v>62.235922760271443</v>
      </c>
      <c r="J16" s="168">
        <f t="shared" si="3"/>
        <v>591.88799999999992</v>
      </c>
      <c r="K16" s="168">
        <f t="shared" si="3"/>
        <v>452.79431999999991</v>
      </c>
      <c r="L16" s="169">
        <f t="shared" ca="1" si="3"/>
        <v>1624.238075456409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5" zoomScale="166" zoomScaleNormal="80" workbookViewId="0">
      <selection activeCell="I25" sqref="I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3495.5088663229981</v>
      </c>
      <c r="U10" s="178">
        <f>'Données projet'!D9</f>
        <v>8.36</v>
      </c>
      <c r="V10" s="177">
        <f>U10*T10</f>
        <v>29222.454122460262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>
        <v>681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59.999999999999986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1170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132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5</v>
      </c>
      <c r="I22" s="191">
        <v>4300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13</v>
      </c>
      <c r="B23" s="181">
        <f>'Données projet'!D36</f>
        <v>28</v>
      </c>
      <c r="C23" s="193">
        <v>10</v>
      </c>
      <c r="D23" s="182">
        <f>B23*C23</f>
        <v>280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-10415.782412935801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18</v>
      </c>
      <c r="B24" s="181">
        <f>'Données projet'!D37</f>
        <v>40</v>
      </c>
      <c r="C24" s="193">
        <v>15</v>
      </c>
      <c r="D24" s="182">
        <f t="shared" ref="D24:D42" si="2">B24*C24</f>
        <v>600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133.92720777831266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23</v>
      </c>
      <c r="B25" s="181">
        <f>'Données projet'!D38</f>
        <v>52</v>
      </c>
      <c r="C25" s="193">
        <v>25</v>
      </c>
      <c r="D25" s="182">
        <f t="shared" si="2"/>
        <v>1300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-10549.709620714115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34</v>
      </c>
      <c r="B26" s="181">
        <f>'Données projet'!D39</f>
        <v>325</v>
      </c>
      <c r="C26" s="193">
        <v>45</v>
      </c>
      <c r="D26" s="182">
        <f t="shared" si="2"/>
        <v>14625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str">
        <f>IF(O67+1&lt;=MIN('Données projet'!$E$9:$E$18),O67+1,"STOP")</f>
        <v>STOP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2025-02-10T11:10:34Z</dcterms:modified>
</cp:coreProperties>
</file>