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Gascogne-Pyrénées\Fourcès (32) - Ind. ESTEVE\Doc fin\"/>
    </mc:Choice>
  </mc:AlternateContent>
  <xr:revisionPtr revIDLastSave="0" documentId="13_ncr:1_{E1B2AD5D-1A4E-4B74-861B-D68EDB932A86}" xr6:coauthVersionLast="36" xr6:coauthVersionMax="36" xr10:uidLastSave="{00000000-0000-0000-0000-000000000000}"/>
  <bookViews>
    <workbookView xWindow="0" yWindow="0" windowWidth="21570" windowHeight="9330" tabRatio="866" activeTab="1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  <sheet name="vérification" sheetId="8" state="hidden" r:id="rId8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8" l="1"/>
  <c r="K9" i="8"/>
  <c r="J9" i="8"/>
  <c r="I9" i="8"/>
  <c r="H9" i="8"/>
  <c r="G9" i="8"/>
  <c r="F9" i="8"/>
  <c r="E9" i="8"/>
  <c r="M7" i="8"/>
  <c r="M6" i="8"/>
  <c r="C3" i="8" l="1"/>
  <c r="L3" i="8"/>
  <c r="K3" i="8"/>
  <c r="J3" i="8"/>
  <c r="I3" i="8"/>
  <c r="H3" i="8"/>
  <c r="G3" i="8"/>
  <c r="F3" i="8"/>
  <c r="E3" i="8"/>
  <c r="D3" i="8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4" i="8" s="1"/>
  <c r="D11" i="1"/>
  <c r="E4" i="8" s="1"/>
  <c r="C4" i="8" l="1"/>
  <c r="I37" i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F4" i="8" s="1"/>
  <c r="D13" i="1"/>
  <c r="G4" i="8" s="1"/>
  <c r="D14" i="1"/>
  <c r="D15" i="1"/>
  <c r="D16" i="1"/>
  <c r="D17" i="1"/>
  <c r="D18" i="1"/>
  <c r="L4" i="8" s="1"/>
  <c r="U18" i="6" l="1"/>
  <c r="V18" i="6" s="1"/>
  <c r="K4" i="8"/>
  <c r="U17" i="6"/>
  <c r="V17" i="6" s="1"/>
  <c r="J4" i="8"/>
  <c r="U16" i="6"/>
  <c r="V16" i="6" s="1"/>
  <c r="I4" i="8"/>
  <c r="U15" i="6"/>
  <c r="V15" i="6" s="1"/>
  <c r="H4" i="8"/>
  <c r="M4" i="8"/>
  <c r="P66" i="6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R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C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C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FS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V105" i="2"/>
  <c r="EB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C112" i="2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EC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EB154" i="2"/>
  <c r="A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Y154" i="2"/>
  <c r="ED154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FS156" i="2" l="1"/>
  <c r="EB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D157" i="2" s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D159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EB161" i="2"/>
  <c r="ED160" i="2"/>
  <c r="EX161" i="2"/>
  <c r="EA161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Y161" i="2"/>
  <c r="DI161" i="2"/>
  <c r="EC162" i="2"/>
  <c r="EB162" i="2"/>
  <c r="HH162" i="2"/>
  <c r="HG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A163" i="2"/>
  <c r="EV163" i="2"/>
  <c r="HI163" i="2"/>
  <c r="FS163" i="2"/>
  <c r="EC163" i="2"/>
  <c r="ED163" i="2" s="1"/>
  <c r="EX163" i="2"/>
  <c r="DH163" i="2"/>
  <c r="EW163" i="2"/>
  <c r="EY163" i="2" s="1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I163" i="2" l="1"/>
  <c r="EX164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A165" i="2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HH167" i="2"/>
  <c r="EA167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EC168" i="2"/>
  <c r="DI167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Y168" i="2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EB172" i="2"/>
  <c r="EA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X173" i="2"/>
  <c r="ED172" i="2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HI175" i="2" l="1"/>
  <c r="EB175" i="2"/>
  <c r="ED174" i="2"/>
  <c r="AA175" i="2"/>
  <c r="EA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EV179" i="2"/>
  <c r="DF179" i="2"/>
  <c r="EA179" i="2"/>
  <c r="HG179" i="2"/>
  <c r="FS179" i="2"/>
  <c r="EX179" i="2"/>
  <c r="AW179" i="2"/>
  <c r="EC179" i="2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D180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D182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V185" i="2" l="1"/>
  <c r="EY184" i="2"/>
  <c r="EW185" i="2"/>
  <c r="EB185" i="2"/>
  <c r="EA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W186" i="2"/>
  <c r="EB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EY188" i="2" s="1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B189" i="2"/>
  <c r="HH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EV190" i="2"/>
  <c r="EW190" i="2"/>
  <c r="HG190" i="2"/>
  <c r="HI190" i="2"/>
  <c r="EX190" i="2"/>
  <c r="EC190" i="2"/>
  <c r="ED190" i="2" s="1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H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HG192" i="2"/>
  <c r="EA192" i="2"/>
  <c r="HI192" i="2"/>
  <c r="EC192" i="2"/>
  <c r="EV192" i="2"/>
  <c r="HH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A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ED193" i="2"/>
  <c r="EB194" i="2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EY194" i="2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Y196" i="2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D197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V199" i="2" l="1"/>
  <c r="EW199" i="2"/>
  <c r="EB199" i="2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DI200" i="2"/>
  <c r="EB201" i="2"/>
  <c r="EA201" i="2"/>
  <c r="HH201" i="2"/>
  <c r="HG201" i="2"/>
  <c r="HI201" i="2"/>
  <c r="EX201" i="2"/>
  <c r="AI5" i="2"/>
  <c r="EW201" i="2"/>
  <c r="EY201" i="2" s="1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EX202" i="2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CS77" i="2" a="1"/>
  <c r="CS77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83" i="2" a="1"/>
  <c r="BC83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C151" i="2" l="1" a="1"/>
  <c r="BC151" i="2" s="1"/>
  <c r="BC181" i="2" a="1"/>
  <c r="BC181" i="2" s="1"/>
  <c r="BC65" i="2" a="1"/>
  <c r="BC65" i="2" s="1"/>
  <c r="BC31" i="2" a="1"/>
  <c r="BC31" i="2" s="1"/>
  <c r="BC84" i="2" a="1"/>
  <c r="BC84" i="2" s="1"/>
  <c r="BC7" i="2" a="1"/>
  <c r="BC7" i="2" s="1"/>
  <c r="BD7" i="2" s="1"/>
  <c r="CS137" i="2" a="1"/>
  <c r="CS137" i="2" s="1"/>
  <c r="CS134" i="2" a="1"/>
  <c r="CS134" i="2" s="1"/>
  <c r="CS185" i="2" a="1"/>
  <c r="CS185" i="2" s="1"/>
  <c r="CS52" i="2" a="1"/>
  <c r="CS52" i="2" s="1"/>
  <c r="CS129" i="2" a="1"/>
  <c r="CS129" i="2" s="1"/>
  <c r="CS66" i="2" a="1"/>
  <c r="CS66" i="2" s="1"/>
  <c r="CS116" i="2" a="1"/>
  <c r="CS116" i="2" s="1"/>
  <c r="CS38" i="2" a="1"/>
  <c r="CS38" i="2" s="1"/>
  <c r="CS105" i="2" a="1"/>
  <c r="CS105" i="2" s="1"/>
  <c r="CS161" i="2" a="1"/>
  <c r="CS161" i="2" s="1"/>
  <c r="BC38" i="2" a="1"/>
  <c r="BC38" i="2" s="1"/>
  <c r="BC130" i="2" a="1"/>
  <c r="BC130" i="2" s="1"/>
  <c r="BC185" i="2" a="1"/>
  <c r="BC185" i="2" s="1"/>
  <c r="BC143" i="2" a="1"/>
  <c r="BC143" i="2" s="1"/>
  <c r="BC117" i="2" a="1"/>
  <c r="BC117" i="2" s="1"/>
  <c r="BC32" i="2" a="1"/>
  <c r="BC32" i="2" s="1"/>
  <c r="BC164" i="2" a="1"/>
  <c r="BC164" i="2" s="1"/>
  <c r="BC82" i="2" a="1"/>
  <c r="BC82" i="2" s="1"/>
  <c r="BC192" i="2" a="1"/>
  <c r="BC192" i="2" s="1"/>
  <c r="BC114" i="2" a="1"/>
  <c r="BC114" i="2" s="1"/>
  <c r="BC18" i="2" a="1"/>
  <c r="BC18" i="2" s="1"/>
  <c r="BC55" i="2" a="1"/>
  <c r="BC55" i="2" s="1"/>
  <c r="BC47" i="2" a="1"/>
  <c r="BC47" i="2" s="1"/>
  <c r="BX107" i="2" a="1"/>
  <c r="BX107" i="2" s="1"/>
  <c r="BC58" i="2" a="1"/>
  <c r="BC58" i="2" s="1"/>
  <c r="AH90" i="2" a="1"/>
  <c r="AH90" i="2" s="1"/>
  <c r="AH62" i="2" a="1"/>
  <c r="AH62" i="2" s="1"/>
  <c r="BC126" i="2" a="1"/>
  <c r="BC126" i="2" s="1"/>
  <c r="BC68" i="2" a="1"/>
  <c r="BC68" i="2" s="1"/>
  <c r="BC34" i="2" a="1"/>
  <c r="BC34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ED203" i="2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Y64" i="2" l="1"/>
  <c r="CY50" i="2"/>
  <c r="CY70" i="2"/>
  <c r="CY113" i="2"/>
  <c r="CY51" i="2"/>
  <c r="CY39" i="2"/>
  <c r="CY12" i="2"/>
  <c r="CY120" i="2"/>
  <c r="CY75" i="2"/>
  <c r="CY140" i="2"/>
  <c r="CY181" i="2"/>
  <c r="CY65" i="2"/>
  <c r="CY187" i="2"/>
  <c r="CY175" i="2"/>
  <c r="CY28" i="2"/>
  <c r="CY114" i="2"/>
  <c r="CY73" i="2"/>
  <c r="CY88" i="2"/>
  <c r="CY54" i="2"/>
  <c r="CY177" i="2"/>
  <c r="CY5" i="2"/>
  <c r="CY71" i="2"/>
  <c r="CY91" i="2"/>
  <c r="CY192" i="2"/>
  <c r="CY102" i="2"/>
  <c r="CY68" i="2"/>
  <c r="CY155" i="2"/>
  <c r="CY138" i="2"/>
  <c r="CY119" i="2"/>
  <c r="CY32" i="2"/>
  <c r="CY122" i="2"/>
  <c r="CY61" i="2"/>
  <c r="CY145" i="2"/>
  <c r="CY83" i="2"/>
  <c r="CY167" i="2"/>
  <c r="CY31" i="2"/>
  <c r="CY55" i="2"/>
  <c r="CY84" i="2"/>
  <c r="CY25" i="2"/>
  <c r="CY3" i="2"/>
  <c r="C10" i="4" s="1"/>
  <c r="E10" i="4" s="1"/>
  <c r="F10" i="4" s="1"/>
  <c r="G10" i="4" s="1"/>
  <c r="L10" i="4" s="1"/>
  <c r="CY157" i="2"/>
  <c r="CY46" i="2"/>
  <c r="CY97" i="2"/>
  <c r="CY60" i="2"/>
  <c r="CY149" i="2"/>
  <c r="CY200" i="2"/>
  <c r="CY87" i="2"/>
  <c r="CY137" i="2"/>
  <c r="CY156" i="2"/>
  <c r="CY186" i="2"/>
  <c r="CY178" i="2"/>
  <c r="CY168" i="2"/>
  <c r="CY47" i="2"/>
  <c r="CY44" i="2"/>
  <c r="CY34" i="2"/>
  <c r="CY98" i="2"/>
  <c r="CY196" i="2"/>
  <c r="CY146" i="2"/>
  <c r="CY21" i="2"/>
  <c r="CY11" i="2"/>
  <c r="CY22" i="2"/>
  <c r="CY169" i="2"/>
  <c r="CY121" i="2"/>
  <c r="CY19" i="2"/>
  <c r="CY191" i="2"/>
  <c r="CY29" i="2"/>
  <c r="CY131" i="2"/>
  <c r="CY53" i="2"/>
  <c r="CY199" i="2"/>
  <c r="CY93" i="2"/>
  <c r="CY193" i="2"/>
  <c r="CY66" i="2"/>
  <c r="CY128" i="2"/>
  <c r="CY95" i="2"/>
  <c r="CY4" i="2"/>
  <c r="CY148" i="2"/>
  <c r="CY173" i="2"/>
  <c r="CY82" i="2"/>
  <c r="CY89" i="2"/>
  <c r="CY151" i="2"/>
  <c r="CY118" i="2"/>
  <c r="CY189" i="2"/>
  <c r="CY139" i="2"/>
  <c r="CY37" i="2"/>
  <c r="CY85" i="2"/>
  <c r="CY124" i="2"/>
  <c r="CY99" i="2"/>
  <c r="CY161" i="2"/>
  <c r="CY69" i="2"/>
  <c r="CY81" i="2"/>
  <c r="CY6" i="2"/>
  <c r="CY45" i="2"/>
  <c r="CY58" i="2"/>
  <c r="CY92" i="2"/>
  <c r="CY174" i="2"/>
  <c r="CY30" i="2"/>
  <c r="CY96" i="2"/>
  <c r="CY170" i="2"/>
  <c r="CY111" i="2"/>
  <c r="CY43" i="2"/>
  <c r="CY35" i="2"/>
  <c r="CY130" i="2"/>
  <c r="CY115" i="2"/>
  <c r="CY103" i="2"/>
  <c r="CY132" i="2"/>
  <c r="CY74" i="2"/>
  <c r="CY90" i="2"/>
  <c r="CY41" i="2"/>
  <c r="CY202" i="2"/>
  <c r="CY48" i="2"/>
  <c r="CY123" i="2"/>
  <c r="CY77" i="2"/>
  <c r="CY117" i="2"/>
  <c r="CY13" i="2"/>
  <c r="CY112" i="2"/>
  <c r="CY143" i="2"/>
  <c r="CY183" i="2"/>
  <c r="CY141" i="2"/>
  <c r="CY109" i="2"/>
  <c r="CY116" i="2"/>
  <c r="CY52" i="2"/>
  <c r="CY180" i="2"/>
  <c r="CY127" i="2"/>
  <c r="CY142" i="2"/>
  <c r="CY86" i="2"/>
  <c r="CY201" i="2"/>
  <c r="CY105" i="2"/>
  <c r="CY7" i="2"/>
  <c r="CY101" i="2"/>
  <c r="CY23" i="2"/>
  <c r="CY14" i="2"/>
  <c r="CY42" i="2"/>
  <c r="CY80" i="2"/>
  <c r="CY150" i="2"/>
  <c r="CY20" i="2"/>
  <c r="CY107" i="2"/>
  <c r="CY76" i="2"/>
  <c r="CY129" i="2"/>
  <c r="CY147" i="2"/>
  <c r="CY100" i="2"/>
  <c r="CY182" i="2"/>
  <c r="CY10" i="2"/>
  <c r="CY106" i="2"/>
  <c r="CY79" i="2"/>
  <c r="CY38" i="2"/>
  <c r="CY125" i="2"/>
  <c r="CY36" i="2"/>
  <c r="CY33" i="2"/>
  <c r="CY154" i="2"/>
  <c r="CY57" i="2"/>
  <c r="CY94" i="2"/>
  <c r="CY164" i="2"/>
  <c r="CY15" i="2"/>
  <c r="CY144" i="2"/>
  <c r="CY136" i="2"/>
  <c r="CY188" i="2"/>
  <c r="CY159" i="2"/>
  <c r="CY165" i="2"/>
  <c r="CY135" i="2"/>
  <c r="CY40" i="2"/>
  <c r="CY59" i="2"/>
  <c r="CY104" i="2"/>
  <c r="CY185" i="2"/>
  <c r="CY110" i="2"/>
  <c r="CY56" i="2"/>
  <c r="CY24" i="2"/>
  <c r="CY133" i="2"/>
  <c r="CY17" i="2"/>
  <c r="CY158" i="2"/>
  <c r="CY184" i="2"/>
  <c r="CY163" i="2"/>
  <c r="CY179" i="2"/>
  <c r="CY9" i="2"/>
  <c r="CY134" i="2"/>
  <c r="CY197" i="2"/>
  <c r="CY194" i="2"/>
  <c r="CY62" i="2"/>
  <c r="CY67" i="2"/>
  <c r="CY8" i="2"/>
  <c r="CY18" i="2"/>
  <c r="CY172" i="2"/>
  <c r="CY72" i="2"/>
  <c r="CY49" i="2"/>
  <c r="CY160" i="2"/>
  <c r="CY166" i="2"/>
  <c r="CY108" i="2"/>
  <c r="CY195" i="2"/>
  <c r="CY162" i="2"/>
  <c r="CY126" i="2"/>
  <c r="CY16" i="2"/>
  <c r="CY153" i="2"/>
  <c r="CY152" i="2"/>
  <c r="CY171" i="2"/>
  <c r="CY63" i="2"/>
  <c r="CY198" i="2"/>
  <c r="CY203" i="2"/>
  <c r="CY78" i="2"/>
  <c r="CY190" i="2"/>
  <c r="CY176" i="2"/>
  <c r="CY26" i="2"/>
  <c r="CY27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D9" i="8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95" i="2" l="1"/>
  <c r="BI52" i="2"/>
  <c r="BI117" i="2"/>
  <c r="BI47" i="2"/>
  <c r="BI129" i="2"/>
  <c r="BI79" i="2"/>
  <c r="BI116" i="2"/>
  <c r="BI66" i="2"/>
  <c r="BI103" i="2"/>
  <c r="BI166" i="2"/>
  <c r="BI174" i="2"/>
  <c r="BI39" i="2"/>
  <c r="BI107" i="2"/>
  <c r="BI8" i="2"/>
  <c r="BI146" i="2"/>
  <c r="BI161" i="2"/>
  <c r="BI7" i="2"/>
  <c r="BI53" i="2"/>
  <c r="BI26" i="2"/>
  <c r="BI27" i="2"/>
  <c r="BI104" i="2"/>
  <c r="BI151" i="2"/>
  <c r="BI17" i="2"/>
  <c r="BI40" i="2"/>
  <c r="BI134" i="2"/>
  <c r="BI185" i="2"/>
  <c r="BI180" i="2"/>
  <c r="BI168" i="2"/>
  <c r="BI87" i="2"/>
  <c r="BI114" i="2"/>
  <c r="BI75" i="2"/>
  <c r="BI13" i="2"/>
  <c r="BI177" i="2"/>
  <c r="BI65" i="2"/>
  <c r="BI135" i="2"/>
  <c r="BI19" i="2"/>
  <c r="BI70" i="2"/>
  <c r="BI41" i="2"/>
  <c r="BI120" i="2"/>
  <c r="BI31" i="2"/>
  <c r="BI83" i="2"/>
  <c r="BI145" i="2"/>
  <c r="BI51" i="2"/>
  <c r="BI14" i="2"/>
  <c r="BI63" i="2"/>
  <c r="BI186" i="2"/>
  <c r="BI62" i="2"/>
  <c r="BI123" i="2"/>
  <c r="BI3" i="2"/>
  <c r="C8" i="4" s="1"/>
  <c r="E8" i="4" s="1"/>
  <c r="F8" i="4" s="1"/>
  <c r="G8" i="4" s="1"/>
  <c r="L8" i="4" s="1"/>
  <c r="BI37" i="2"/>
  <c r="BI100" i="2"/>
  <c r="BI163" i="2"/>
  <c r="BI60" i="2"/>
  <c r="BI121" i="2"/>
  <c r="BI85" i="2"/>
  <c r="BI24" i="2"/>
  <c r="BI183" i="2"/>
  <c r="BI88" i="2"/>
  <c r="BI156" i="2"/>
  <c r="BI169" i="2"/>
  <c r="BI76" i="2"/>
  <c r="BI6" i="2"/>
  <c r="BI101" i="2"/>
  <c r="BI138" i="2"/>
  <c r="BI201" i="2"/>
  <c r="BI131" i="2"/>
  <c r="BI157" i="2"/>
  <c r="BI20" i="2"/>
  <c r="BI58" i="2"/>
  <c r="BI23" i="2"/>
  <c r="BI126" i="2"/>
  <c r="BI172" i="2"/>
  <c r="BI68" i="2"/>
  <c r="BI109" i="2"/>
  <c r="BI12" i="2"/>
  <c r="BI32" i="2"/>
  <c r="BI55" i="2"/>
  <c r="BI71" i="2"/>
  <c r="BI142" i="2"/>
  <c r="BI44" i="2"/>
  <c r="BI61" i="2"/>
  <c r="BI69" i="2"/>
  <c r="BI90" i="2"/>
  <c r="BI22" i="2"/>
  <c r="BI45" i="2"/>
  <c r="BI132" i="2"/>
  <c r="BI159" i="2"/>
  <c r="BI59" i="2"/>
  <c r="BI48" i="2"/>
  <c r="BI67" i="2"/>
  <c r="BI33" i="2"/>
  <c r="BI182" i="2"/>
  <c r="BI200" i="2"/>
  <c r="BI46" i="2"/>
  <c r="BI141" i="2"/>
  <c r="BI130" i="2"/>
  <c r="BI196" i="2"/>
  <c r="BI113" i="2"/>
  <c r="BI49" i="2"/>
  <c r="BI122" i="2"/>
  <c r="BI34" i="2"/>
  <c r="BI77" i="2"/>
  <c r="BI93" i="2"/>
  <c r="BI140" i="2"/>
  <c r="BI36" i="2"/>
  <c r="BI192" i="2"/>
  <c r="BI38" i="2"/>
  <c r="BI194" i="2"/>
  <c r="BI50" i="2"/>
  <c r="BI158" i="2"/>
  <c r="BI127" i="2"/>
  <c r="BI28" i="2"/>
  <c r="BI184" i="2"/>
  <c r="BI128" i="2"/>
  <c r="BI80" i="2"/>
  <c r="BI119" i="2"/>
  <c r="BI165" i="2"/>
  <c r="BI91" i="2"/>
  <c r="BI154" i="2"/>
  <c r="BI74" i="2"/>
  <c r="BI111" i="2"/>
  <c r="BI115" i="2"/>
  <c r="BI96" i="2"/>
  <c r="BI199" i="2"/>
  <c r="BI136" i="2"/>
  <c r="BI72" i="2"/>
  <c r="BI9" i="2"/>
  <c r="BI82" i="2"/>
  <c r="BI195" i="2"/>
  <c r="BI84" i="2"/>
  <c r="BI108" i="2"/>
  <c r="BI153" i="2"/>
  <c r="BI30" i="2"/>
  <c r="BI16" i="2"/>
  <c r="BI11" i="2"/>
  <c r="BI193" i="2"/>
  <c r="BI118" i="2"/>
  <c r="BI102" i="2"/>
  <c r="BI178" i="2"/>
  <c r="BI170" i="2"/>
  <c r="BI81" i="2"/>
  <c r="BI190" i="2"/>
  <c r="BI147" i="2"/>
  <c r="BI10" i="2"/>
  <c r="BI148" i="2"/>
  <c r="BI149" i="2"/>
  <c r="BI89" i="2"/>
  <c r="BI137" i="2"/>
  <c r="BI164" i="2"/>
  <c r="BI99" i="2"/>
  <c r="BI203" i="2"/>
  <c r="BI94" i="2"/>
  <c r="BI97" i="2"/>
  <c r="BI197" i="2"/>
  <c r="BI110" i="2"/>
  <c r="BI143" i="2"/>
  <c r="BI139" i="2"/>
  <c r="BI42" i="2"/>
  <c r="BI181" i="2"/>
  <c r="BI124" i="2"/>
  <c r="BI105" i="2"/>
  <c r="BI112" i="2"/>
  <c r="BI18" i="2"/>
  <c r="BI35" i="2"/>
  <c r="BI162" i="2"/>
  <c r="BI175" i="2"/>
  <c r="BI21" i="2"/>
  <c r="BI179" i="2"/>
  <c r="BI15" i="2"/>
  <c r="BI29" i="2"/>
  <c r="BI98" i="2"/>
  <c r="BI191" i="2"/>
  <c r="BI25" i="2"/>
  <c r="BI73" i="2"/>
  <c r="BI54" i="2"/>
  <c r="BI4" i="2"/>
  <c r="BI125" i="2"/>
  <c r="BI106" i="2"/>
  <c r="BI152" i="2"/>
  <c r="BI171" i="2"/>
  <c r="BI144" i="2"/>
  <c r="BI160" i="2"/>
  <c r="BI155" i="2"/>
  <c r="BI202" i="2"/>
  <c r="BI56" i="2"/>
  <c r="BI150" i="2"/>
  <c r="BI5" i="2"/>
  <c r="BI64" i="2"/>
  <c r="BI43" i="2"/>
  <c r="BI187" i="2"/>
  <c r="BI198" i="2"/>
  <c r="BI176" i="2"/>
  <c r="BI133" i="2"/>
  <c r="BI92" i="2"/>
  <c r="BI78" i="2"/>
  <c r="BI86" i="2"/>
  <c r="BI188" i="2"/>
  <c r="BI173" i="2"/>
  <c r="BI189" i="2"/>
  <c r="BI57" i="2"/>
  <c r="BI167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C9" i="8" s="1"/>
  <c r="F16" i="4"/>
  <c r="M9" i="8" l="1"/>
  <c r="BS161" i="2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<sst xmlns="http://schemas.openxmlformats.org/spreadsheetml/2006/main" count="1182" uniqueCount="332">
  <si>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</si>
  <si>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</si>
  <si>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</si>
  <si>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</si>
  <si>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</si>
  <si>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</si>
  <si>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</si>
  <si>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</si>
  <si>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</si>
  <si>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</si>
  <si>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</si>
  <si>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</si>
  <si>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</si>
  <si>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</si>
  <si>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</si>
  <si>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</si>
  <si>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</si>
  <si>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</si>
  <si>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</si>
  <si>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</si>
  <si>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</si>
  <si>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</si>
  <si>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</si>
  <si>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</si>
  <si>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</si>
  <si>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</si>
  <si>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</si>
  <si>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</si>
  <si>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</si>
  <si>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</si>
  <si>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</si>
  <si>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</si>
  <si>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</si>
  <si>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</si>
  <si>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</si>
  <si>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</si>
  <si>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</si>
  <si>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</si>
  <si>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</si>
  <si>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</si>
  <si>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</si>
  <si>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</si>
  <si>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</si>
  <si>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</si>
  <si>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</si>
  <si>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</si>
  <si>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</si>
  <si>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</si>
  <si>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</si>
  <si>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</si>
  <si>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</si>
  <si>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</si>
  <si>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</si>
  <si>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</si>
  <si>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</si>
  <si>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</si>
  <si>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</si>
  <si>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</si>
  <si>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</si>
  <si>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</si>
  <si>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</si>
  <si>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</si>
  <si>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</si>
  <si>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</si>
  <si>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</si>
  <si>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</si>
  <si>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</si>
  <si>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</si>
  <si>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</si>
  <si>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</si>
  <si>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</si>
  <si>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</si>
  <si>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</si>
  <si>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</si>
  <si>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</si>
  <si>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</si>
  <si>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</si>
  <si>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</si>
  <si>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</si>
  <si>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</si>
  <si>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</si>
  <si>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</si>
  <si>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</si>
  <si>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</si>
  <si>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</si>
  <si>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</si>
  <si>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</si>
  <si>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</si>
  <si>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</si>
  <si>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</si>
  <si>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</si>
  <si>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</si>
  <si>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</si>
  <si>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</si>
  <si>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</si>
  <si>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</si>
  <si>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</si>
  <si>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</si>
  <si>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</si>
  <si>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</si>
  <si>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</si>
  <si>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</si>
  <si>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</si>
  <si>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</si>
  <si>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</si>
  <si>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</si>
  <si>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</si>
  <si>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</si>
  <si>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</si>
  <si>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</si>
  <si>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</si>
  <si>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</si>
  <si>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</si>
  <si>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</si>
  <si>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</si>
  <si>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</si>
  <si>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</si>
  <si>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</si>
  <si>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</si>
  <si>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</si>
  <si>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</si>
  <si>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</si>
  <si>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</si>
  <si>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</si>
  <si>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</si>
  <si>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</si>
  <si>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</si>
  <si>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</si>
  <si>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</si>
  <si>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</si>
  <si>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</si>
  <si>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</si>
  <si>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</si>
  <si>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</si>
  <si>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</si>
  <si>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</si>
  <si>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</si>
  <si>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</si>
  <si>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</si>
  <si>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</si>
  <si>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</si>
  <si>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</si>
  <si>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</si>
  <si>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</si>
  <si>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</si>
  <si>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</si>
  <si>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</si>
  <si>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</si>
  <si>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</si>
  <si>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</si>
  <si>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</si>
  <si>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</si>
  <si>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</si>
  <si>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</si>
  <si>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</si>
  <si>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</si>
  <si>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</si>
  <si>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</si>
  <si>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</si>
  <si>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</si>
  <si>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</si>
  <si>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</si>
  <si>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</si>
  <si>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</si>
  <si>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</si>
  <si>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</si>
  <si>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</si>
  <si>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</si>
  <si>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</si>
  <si>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</si>
  <si>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</si>
  <si>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</si>
  <si>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</si>
  <si>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</si>
  <si>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</si>
  <si>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</si>
  <si>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</si>
  <si>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</si>
  <si>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</si>
  <si>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</si>
  <si>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</si>
  <si>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</si>
  <si>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</si>
  <si>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</si>
  <si>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</si>
  <si>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</si>
  <si>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</si>
  <si>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</si>
  <si>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</si>
  <si>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</si>
  <si>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</si>
  <si>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</si>
  <si>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</si>
  <si>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</si>
  <si>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</si>
  <si>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</si>
  <si>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</si>
  <si>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</si>
  <si>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</si>
  <si>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</si>
  <si>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</si>
  <si>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</si>
  <si>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</si>
  <si>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</si>
  <si>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</si>
  <si>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</si>
  <si>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</si>
  <si>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</si>
  <si>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</si>
  <si>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</si>
  <si>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</si>
  <si>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</si>
  <si>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</si>
  <si>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</si>
  <si>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</si>
  <si>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</si>
  <si>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</si>
  <si>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</si>
  <si>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</si>
  <si>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</si>
  <si>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</si>
  <si>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</si>
  <si>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</si>
  <si>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</si>
  <si>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</si>
  <si>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</si>
  <si>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</si>
  <si>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</si>
  <si>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</si>
  <si>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</si>
  <si>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</si>
  <si>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</si>
  <si>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</si>
  <si>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</si>
  <si>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</si>
  <si>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</si>
  <si>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</si>
  <si>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</si>
  <si>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</si>
  <si>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</si>
  <si>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</si>
  <si>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</si>
  <si>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</si>
  <si>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</si>
  <si>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</si>
  <si>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</si>
  <si>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</si>
  <si>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</si>
  <si>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</si>
  <si>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</si>
  <si>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</si>
  <si>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</si>
  <si>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</si>
  <si>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</si>
  <si>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</si>
  <si>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</si>
  <si>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</si>
  <si>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</si>
  <si>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</si>
  <si>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</si>
  <si>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</si>
  <si>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</si>
  <si>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</si>
  <si>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</si>
  <si>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</si>
  <si>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</si>
  <si>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</si>
  <si>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</si>
  <si>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</si>
  <si>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</si>
  <si>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</si>
  <si>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</si>
  <si>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</si>
  <si>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</si>
  <si>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</si>
  <si>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</si>
  <si>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</si>
  <si>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</si>
  <si>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</si>
  <si>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</si>
  <si>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</si>
  <si>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</si>
  <si>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</si>
  <si>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</si>
  <si>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</si>
  <si>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</si>
  <si>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</si>
  <si>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</si>
  <si>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</si>
  <si>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</si>
  <si>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</si>
  <si>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</si>
  <si>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</si>
  <si>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</si>
  <si>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</si>
  <si>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</si>
  <si>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</si>
  <si>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</si>
  <si>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</si>
  <si>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</si>
  <si>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</si>
  <si>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</si>
  <si>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</si>
  <si>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</si>
  <si>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</si>
  <si>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</si>
  <si>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</si>
  <si>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</si>
  <si>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</si>
  <si>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</si>
  <si>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</si>
  <si>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</si>
  <si>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</si>
  <si>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</si>
  <si>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</si>
  <si>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</si>
  <si>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</si>
  <si>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</si>
  <si>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</si>
  <si>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</si>
  <si>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</si>
  <si>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</si>
  <si>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</si>
  <si>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</si>
  <si>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Répartition de essences</t>
  </si>
  <si>
    <t>Essences prévues</t>
  </si>
  <si>
    <t>Surfaces doc 8</t>
  </si>
  <si>
    <t>Essence planté</t>
  </si>
  <si>
    <t>Total</t>
  </si>
  <si>
    <t>Nombre de plants</t>
  </si>
  <si>
    <t>Densité essence objectif</t>
  </si>
  <si>
    <t>écart 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</si>
</sst>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€_-;\-* #,##0.00\ _€_-;_-* &quot;-&quot;??\ _€_-;_-@_-"/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  <numFmt numFmtId="169" formatCode="0&quot; plants/ha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1"/>
      <color rgb="FFFF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36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3" fontId="10" fillId="21" borderId="1" xfId="3" applyFont="1" applyFill="1" applyBorder="1" applyAlignment="1">
      <alignment horizontal="center" vertical="center"/>
    </xf>
    <xf numFmtId="0" fontId="10" fillId="21" borderId="1" xfId="0" applyFont="1" applyFill="1" applyBorder="1" applyAlignment="1">
      <alignment horizontal="center" vertical="center"/>
    </xf>
    <xf numFmtId="169" fontId="0" fillId="0" borderId="1" xfId="0" applyNumberFormat="1" applyBorder="1" applyAlignment="1">
      <alignment horizontal="center" vertical="center"/>
    </xf>
    <xf numFmtId="43" fontId="10" fillId="21" borderId="4" xfId="3" applyFont="1" applyFill="1" applyBorder="1" applyAlignment="1">
      <alignment horizontal="center" vertical="center"/>
    </xf>
    <xf numFmtId="0" fontId="10" fillId="21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21" borderId="54" xfId="0" applyFont="1" applyFill="1" applyBorder="1" applyAlignment="1">
      <alignment horizontal="center" vertical="center"/>
    </xf>
    <xf numFmtId="2" fontId="10" fillId="21" borderId="46" xfId="0" applyNumberFormat="1" applyFont="1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2" fontId="0" fillId="5" borderId="18" xfId="0" applyNumberFormat="1" applyFill="1" applyBorder="1" applyAlignment="1">
      <alignment horizontal="center" vertical="center"/>
    </xf>
    <xf numFmtId="0" fontId="0" fillId="22" borderId="0" xfId="0" applyFill="1"/>
    <xf numFmtId="2" fontId="0" fillId="22" borderId="0" xfId="0" applyNumberFormat="1" applyFill="1"/>
    <xf numFmtId="2" fontId="11" fillId="5" borderId="55" xfId="0" applyNumberFormat="1" applyFont="1" applyFill="1" applyBorder="1" applyAlignment="1">
      <alignment horizontal="center" vertical="center"/>
    </xf>
    <xf numFmtId="1" fontId="10" fillId="23" borderId="55" xfId="0" applyNumberFormat="1" applyFont="1" applyFill="1" applyBorder="1" applyAlignment="1">
      <alignment horizontal="center" vertical="center"/>
    </xf>
    <xf numFmtId="2" fontId="10" fillId="23" borderId="55" xfId="0" applyNumberFormat="1" applyFont="1" applyFill="1" applyBorder="1" applyAlignment="1">
      <alignment horizontal="center" vertical="center"/>
    </xf>
    <xf numFmtId="0" fontId="10" fillId="21" borderId="56" xfId="0" applyFont="1" applyFill="1" applyBorder="1" applyAlignment="1">
      <alignment horizontal="center" vertical="center"/>
    </xf>
    <xf numFmtId="0" fontId="10" fillId="21" borderId="55" xfId="0" applyFont="1" applyFill="1" applyBorder="1" applyAlignment="1">
      <alignment horizontal="center" vertical="center"/>
    </xf>
    <xf numFmtId="0" fontId="10" fillId="21" borderId="57" xfId="0" applyFont="1" applyFill="1" applyBorder="1" applyAlignment="1">
      <alignment horizontal="center" vertical="center"/>
    </xf>
    <xf numFmtId="43" fontId="32" fillId="5" borderId="1" xfId="3" applyFont="1" applyFill="1" applyBorder="1" applyAlignment="1">
      <alignment horizontal="center" vertical="center"/>
    </xf>
    <xf numFmtId="43" fontId="32" fillId="5" borderId="55" xfId="3" applyFont="1" applyFill="1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</cellXfs>
  <cellStyles count="4">
    <cellStyle name="Lien hypertexte" xfId="2" builtinId="8"/>
    <cellStyle name="Milliers" xfId="3" builtinId="3"/>
    <cellStyle name="Normal" xfId="0" builtinId="0"/>
    <cellStyle name="Pourcentage" xfId="1" builtinId="5"/>
  </cellStyles>
  <dxfs count="1">
    <dxf>
      <font>
        <color theme="4" tint="-0.24994659260841701"/>
      </font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4.3926046297979076</c:v>
                </c:pt>
                <c:pt idx="2">
                  <c:v>8.3612614966873711</c:v>
                </c:pt>
                <c:pt idx="3">
                  <c:v>15.935083980933408</c:v>
                </c:pt>
                <c:pt idx="4">
                  <c:v>30.405468314778947</c:v>
                </c:pt>
                <c:pt idx="5">
                  <c:v>58.082485530805052</c:v>
                </c:pt>
                <c:pt idx="6">
                  <c:v>72.155748931369416</c:v>
                </c:pt>
                <c:pt idx="7">
                  <c:v>94.133673128860323</c:v>
                </c:pt>
                <c:pt idx="8">
                  <c:v>115.98283085356282</c:v>
                </c:pt>
                <c:pt idx="9">
                  <c:v>137.73104312742694</c:v>
                </c:pt>
                <c:pt idx="10">
                  <c:v>159.39654402501074</c:v>
                </c:pt>
                <c:pt idx="11">
                  <c:v>139.70382844505221</c:v>
                </c:pt>
                <c:pt idx="12">
                  <c:v>161.362507950626</c:v>
                </c:pt>
                <c:pt idx="13">
                  <c:v>182.95230030612535</c:v>
                </c:pt>
                <c:pt idx="14">
                  <c:v>204.48248491014036</c:v>
                </c:pt>
                <c:pt idx="15">
                  <c:v>225.96022281826015</c:v>
                </c:pt>
                <c:pt idx="16">
                  <c:v>211.90768212600287</c:v>
                </c:pt>
                <c:pt idx="17">
                  <c:v>231.02975966933766</c:v>
                </c:pt>
                <c:pt idx="18">
                  <c:v>250.11566977871595</c:v>
                </c:pt>
                <c:pt idx="19">
                  <c:v>269.16856029275453</c:v>
                </c:pt>
                <c:pt idx="20">
                  <c:v>288.19109683703851</c:v>
                </c:pt>
                <c:pt idx="21">
                  <c:v>277.32465175371152</c:v>
                </c:pt>
                <c:pt idx="22">
                  <c:v>293.62085999795471</c:v>
                </c:pt>
                <c:pt idx="23">
                  <c:v>309.89688707897216</c:v>
                </c:pt>
                <c:pt idx="24">
                  <c:v>326.1539420224164</c:v>
                </c:pt>
                <c:pt idx="25">
                  <c:v>342.39310348379212</c:v>
                </c:pt>
                <c:pt idx="26">
                  <c:v>334.27569654819109</c:v>
                </c:pt>
                <c:pt idx="27">
                  <c:v>347.41603793627536</c:v>
                </c:pt>
                <c:pt idx="28">
                  <c:v>360.54547259299108</c:v>
                </c:pt>
                <c:pt idx="29">
                  <c:v>373.66445368853493</c:v>
                </c:pt>
                <c:pt idx="30">
                  <c:v>386.77339997206712</c:v>
                </c:pt>
                <c:pt idx="31">
                  <c:v>380.60570876556693</c:v>
                </c:pt>
                <c:pt idx="32">
                  <c:v>391.78307456466808</c:v>
                </c:pt>
                <c:pt idx="33">
                  <c:v>402.95352523018465</c:v>
                </c:pt>
                <c:pt idx="34">
                  <c:v>414.1172795224561</c:v>
                </c:pt>
                <c:pt idx="35">
                  <c:v>425.27454344239999</c:v>
                </c:pt>
                <c:pt idx="36">
                  <c:v>421.04322924291415</c:v>
                </c:pt>
                <c:pt idx="37">
                  <c:v>430.2740205592209</c:v>
                </c:pt>
                <c:pt idx="38">
                  <c:v>439.50055712660497</c:v>
                </c:pt>
                <c:pt idx="39">
                  <c:v>448.72294089251392</c:v>
                </c:pt>
                <c:pt idx="40">
                  <c:v>457.94126927057533</c:v>
                </c:pt>
                <c:pt idx="41">
                  <c:v>456.02111397099492</c:v>
                </c:pt>
                <c:pt idx="42">
                  <c:v>465.6201790592072</c:v>
                </c:pt>
                <c:pt idx="43">
                  <c:v>475.2150257772908</c:v>
                </c:pt>
                <c:pt idx="44">
                  <c:v>484.80575132371115</c:v>
                </c:pt>
                <c:pt idx="45">
                  <c:v>494.39244873679655</c:v>
                </c:pt>
                <c:pt idx="46">
                  <c:v>4.7119831685935622E-12</c:v>
                </c:pt>
                <c:pt idx="47">
                  <c:v>4.7119831685935622E-12</c:v>
                </c:pt>
                <c:pt idx="48">
                  <c:v>4.7119831685935622E-12</c:v>
                </c:pt>
                <c:pt idx="49">
                  <c:v>4.7119831685935622E-12</c:v>
                </c:pt>
                <c:pt idx="50">
                  <c:v>4.7119831685935622E-12</c:v>
                </c:pt>
                <c:pt idx="51">
                  <c:v>4.7119831685935622E-12</c:v>
                </c:pt>
                <c:pt idx="52">
                  <c:v>4.7119831685935622E-12</c:v>
                </c:pt>
                <c:pt idx="53">
                  <c:v>4.7119831685935622E-12</c:v>
                </c:pt>
                <c:pt idx="54">
                  <c:v>4.7119831685935622E-12</c:v>
                </c:pt>
                <c:pt idx="55">
                  <c:v>4.7119831685935622E-12</c:v>
                </c:pt>
                <c:pt idx="56">
                  <c:v>4.7119831685935622E-12</c:v>
                </c:pt>
                <c:pt idx="57">
                  <c:v>4.7119831685935622E-12</c:v>
                </c:pt>
                <c:pt idx="58">
                  <c:v>4.7119831685935622E-12</c:v>
                </c:pt>
                <c:pt idx="59">
                  <c:v>4.7119831685935622E-12</c:v>
                </c:pt>
                <c:pt idx="60">
                  <c:v>4.7119831685935622E-12</c:v>
                </c:pt>
                <c:pt idx="61">
                  <c:v>4.7119831685935622E-12</c:v>
                </c:pt>
                <c:pt idx="62">
                  <c:v>4.7119831685935622E-12</c:v>
                </c:pt>
                <c:pt idx="63">
                  <c:v>4.7119831685935622E-12</c:v>
                </c:pt>
                <c:pt idx="64">
                  <c:v>4.7119831685935622E-12</c:v>
                </c:pt>
                <c:pt idx="65">
                  <c:v>4.7119831685935622E-12</c:v>
                </c:pt>
                <c:pt idx="66">
                  <c:v>4.7119831685935622E-12</c:v>
                </c:pt>
                <c:pt idx="67">
                  <c:v>4.7119831685935622E-12</c:v>
                </c:pt>
                <c:pt idx="68">
                  <c:v>4.7119831685935622E-12</c:v>
                </c:pt>
                <c:pt idx="69">
                  <c:v>4.7119831685935622E-12</c:v>
                </c:pt>
                <c:pt idx="70">
                  <c:v>4.7119831685935622E-12</c:v>
                </c:pt>
                <c:pt idx="71">
                  <c:v>4.7119831685935622E-12</c:v>
                </c:pt>
                <c:pt idx="72">
                  <c:v>4.7119831685935622E-12</c:v>
                </c:pt>
                <c:pt idx="73">
                  <c:v>4.7119831685935622E-12</c:v>
                </c:pt>
                <c:pt idx="74">
                  <c:v>4.7119831685935622E-12</c:v>
                </c:pt>
                <c:pt idx="75">
                  <c:v>4.7119831685935622E-12</c:v>
                </c:pt>
                <c:pt idx="76">
                  <c:v>4.7119831685935622E-12</c:v>
                </c:pt>
                <c:pt idx="77">
                  <c:v>4.7119831685935622E-12</c:v>
                </c:pt>
                <c:pt idx="78">
                  <c:v>4.7119831685935622E-12</c:v>
                </c:pt>
                <c:pt idx="79">
                  <c:v>4.7119831685935622E-12</c:v>
                </c:pt>
                <c:pt idx="80">
                  <c:v>4.7119831685935622E-12</c:v>
                </c:pt>
                <c:pt idx="81">
                  <c:v>4.7119831685935622E-12</c:v>
                </c:pt>
                <c:pt idx="82">
                  <c:v>4.7119831685935622E-12</c:v>
                </c:pt>
                <c:pt idx="83">
                  <c:v>4.7119831685935622E-12</c:v>
                </c:pt>
                <c:pt idx="84">
                  <c:v>4.7119831685935622E-12</c:v>
                </c:pt>
                <c:pt idx="85">
                  <c:v>4.7119831685935622E-12</c:v>
                </c:pt>
                <c:pt idx="86">
                  <c:v>4.7119831685935622E-12</c:v>
                </c:pt>
                <c:pt idx="87">
                  <c:v>4.7119831685935622E-12</c:v>
                </c:pt>
                <c:pt idx="88">
                  <c:v>4.7119831685935622E-12</c:v>
                </c:pt>
                <c:pt idx="89">
                  <c:v>4.7119831685935622E-12</c:v>
                </c:pt>
                <c:pt idx="90">
                  <c:v>4.7119831685935622E-12</c:v>
                </c:pt>
                <c:pt idx="91">
                  <c:v>4.7119831685935622E-12</c:v>
                </c:pt>
                <c:pt idx="92">
                  <c:v>4.7119831685935622E-12</c:v>
                </c:pt>
                <c:pt idx="93">
                  <c:v>4.7119831685935622E-12</c:v>
                </c:pt>
                <c:pt idx="94">
                  <c:v>4.7119831685935622E-12</c:v>
                </c:pt>
                <c:pt idx="95">
                  <c:v>4.7119831685935622E-12</c:v>
                </c:pt>
                <c:pt idx="96">
                  <c:v>4.7119831685935622E-12</c:v>
                </c:pt>
                <c:pt idx="97">
                  <c:v>4.7119831685935622E-12</c:v>
                </c:pt>
                <c:pt idx="98">
                  <c:v>4.7119831685935622E-12</c:v>
                </c:pt>
                <c:pt idx="99">
                  <c:v>4.7119831685935622E-12</c:v>
                </c:pt>
                <c:pt idx="100">
                  <c:v>4.7119831685935622E-12</c:v>
                </c:pt>
                <c:pt idx="101">
                  <c:v>4.7119831685935622E-12</c:v>
                </c:pt>
                <c:pt idx="102">
                  <c:v>4.7119831685935622E-12</c:v>
                </c:pt>
                <c:pt idx="103">
                  <c:v>4.7119831685935622E-12</c:v>
                </c:pt>
                <c:pt idx="104">
                  <c:v>4.7119831685935622E-12</c:v>
                </c:pt>
                <c:pt idx="105">
                  <c:v>4.7119831685935622E-12</c:v>
                </c:pt>
                <c:pt idx="106">
                  <c:v>4.7119831685935622E-12</c:v>
                </c:pt>
                <c:pt idx="107">
                  <c:v>4.7119831685935622E-12</c:v>
                </c:pt>
                <c:pt idx="108">
                  <c:v>4.7119831685935622E-12</c:v>
                </c:pt>
                <c:pt idx="109">
                  <c:v>4.7119831685935622E-12</c:v>
                </c:pt>
                <c:pt idx="110">
                  <c:v>4.7119831685935622E-12</c:v>
                </c:pt>
                <c:pt idx="111">
                  <c:v>4.7119831685935622E-12</c:v>
                </c:pt>
                <c:pt idx="112">
                  <c:v>4.7119831685935622E-12</c:v>
                </c:pt>
                <c:pt idx="113">
                  <c:v>4.7119831685935622E-12</c:v>
                </c:pt>
                <c:pt idx="114">
                  <c:v>4.7119831685935622E-12</c:v>
                </c:pt>
                <c:pt idx="115">
                  <c:v>4.7119831685935622E-12</c:v>
                </c:pt>
                <c:pt idx="116">
                  <c:v>4.7119831685935622E-12</c:v>
                </c:pt>
                <c:pt idx="117">
                  <c:v>4.7119831685935622E-12</c:v>
                </c:pt>
                <c:pt idx="118">
                  <c:v>4.7119831685935622E-12</c:v>
                </c:pt>
                <c:pt idx="119">
                  <c:v>4.7119831685935622E-12</c:v>
                </c:pt>
                <c:pt idx="120">
                  <c:v>4.7119831685935622E-12</c:v>
                </c:pt>
                <c:pt idx="121">
                  <c:v>4.7119831685935622E-12</c:v>
                </c:pt>
                <c:pt idx="122">
                  <c:v>4.7119831685935622E-12</c:v>
                </c:pt>
                <c:pt idx="123">
                  <c:v>4.7119831685935622E-12</c:v>
                </c:pt>
                <c:pt idx="124">
                  <c:v>4.7119831685935622E-12</c:v>
                </c:pt>
                <c:pt idx="125">
                  <c:v>4.7119831685935622E-12</c:v>
                </c:pt>
                <c:pt idx="126">
                  <c:v>4.7119831685935622E-12</c:v>
                </c:pt>
                <c:pt idx="127">
                  <c:v>4.7119831685935622E-12</c:v>
                </c:pt>
                <c:pt idx="128">
                  <c:v>4.7119831685935622E-12</c:v>
                </c:pt>
                <c:pt idx="129">
                  <c:v>4.7119831685935622E-12</c:v>
                </c:pt>
                <c:pt idx="130">
                  <c:v>4.7119831685935622E-12</c:v>
                </c:pt>
                <c:pt idx="131">
                  <c:v>4.7119831685935622E-12</c:v>
                </c:pt>
                <c:pt idx="132">
                  <c:v>4.7119831685935622E-12</c:v>
                </c:pt>
                <c:pt idx="133">
                  <c:v>4.7119831685935622E-12</c:v>
                </c:pt>
                <c:pt idx="134">
                  <c:v>4.7119831685935622E-12</c:v>
                </c:pt>
                <c:pt idx="135">
                  <c:v>4.7119831685935622E-12</c:v>
                </c:pt>
                <c:pt idx="136">
                  <c:v>4.7119831685935622E-12</c:v>
                </c:pt>
                <c:pt idx="137">
                  <c:v>4.7119831685935622E-12</c:v>
                </c:pt>
                <c:pt idx="138">
                  <c:v>4.7119831685935622E-12</c:v>
                </c:pt>
                <c:pt idx="139">
                  <c:v>4.7119831685935622E-12</c:v>
                </c:pt>
                <c:pt idx="140">
                  <c:v>4.7119831685935622E-12</c:v>
                </c:pt>
                <c:pt idx="141">
                  <c:v>4.7119831685935622E-12</c:v>
                </c:pt>
                <c:pt idx="142">
                  <c:v>4.7119831685935622E-12</c:v>
                </c:pt>
                <c:pt idx="143">
                  <c:v>4.7119831685935622E-12</c:v>
                </c:pt>
                <c:pt idx="144">
                  <c:v>4.7119831685935622E-12</c:v>
                </c:pt>
                <c:pt idx="145">
                  <c:v>4.7119831685935622E-12</c:v>
                </c:pt>
                <c:pt idx="146">
                  <c:v>4.7119831685935622E-12</c:v>
                </c:pt>
                <c:pt idx="147">
                  <c:v>4.7119831685935622E-12</c:v>
                </c:pt>
                <c:pt idx="148">
                  <c:v>4.7119831685935622E-12</c:v>
                </c:pt>
                <c:pt idx="149">
                  <c:v>4.7119831685935622E-12</c:v>
                </c:pt>
                <c:pt idx="150">
                  <c:v>4.7119831685935622E-12</c:v>
                </c:pt>
                <c:pt idx="151">
                  <c:v>4.7119831685935622E-12</c:v>
                </c:pt>
                <c:pt idx="152">
                  <c:v>4.7119831685935622E-12</c:v>
                </c:pt>
                <c:pt idx="153">
                  <c:v>4.7119831685935622E-12</c:v>
                </c:pt>
                <c:pt idx="154">
                  <c:v>4.7119831685935622E-12</c:v>
                </c:pt>
                <c:pt idx="155">
                  <c:v>4.7119831685935622E-12</c:v>
                </c:pt>
                <c:pt idx="156">
                  <c:v>4.7119831685935622E-12</c:v>
                </c:pt>
                <c:pt idx="157">
                  <c:v>4.7119831685935622E-12</c:v>
                </c:pt>
                <c:pt idx="158">
                  <c:v>4.7119831685935622E-12</c:v>
                </c:pt>
                <c:pt idx="159">
                  <c:v>4.7119831685935622E-12</c:v>
                </c:pt>
                <c:pt idx="160">
                  <c:v>4.7119831685935622E-12</c:v>
                </c:pt>
                <c:pt idx="161">
                  <c:v>4.7119831685935622E-12</c:v>
                </c:pt>
                <c:pt idx="162">
                  <c:v>4.7119831685935622E-12</c:v>
                </c:pt>
                <c:pt idx="163">
                  <c:v>4.7119831685935622E-12</c:v>
                </c:pt>
                <c:pt idx="164">
                  <c:v>4.7119831685935622E-12</c:v>
                </c:pt>
                <c:pt idx="165">
                  <c:v>4.7119831685935622E-12</c:v>
                </c:pt>
                <c:pt idx="166">
                  <c:v>4.7119831685935622E-12</c:v>
                </c:pt>
                <c:pt idx="167">
                  <c:v>4.7119831685935622E-12</c:v>
                </c:pt>
                <c:pt idx="168">
                  <c:v>4.7119831685935622E-12</c:v>
                </c:pt>
                <c:pt idx="169">
                  <c:v>4.7119831685935622E-12</c:v>
                </c:pt>
                <c:pt idx="170">
                  <c:v>4.7119831685935622E-12</c:v>
                </c:pt>
                <c:pt idx="171">
                  <c:v>4.7119831685935622E-12</c:v>
                </c:pt>
                <c:pt idx="172">
                  <c:v>4.7119831685935622E-12</c:v>
                </c:pt>
                <c:pt idx="173">
                  <c:v>4.7119831685935622E-12</c:v>
                </c:pt>
                <c:pt idx="174">
                  <c:v>4.7119831685935622E-12</c:v>
                </c:pt>
                <c:pt idx="175">
                  <c:v>4.7119831685935622E-12</c:v>
                </c:pt>
                <c:pt idx="176">
                  <c:v>4.7119831685935622E-12</c:v>
                </c:pt>
                <c:pt idx="177">
                  <c:v>4.7119831685935622E-12</c:v>
                </c:pt>
                <c:pt idx="178">
                  <c:v>4.7119831685935622E-12</c:v>
                </c:pt>
                <c:pt idx="179">
                  <c:v>4.7119831685935622E-12</c:v>
                </c:pt>
                <c:pt idx="180">
                  <c:v>4.7119831685935622E-12</c:v>
                </c:pt>
                <c:pt idx="181">
                  <c:v>4.7119831685935622E-12</c:v>
                </c:pt>
                <c:pt idx="182">
                  <c:v>4.7119831685935622E-12</c:v>
                </c:pt>
                <c:pt idx="183">
                  <c:v>4.7119831685935622E-12</c:v>
                </c:pt>
                <c:pt idx="184">
                  <c:v>4.7119831685935622E-12</c:v>
                </c:pt>
                <c:pt idx="185">
                  <c:v>4.7119831685935622E-12</c:v>
                </c:pt>
                <c:pt idx="186">
                  <c:v>4.7119831685935622E-12</c:v>
                </c:pt>
                <c:pt idx="187">
                  <c:v>4.7119831685935622E-12</c:v>
                </c:pt>
                <c:pt idx="188">
                  <c:v>4.7119831685935622E-12</c:v>
                </c:pt>
                <c:pt idx="189">
                  <c:v>4.7119831685935622E-12</c:v>
                </c:pt>
                <c:pt idx="190">
                  <c:v>4.7119831685935622E-12</c:v>
                </c:pt>
                <c:pt idx="191">
                  <c:v>4.7119831685935622E-12</c:v>
                </c:pt>
                <c:pt idx="192">
                  <c:v>4.7119831685935622E-12</c:v>
                </c:pt>
                <c:pt idx="193">
                  <c:v>4.7119831685935622E-12</c:v>
                </c:pt>
                <c:pt idx="194">
                  <c:v>4.7119831685935622E-12</c:v>
                </c:pt>
                <c:pt idx="195">
                  <c:v>4.7119831685935622E-12</c:v>
                </c:pt>
                <c:pt idx="196">
                  <c:v>4.7119831685935622E-12</c:v>
                </c:pt>
                <c:pt idx="197">
                  <c:v>4.7119831685935622E-12</c:v>
                </c:pt>
                <c:pt idx="198">
                  <c:v>4.7119831685935622E-12</c:v>
                </c:pt>
                <c:pt idx="199">
                  <c:v>4.7119831685935622E-12</c:v>
                </c:pt>
                <c:pt idx="200">
                  <c:v>4.7119831685935622E-12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vérification!$B$6</c:f>
              <c:strCache>
                <c:ptCount val="1"/>
                <c:pt idx="0">
                  <c:v>Nombre de plants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0FC-4260-B990-81E35A5401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0FC-4260-B990-81E35A5401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0FC-4260-B990-81E35A5401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0FC-4260-B990-81E35A5401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0FC-4260-B990-81E35A5401D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0FC-4260-B990-81E35A5401D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0FC-4260-B990-81E35A5401D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0FC-4260-B990-81E35A5401D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0FC-4260-B990-81E35A5401D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0FC-4260-B990-81E35A5401D6}"/>
              </c:ext>
            </c:extLst>
          </c:dPt>
          <c:cat>
            <c:numRef>
              <c:f>vérification!$C$5:$L$5</c:f>
              <c:numCache>
                <c:formatCode>General</c:formatCode>
                <c:ptCount val="10"/>
              </c:numCache>
            </c:numRef>
          </c:cat>
          <c:val>
            <c:numRef>
              <c:f>vérification!$C$6:$L$6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0-A5E7-4173-BF31-C2A9A3407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3.0390461285480193</c:v>
                </c:pt>
                <c:pt idx="2">
                  <c:v>3.5820082011770853</c:v>
                </c:pt>
                <c:pt idx="3">
                  <c:v>4.2223305446090311</c:v>
                </c:pt>
                <c:pt idx="4">
                  <c:v>4.9775309648326838</c:v>
                </c:pt>
                <c:pt idx="5">
                  <c:v>5.868289290782422</c:v>
                </c:pt>
                <c:pt idx="6">
                  <c:v>6.919019824455714</c:v>
                </c:pt>
                <c:pt idx="7">
                  <c:v>8.1585477106915896</c:v>
                </c:pt>
                <c:pt idx="8">
                  <c:v>9.6209081390309201</c:v>
                </c:pt>
                <c:pt idx="9">
                  <c:v>11.346290739854856</c:v>
                </c:pt>
                <c:pt idx="10">
                  <c:v>13.382155617350314</c:v>
                </c:pt>
                <c:pt idx="11">
                  <c:v>15.784552288259455</c:v>
                </c:pt>
                <c:pt idx="12">
                  <c:v>18.619678504496793</c:v>
                </c:pt>
                <c:pt idx="13">
                  <c:v>21.965722691301057</c:v>
                </c:pt>
                <c:pt idx="14">
                  <c:v>25.915041722051782</c:v>
                </c:pt>
                <c:pt idx="15">
                  <c:v>30.576735202784167</c:v>
                </c:pt>
                <c:pt idx="16">
                  <c:v>36.079688621942118</c:v>
                </c:pt>
                <c:pt idx="17">
                  <c:v>42.576170951428125</c:v>
                </c:pt>
                <c:pt idx="18">
                  <c:v>50.246087939256903</c:v>
                </c:pt>
                <c:pt idx="19">
                  <c:v>59.302010856844014</c:v>
                </c:pt>
                <c:pt idx="20">
                  <c:v>69.995122381643057</c:v>
                </c:pt>
                <c:pt idx="21">
                  <c:v>82.62224723173459</c:v>
                </c:pt>
                <c:pt idx="22">
                  <c:v>97.534165860904935</c:v>
                </c:pt>
                <c:pt idx="23">
                  <c:v>115.14544584424293</c:v>
                </c:pt>
                <c:pt idx="24">
                  <c:v>135.94606856949596</c:v>
                </c:pt>
                <c:pt idx="25">
                  <c:v>160.51517972277688</c:v>
                </c:pt>
                <c:pt idx="26">
                  <c:v>158.31162856255909</c:v>
                </c:pt>
                <c:pt idx="27">
                  <c:v>173.72181380960993</c:v>
                </c:pt>
                <c:pt idx="28">
                  <c:v>189.09987078266829</c:v>
                </c:pt>
                <c:pt idx="29">
                  <c:v>204.4487812295192</c:v>
                </c:pt>
                <c:pt idx="30">
                  <c:v>219.7710421086791</c:v>
                </c:pt>
                <c:pt idx="31">
                  <c:v>190.85545638141195</c:v>
                </c:pt>
                <c:pt idx="32">
                  <c:v>207.95327986760662</c:v>
                </c:pt>
                <c:pt idx="33">
                  <c:v>225.01864445582441</c:v>
                </c:pt>
                <c:pt idx="34">
                  <c:v>242.05435856211645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249.90766763554748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304.73423115701871</c:v>
                </c:pt>
                <c:pt idx="41">
                  <c:v>277.35142797945286</c:v>
                </c:pt>
                <c:pt idx="42">
                  <c:v>295.61299167711019</c:v>
                </c:pt>
                <c:pt idx="43">
                  <c:v>313.84940040812506</c:v>
                </c:pt>
                <c:pt idx="44">
                  <c:v>332.06232108561716</c:v>
                </c:pt>
                <c:pt idx="45">
                  <c:v>350.25322285655176</c:v>
                </c:pt>
                <c:pt idx="46">
                  <c:v>322.95870071836066</c:v>
                </c:pt>
                <c:pt idx="47">
                  <c:v>341.16043929184929</c:v>
                </c:pt>
                <c:pt idx="48">
                  <c:v>359.34082988600289</c:v>
                </c:pt>
                <c:pt idx="49">
                  <c:v>377.50110417225511</c:v>
                </c:pt>
                <c:pt idx="50">
                  <c:v>395.64236567985591</c:v>
                </c:pt>
                <c:pt idx="51">
                  <c:v>367.55861487745005</c:v>
                </c:pt>
                <c:pt idx="52">
                  <c:v>384.84622774857991</c:v>
                </c:pt>
                <c:pt idx="53">
                  <c:v>402.11697226951833</c:v>
                </c:pt>
                <c:pt idx="54">
                  <c:v>419.3716746420655</c:v>
                </c:pt>
                <c:pt idx="55">
                  <c:v>436.61108755732999</c:v>
                </c:pt>
                <c:pt idx="56">
                  <c:v>407.29503182673926</c:v>
                </c:pt>
                <c:pt idx="57">
                  <c:v>423.25185013219863</c:v>
                </c:pt>
                <c:pt idx="58">
                  <c:v>439.19572410876793</c:v>
                </c:pt>
                <c:pt idx="59">
                  <c:v>455.12718968444216</c:v>
                </c:pt>
                <c:pt idx="60">
                  <c:v>471.04674221919907</c:v>
                </c:pt>
                <c:pt idx="61">
                  <c:v>441.34933861906433</c:v>
                </c:pt>
                <c:pt idx="62">
                  <c:v>456.84878825602203</c:v>
                </c:pt>
                <c:pt idx="63">
                  <c:v>472.33700882458038</c:v>
                </c:pt>
                <c:pt idx="64">
                  <c:v>487.81442026172436</c:v>
                </c:pt>
                <c:pt idx="65">
                  <c:v>503.28141369303734</c:v>
                </c:pt>
                <c:pt idx="66">
                  <c:v>472.76708100439265</c:v>
                </c:pt>
                <c:pt idx="67">
                  <c:v>487.38463458913157</c:v>
                </c:pt>
                <c:pt idx="68">
                  <c:v>501.99288641186803</c:v>
                </c:pt>
                <c:pt idx="69">
                  <c:v>516.59214520035437</c:v>
                </c:pt>
                <c:pt idx="70">
                  <c:v>531.18270081556841</c:v>
                </c:pt>
                <c:pt idx="71">
                  <c:v>499.84518527975473</c:v>
                </c:pt>
                <c:pt idx="72">
                  <c:v>513.58713617235435</c:v>
                </c:pt>
                <c:pt idx="73">
                  <c:v>527.32132625656061</c:v>
                </c:pt>
                <c:pt idx="74">
                  <c:v>541.04798608205112</c:v>
                </c:pt>
                <c:pt idx="75">
                  <c:v>554.76733354996077</c:v>
                </c:pt>
                <c:pt idx="76">
                  <c:v>522.60105914818303</c:v>
                </c:pt>
                <c:pt idx="77">
                  <c:v>535.47242448427448</c:v>
                </c:pt>
                <c:pt idx="78">
                  <c:v>548.33728653000833</c:v>
                </c:pt>
                <c:pt idx="79">
                  <c:v>561.19581932256801</c:v>
                </c:pt>
                <c:pt idx="80">
                  <c:v>574.04818827573672</c:v>
                </c:pt>
                <c:pt idx="81">
                  <c:v>541.04798608205112</c:v>
                </c:pt>
                <c:pt idx="82">
                  <c:v>553.05280785462708</c:v>
                </c:pt>
                <c:pt idx="83">
                  <c:v>565.052169900031</c:v>
                </c:pt>
                <c:pt idx="84">
                  <c:v>577.04620447443301</c:v>
                </c:pt>
                <c:pt idx="85">
                  <c:v>589.03503788906949</c:v>
                </c:pt>
                <c:pt idx="86">
                  <c:v>555.6245547409618</c:v>
                </c:pt>
                <c:pt idx="87">
                  <c:v>567.19434879973335</c:v>
                </c:pt>
                <c:pt idx="88">
                  <c:v>578.75921052572869</c:v>
                </c:pt>
                <c:pt idx="89">
                  <c:v>590.31925234777327</c:v>
                </c:pt>
                <c:pt idx="90">
                  <c:v>601.87458193334146</c:v>
                </c:pt>
                <c:pt idx="91">
                  <c:v>567.622764260351</c:v>
                </c:pt>
                <c:pt idx="92">
                  <c:v>578.33096894357823</c:v>
                </c:pt>
                <c:pt idx="93">
                  <c:v>589.03503788906926</c:v>
                </c:pt>
                <c:pt idx="94">
                  <c:v>599.73505683441124</c:v>
                </c:pt>
                <c:pt idx="95">
                  <c:v>610.43110820893185</c:v>
                </c:pt>
                <c:pt idx="96">
                  <c:v>575.76138030334971</c:v>
                </c:pt>
                <c:pt idx="97">
                  <c:v>586.03831044894594</c:v>
                </c:pt>
                <c:pt idx="98">
                  <c:v>596.31148632519512</c:v>
                </c:pt>
                <c:pt idx="99">
                  <c:v>606.58098171901804</c:v>
                </c:pt>
                <c:pt idx="100">
                  <c:v>616.84686771553993</c:v>
                </c:pt>
                <c:pt idx="101">
                  <c:v>581.32852138015028</c:v>
                </c:pt>
                <c:pt idx="102">
                  <c:v>590.74731089993566</c:v>
                </c:pt>
                <c:pt idx="103">
                  <c:v>600.16297452894207</c:v>
                </c:pt>
                <c:pt idx="104">
                  <c:v>609.57556821855781</c:v>
                </c:pt>
                <c:pt idx="105">
                  <c:v>618.98514605149205</c:v>
                </c:pt>
                <c:pt idx="106">
                  <c:v>585.1820440334875</c:v>
                </c:pt>
                <c:pt idx="107">
                  <c:v>594.17154727265404</c:v>
                </c:pt>
                <c:pt idx="108">
                  <c:v>603.15822108828741</c:v>
                </c:pt>
                <c:pt idx="109">
                  <c:v>612.14211357944725</c:v>
                </c:pt>
                <c:pt idx="110">
                  <c:v>621.12327131831148</c:v>
                </c:pt>
                <c:pt idx="111">
                  <c:v>588.60695345087686</c:v>
                </c:pt>
                <c:pt idx="112">
                  <c:v>596.7394549467042</c:v>
                </c:pt>
                <c:pt idx="113">
                  <c:v>604.8696516932963</c:v>
                </c:pt>
                <c:pt idx="114">
                  <c:v>612.99757903900309</c:v>
                </c:pt>
                <c:pt idx="115">
                  <c:v>621.12327131831159</c:v>
                </c:pt>
                <c:pt idx="116">
                  <c:v>590.31925234777316</c:v>
                </c:pt>
                <c:pt idx="117">
                  <c:v>598.02332252750432</c:v>
                </c:pt>
                <c:pt idx="118">
                  <c:v>605.72532925827124</c:v>
                </c:pt>
                <c:pt idx="119">
                  <c:v>613.42530247966863</c:v>
                </c:pt>
                <c:pt idx="120">
                  <c:v>621.12327131831182</c:v>
                </c:pt>
                <c:pt idx="121">
                  <c:v>3.1675048597887374E-12</c:v>
                </c:pt>
                <c:pt idx="122">
                  <c:v>3.1675048597887374E-12</c:v>
                </c:pt>
                <c:pt idx="123">
                  <c:v>3.1675048597887374E-12</c:v>
                </c:pt>
                <c:pt idx="124">
                  <c:v>3.1675048597887374E-12</c:v>
                </c:pt>
                <c:pt idx="125">
                  <c:v>3.1675048597887374E-12</c:v>
                </c:pt>
                <c:pt idx="126">
                  <c:v>3.1675048597887374E-12</c:v>
                </c:pt>
                <c:pt idx="127">
                  <c:v>3.1675048597887374E-12</c:v>
                </c:pt>
                <c:pt idx="128">
                  <c:v>3.1675048597887374E-12</c:v>
                </c:pt>
                <c:pt idx="129">
                  <c:v>3.1675048597887374E-12</c:v>
                </c:pt>
                <c:pt idx="130">
                  <c:v>3.1675048597887374E-12</c:v>
                </c:pt>
                <c:pt idx="131">
                  <c:v>3.1675048597887374E-12</c:v>
                </c:pt>
                <c:pt idx="132">
                  <c:v>3.1675048597887374E-12</c:v>
                </c:pt>
                <c:pt idx="133">
                  <c:v>3.1675048597887374E-12</c:v>
                </c:pt>
                <c:pt idx="134">
                  <c:v>3.1675048597887374E-12</c:v>
                </c:pt>
                <c:pt idx="135">
                  <c:v>3.1675048597887374E-12</c:v>
                </c:pt>
                <c:pt idx="136">
                  <c:v>3.1675048597887374E-12</c:v>
                </c:pt>
                <c:pt idx="137">
                  <c:v>3.1675048597887374E-12</c:v>
                </c:pt>
                <c:pt idx="138">
                  <c:v>3.1675048597887374E-12</c:v>
                </c:pt>
                <c:pt idx="139">
                  <c:v>3.1675048597887374E-12</c:v>
                </c:pt>
                <c:pt idx="140">
                  <c:v>3.1675048597887374E-12</c:v>
                </c:pt>
                <c:pt idx="141">
                  <c:v>3.1675048597887374E-12</c:v>
                </c:pt>
                <c:pt idx="142">
                  <c:v>3.1675048597887374E-12</c:v>
                </c:pt>
                <c:pt idx="143">
                  <c:v>3.1675048597887374E-12</c:v>
                </c:pt>
                <c:pt idx="144">
                  <c:v>3.1675048597887374E-12</c:v>
                </c:pt>
                <c:pt idx="145">
                  <c:v>3.1675048597887374E-12</c:v>
                </c:pt>
                <c:pt idx="146">
                  <c:v>3.1675048597887374E-12</c:v>
                </c:pt>
                <c:pt idx="147">
                  <c:v>3.1675048597887374E-12</c:v>
                </c:pt>
                <c:pt idx="148">
                  <c:v>3.1675048597887374E-12</c:v>
                </c:pt>
                <c:pt idx="149">
                  <c:v>3.1675048597887374E-12</c:v>
                </c:pt>
                <c:pt idx="150">
                  <c:v>3.1675048597887374E-12</c:v>
                </c:pt>
                <c:pt idx="151">
                  <c:v>3.1675048597887374E-12</c:v>
                </c:pt>
                <c:pt idx="152">
                  <c:v>3.1675048597887374E-12</c:v>
                </c:pt>
                <c:pt idx="153">
                  <c:v>3.1675048597887374E-12</c:v>
                </c:pt>
                <c:pt idx="154">
                  <c:v>3.1675048597887374E-12</c:v>
                </c:pt>
                <c:pt idx="155">
                  <c:v>3.1675048597887374E-12</c:v>
                </c:pt>
                <c:pt idx="156">
                  <c:v>3.1675048597887374E-12</c:v>
                </c:pt>
                <c:pt idx="157">
                  <c:v>3.1675048597887374E-12</c:v>
                </c:pt>
                <c:pt idx="158">
                  <c:v>3.1675048597887374E-12</c:v>
                </c:pt>
                <c:pt idx="159">
                  <c:v>3.1675048597887374E-12</c:v>
                </c:pt>
                <c:pt idx="160">
                  <c:v>3.1675048597887374E-12</c:v>
                </c:pt>
                <c:pt idx="161">
                  <c:v>3.1675048597887374E-12</c:v>
                </c:pt>
                <c:pt idx="162">
                  <c:v>3.1675048597887374E-12</c:v>
                </c:pt>
                <c:pt idx="163">
                  <c:v>3.1675048597887374E-12</c:v>
                </c:pt>
                <c:pt idx="164">
                  <c:v>3.1675048597887374E-12</c:v>
                </c:pt>
                <c:pt idx="165">
                  <c:v>3.1675048597887374E-12</c:v>
                </c:pt>
                <c:pt idx="166">
                  <c:v>3.1675048597887374E-12</c:v>
                </c:pt>
                <c:pt idx="167">
                  <c:v>3.1675048597887374E-12</c:v>
                </c:pt>
                <c:pt idx="168">
                  <c:v>3.1675048597887374E-12</c:v>
                </c:pt>
                <c:pt idx="169">
                  <c:v>3.1675048597887374E-12</c:v>
                </c:pt>
                <c:pt idx="170">
                  <c:v>3.1675048597887374E-12</c:v>
                </c:pt>
                <c:pt idx="171">
                  <c:v>3.1675048597887374E-12</c:v>
                </c:pt>
                <c:pt idx="172">
                  <c:v>3.1675048597887374E-12</c:v>
                </c:pt>
                <c:pt idx="173">
                  <c:v>3.1675048597887374E-12</c:v>
                </c:pt>
                <c:pt idx="174">
                  <c:v>3.1675048597887374E-12</c:v>
                </c:pt>
                <c:pt idx="175">
                  <c:v>3.1675048597887374E-12</c:v>
                </c:pt>
                <c:pt idx="176">
                  <c:v>3.1675048597887374E-12</c:v>
                </c:pt>
                <c:pt idx="177">
                  <c:v>3.1675048597887374E-12</c:v>
                </c:pt>
                <c:pt idx="178">
                  <c:v>3.1675048597887374E-12</c:v>
                </c:pt>
                <c:pt idx="179">
                  <c:v>3.1675048597887374E-12</c:v>
                </c:pt>
                <c:pt idx="180">
                  <c:v>3.1675048597887374E-12</c:v>
                </c:pt>
                <c:pt idx="181">
                  <c:v>3.1675048597887374E-12</c:v>
                </c:pt>
                <c:pt idx="182">
                  <c:v>3.1675048597887374E-12</c:v>
                </c:pt>
                <c:pt idx="183">
                  <c:v>3.1675048597887374E-12</c:v>
                </c:pt>
                <c:pt idx="184">
                  <c:v>3.1675048597887374E-12</c:v>
                </c:pt>
                <c:pt idx="185">
                  <c:v>3.1675048597887374E-12</c:v>
                </c:pt>
                <c:pt idx="186">
                  <c:v>3.1675048597887374E-12</c:v>
                </c:pt>
                <c:pt idx="187">
                  <c:v>3.1675048597887374E-12</c:v>
                </c:pt>
                <c:pt idx="188">
                  <c:v>3.1675048597887374E-12</c:v>
                </c:pt>
                <c:pt idx="189">
                  <c:v>3.1675048597887374E-12</c:v>
                </c:pt>
                <c:pt idx="190">
                  <c:v>3.1675048597887374E-12</c:v>
                </c:pt>
                <c:pt idx="191">
                  <c:v>3.1675048597887374E-12</c:v>
                </c:pt>
                <c:pt idx="192">
                  <c:v>3.1675048597887374E-12</c:v>
                </c:pt>
                <c:pt idx="193">
                  <c:v>3.1675048597887374E-12</c:v>
                </c:pt>
                <c:pt idx="194">
                  <c:v>3.1675048597887374E-12</c:v>
                </c:pt>
                <c:pt idx="195">
                  <c:v>3.1675048597887374E-12</c:v>
                </c:pt>
                <c:pt idx="196">
                  <c:v>3.1675048597887374E-12</c:v>
                </c:pt>
                <c:pt idx="197">
                  <c:v>3.1675048597887374E-12</c:v>
                </c:pt>
                <c:pt idx="198">
                  <c:v>3.1675048597887374E-12</c:v>
                </c:pt>
                <c:pt idx="199">
                  <c:v>3.1675048597887374E-12</c:v>
                </c:pt>
                <c:pt idx="200">
                  <c:v>3.1675048597887374E-12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2.5674081613595483</c:v>
                </c:pt>
                <c:pt idx="2">
                  <c:v>2.9509973995419365</c:v>
                </c:pt>
                <c:pt idx="3">
                  <c:v>3.3921035249964064</c:v>
                </c:pt>
                <c:pt idx="4">
                  <c:v>3.8993800326575379</c:v>
                </c:pt>
                <c:pt idx="5">
                  <c:v>4.4827864698435551</c:v>
                </c:pt>
                <c:pt idx="6">
                  <c:v>5.1537861360321822</c:v>
                </c:pt>
                <c:pt idx="7">
                  <c:v>5.9255737902693291</c:v>
                </c:pt>
                <c:pt idx="8">
                  <c:v>6.8133379322758998</c:v>
                </c:pt>
                <c:pt idx="9">
                  <c:v>7.834562919695732</c:v>
                </c:pt>
                <c:pt idx="10">
                  <c:v>9.0093769867322209</c:v>
                </c:pt>
                <c:pt idx="11">
                  <c:v>10.360953154948495</c:v>
                </c:pt>
                <c:pt idx="12">
                  <c:v>11.915971094051232</c:v>
                </c:pt>
                <c:pt idx="13">
                  <c:v>13.705149220720239</c:v>
                </c:pt>
                <c:pt idx="14">
                  <c:v>15.763857741989639</c:v>
                </c:pt>
                <c:pt idx="15">
                  <c:v>18.132824985174668</c:v>
                </c:pt>
                <c:pt idx="16">
                  <c:v>20.858951242140964</c:v>
                </c:pt>
                <c:pt idx="17">
                  <c:v>23.996246530208428</c:v>
                </c:pt>
                <c:pt idx="18">
                  <c:v>27.606911179441123</c:v>
                </c:pt>
                <c:pt idx="19">
                  <c:v>31.762581047569586</c:v>
                </c:pt>
                <c:pt idx="20">
                  <c:v>36.545762498237771</c:v>
                </c:pt>
                <c:pt idx="21">
                  <c:v>45.976451369424893</c:v>
                </c:pt>
                <c:pt idx="22">
                  <c:v>61.195253174133917</c:v>
                </c:pt>
                <c:pt idx="23">
                  <c:v>76.314953891111699</c:v>
                </c:pt>
                <c:pt idx="24">
                  <c:v>91.358114590501202</c:v>
                </c:pt>
                <c:pt idx="25">
                  <c:v>106.33917221071198</c:v>
                </c:pt>
                <c:pt idx="26">
                  <c:v>93.28198944103697</c:v>
                </c:pt>
                <c:pt idx="27">
                  <c:v>107.10595572323882</c:v>
                </c:pt>
                <c:pt idx="28">
                  <c:v>120.88592545349094</c:v>
                </c:pt>
                <c:pt idx="29">
                  <c:v>134.62762855321992</c:v>
                </c:pt>
                <c:pt idx="30">
                  <c:v>148.33552588657844</c:v>
                </c:pt>
                <c:pt idx="31">
                  <c:v>134.24638938649042</c:v>
                </c:pt>
                <c:pt idx="32">
                  <c:v>146.81397834828729</c:v>
                </c:pt>
                <c:pt idx="33">
                  <c:v>159.35586286360191</c:v>
                </c:pt>
                <c:pt idx="34">
                  <c:v>171.87435267338165</c:v>
                </c:pt>
                <c:pt idx="35">
                  <c:v>184.37139305479846</c:v>
                </c:pt>
                <c:pt idx="36">
                  <c:v>168.8416056097681</c:v>
                </c:pt>
                <c:pt idx="37">
                  <c:v>179.829386330098</c:v>
                </c:pt>
                <c:pt idx="38">
                  <c:v>190.80144399249431</c:v>
                </c:pt>
                <c:pt idx="39">
                  <c:v>201.75881092692779</c:v>
                </c:pt>
                <c:pt idx="40">
                  <c:v>212.70239804910184</c:v>
                </c:pt>
                <c:pt idx="41">
                  <c:v>195.33725403815257</c:v>
                </c:pt>
                <c:pt idx="42">
                  <c:v>204.40159586063604</c:v>
                </c:pt>
                <c:pt idx="43">
                  <c:v>213.45664137520589</c:v>
                </c:pt>
                <c:pt idx="44">
                  <c:v>222.50284096633968</c:v>
                </c:pt>
                <c:pt idx="45">
                  <c:v>231.54060536306474</c:v>
                </c:pt>
                <c:pt idx="46">
                  <c:v>213.07952740360659</c:v>
                </c:pt>
                <c:pt idx="47">
                  <c:v>220.99573745004457</c:v>
                </c:pt>
                <c:pt idx="48">
                  <c:v>228.90543935922884</c:v>
                </c:pt>
                <c:pt idx="49">
                  <c:v>236.80889001154424</c:v>
                </c:pt>
                <c:pt idx="50">
                  <c:v>244.70632771903044</c:v>
                </c:pt>
                <c:pt idx="51">
                  <c:v>230.78777111964928</c:v>
                </c:pt>
                <c:pt idx="52">
                  <c:v>237.56128239156058</c:v>
                </c:pt>
                <c:pt idx="53">
                  <c:v>244.3303922732961</c:v>
                </c:pt>
                <c:pt idx="54">
                  <c:v>251.0952400785371</c:v>
                </c:pt>
                <c:pt idx="55">
                  <c:v>257.85595699105755</c:v>
                </c:pt>
                <c:pt idx="56">
                  <c:v>246.58580846713619</c:v>
                </c:pt>
                <c:pt idx="57">
                  <c:v>252.22230966781112</c:v>
                </c:pt>
                <c:pt idx="58">
                  <c:v>257.85595699105755</c:v>
                </c:pt>
                <c:pt idx="59">
                  <c:v>263.4868216859382</c:v>
                </c:pt>
                <c:pt idx="60">
                  <c:v>269.11497170292421</c:v>
                </c:pt>
                <c:pt idx="61">
                  <c:v>260.85942671475163</c:v>
                </c:pt>
                <c:pt idx="62">
                  <c:v>265.73840375453756</c:v>
                </c:pt>
                <c:pt idx="63">
                  <c:v>270.61536157536983</c:v>
                </c:pt>
                <c:pt idx="64">
                  <c:v>275.49034176419684</c:v>
                </c:pt>
                <c:pt idx="65">
                  <c:v>280.36338431358678</c:v>
                </c:pt>
                <c:pt idx="66">
                  <c:v>272.86559571589561</c:v>
                </c:pt>
                <c:pt idx="67">
                  <c:v>276.61506059958811</c:v>
                </c:pt>
                <c:pt idx="68">
                  <c:v>280.36338431358678</c:v>
                </c:pt>
                <c:pt idx="69">
                  <c:v>284.11058429716269</c:v>
                </c:pt>
                <c:pt idx="70">
                  <c:v>287.85667749117096</c:v>
                </c:pt>
                <c:pt idx="71">
                  <c:v>282.23712370144068</c:v>
                </c:pt>
                <c:pt idx="72">
                  <c:v>285.98376820295493</c:v>
                </c:pt>
                <c:pt idx="73">
                  <c:v>289.72931420493518</c:v>
                </c:pt>
                <c:pt idx="74">
                  <c:v>293.47377793906486</c:v>
                </c:pt>
                <c:pt idx="75">
                  <c:v>297.21717518827535</c:v>
                </c:pt>
                <c:pt idx="76">
                  <c:v>292.72497100977256</c:v>
                </c:pt>
                <c:pt idx="77">
                  <c:v>295.71994327479496</c:v>
                </c:pt>
                <c:pt idx="78">
                  <c:v>298.71423892515395</c:v>
                </c:pt>
                <c:pt idx="79">
                  <c:v>301.70786571384548</c:v>
                </c:pt>
                <c:pt idx="80">
                  <c:v>304.70083122716051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2.808913523269716</c:v>
                </c:pt>
                <c:pt idx="2">
                  <c:v>3.2024549307028356</c:v>
                </c:pt>
                <c:pt idx="3">
                  <c:v>3.6513289373607773</c:v>
                </c:pt>
                <c:pt idx="4">
                  <c:v>4.1633414020375676</c:v>
                </c:pt>
                <c:pt idx="5">
                  <c:v>4.7474028110253315</c:v>
                </c:pt>
                <c:pt idx="6">
                  <c:v>5.4136850511054888</c:v>
                </c:pt>
                <c:pt idx="7">
                  <c:v>6.1738004921248475</c:v>
                </c:pt>
                <c:pt idx="8">
                  <c:v>7.04100656176103</c:v>
                </c:pt>
                <c:pt idx="9">
                  <c:v>8.0304394501257814</c:v>
                </c:pt>
                <c:pt idx="10">
                  <c:v>9.1593811020942599</c:v>
                </c:pt>
                <c:pt idx="11">
                  <c:v>10.44756425004144</c:v>
                </c:pt>
                <c:pt idx="12">
                  <c:v>11.917520919716907</c:v>
                </c:pt>
                <c:pt idx="13">
                  <c:v>13.594980619539625</c:v>
                </c:pt>
                <c:pt idx="14">
                  <c:v>15.509325312648487</c:v>
                </c:pt>
                <c:pt idx="15">
                  <c:v>17.694109287621362</c:v>
                </c:pt>
                <c:pt idx="16">
                  <c:v>20.187653206198199</c:v>
                </c:pt>
                <c:pt idx="17">
                  <c:v>23.033722935573341</c:v>
                </c:pt>
                <c:pt idx="18">
                  <c:v>26.282305292835535</c:v>
                </c:pt>
                <c:pt idx="19">
                  <c:v>29.990494567361733</c:v>
                </c:pt>
                <c:pt idx="20">
                  <c:v>34.223505674790481</c:v>
                </c:pt>
                <c:pt idx="21">
                  <c:v>39.055832069512576</c:v>
                </c:pt>
                <c:pt idx="22">
                  <c:v>44.572569142487318</c:v>
                </c:pt>
                <c:pt idx="23">
                  <c:v>50.870926804611692</c:v>
                </c:pt>
                <c:pt idx="24">
                  <c:v>58.061958356588072</c:v>
                </c:pt>
                <c:pt idx="25">
                  <c:v>66.272536635761469</c:v>
                </c:pt>
                <c:pt idx="26">
                  <c:v>76.563490652949312</c:v>
                </c:pt>
                <c:pt idx="27">
                  <c:v>86.819205269098731</c:v>
                </c:pt>
                <c:pt idx="28">
                  <c:v>97.044440512052844</c:v>
                </c:pt>
                <c:pt idx="29">
                  <c:v>107.2428670785069</c:v>
                </c:pt>
                <c:pt idx="30">
                  <c:v>117.41739809202973</c:v>
                </c:pt>
                <c:pt idx="31">
                  <c:v>127.99300373621668</c:v>
                </c:pt>
                <c:pt idx="32">
                  <c:v>138.54744992970467</c:v>
                </c:pt>
                <c:pt idx="33">
                  <c:v>149.0825777016685</c:v>
                </c:pt>
                <c:pt idx="34">
                  <c:v>159.59994614012587</c:v>
                </c:pt>
                <c:pt idx="35">
                  <c:v>170.1008917228489</c:v>
                </c:pt>
                <c:pt idx="36">
                  <c:v>154.13304399541357</c:v>
                </c:pt>
                <c:pt idx="37">
                  <c:v>165.48242110449394</c:v>
                </c:pt>
                <c:pt idx="38">
                  <c:v>176.81341922195415</c:v>
                </c:pt>
                <c:pt idx="39">
                  <c:v>188.1273831228342</c:v>
                </c:pt>
                <c:pt idx="40">
                  <c:v>199.42548241866663</c:v>
                </c:pt>
                <c:pt idx="41">
                  <c:v>181.84387743661719</c:v>
                </c:pt>
                <c:pt idx="42">
                  <c:v>193.56912276774736</c:v>
                </c:pt>
                <c:pt idx="43">
                  <c:v>205.2778545096966</c:v>
                </c:pt>
                <c:pt idx="44">
                  <c:v>216.97114792933803</c:v>
                </c:pt>
                <c:pt idx="45">
                  <c:v>228.64995281860425</c:v>
                </c:pt>
                <c:pt idx="46">
                  <c:v>211.12636896992379</c:v>
                </c:pt>
                <c:pt idx="47">
                  <c:v>222.81230638924691</c:v>
                </c:pt>
                <c:pt idx="48">
                  <c:v>234.48418968616227</c:v>
                </c:pt>
                <c:pt idx="49">
                  <c:v>246.14281741922969</c:v>
                </c:pt>
                <c:pt idx="50">
                  <c:v>257.78890626510457</c:v>
                </c:pt>
                <c:pt idx="51">
                  <c:v>240.31511393681535</c:v>
                </c:pt>
                <c:pt idx="52">
                  <c:v>251.96738727080017</c:v>
                </c:pt>
                <c:pt idx="53">
                  <c:v>263.60745312628939</c:v>
                </c:pt>
                <c:pt idx="54">
                  <c:v>275.23592678364861</c:v>
                </c:pt>
                <c:pt idx="55">
                  <c:v>286.85336725699193</c:v>
                </c:pt>
                <c:pt idx="56">
                  <c:v>269.42310281421265</c:v>
                </c:pt>
                <c:pt idx="57">
                  <c:v>281.04599322042526</c:v>
                </c:pt>
                <c:pt idx="58">
                  <c:v>292.65811116959617</c:v>
                </c:pt>
                <c:pt idx="59">
                  <c:v>304.25994451630169</c:v>
                </c:pt>
                <c:pt idx="60">
                  <c:v>315.85194085471181</c:v>
                </c:pt>
                <c:pt idx="61">
                  <c:v>297.63155783517902</c:v>
                </c:pt>
                <c:pt idx="62">
                  <c:v>308.40105034381315</c:v>
                </c:pt>
                <c:pt idx="63">
                  <c:v>319.16219149284615</c:v>
                </c:pt>
                <c:pt idx="64">
                  <c:v>329.91530269151434</c:v>
                </c:pt>
                <c:pt idx="65">
                  <c:v>340.66068267684102</c:v>
                </c:pt>
                <c:pt idx="66">
                  <c:v>322.4716820606094</c:v>
                </c:pt>
                <c:pt idx="67">
                  <c:v>333.22238359494384</c:v>
                </c:pt>
                <c:pt idx="68">
                  <c:v>343.96544163480115</c:v>
                </c:pt>
                <c:pt idx="69">
                  <c:v>354.70112866153909</c:v>
                </c:pt>
                <c:pt idx="70">
                  <c:v>365.42969930916348</c:v>
                </c:pt>
                <c:pt idx="71">
                  <c:v>346.44355255688674</c:v>
                </c:pt>
                <c:pt idx="72">
                  <c:v>356.35213503949808</c:v>
                </c:pt>
                <c:pt idx="73">
                  <c:v>366.25468615178403</c:v>
                </c:pt>
                <c:pt idx="74">
                  <c:v>376.15139203422905</c:v>
                </c:pt>
                <c:pt idx="75">
                  <c:v>386.04242822867735</c:v>
                </c:pt>
                <c:pt idx="76">
                  <c:v>366.66716434689414</c:v>
                </c:pt>
                <c:pt idx="77">
                  <c:v>376.15139203422905</c:v>
                </c:pt>
                <c:pt idx="78">
                  <c:v>385.63041272508372</c:v>
                </c:pt>
                <c:pt idx="79">
                  <c:v>395.10437251790626</c:v>
                </c:pt>
                <c:pt idx="80">
                  <c:v>404.57340992986093</c:v>
                </c:pt>
                <c:pt idx="81">
                  <c:v>384.80635300902605</c:v>
                </c:pt>
                <c:pt idx="82">
                  <c:v>393.86892067156964</c:v>
                </c:pt>
                <c:pt idx="83">
                  <c:v>402.92696857125173</c:v>
                </c:pt>
                <c:pt idx="84">
                  <c:v>411.98061269157296</c:v>
                </c:pt>
                <c:pt idx="85">
                  <c:v>421.02996350009425</c:v>
                </c:pt>
                <c:pt idx="86">
                  <c:v>400.86871209258248</c:v>
                </c:pt>
                <c:pt idx="87">
                  <c:v>409.51186735681603</c:v>
                </c:pt>
                <c:pt idx="88">
                  <c:v>418.15108380244902</c:v>
                </c:pt>
                <c:pt idx="89">
                  <c:v>426.78645432329745</c:v>
                </c:pt>
                <c:pt idx="90">
                  <c:v>435.41806774560064</c:v>
                </c:pt>
                <c:pt idx="91">
                  <c:v>414.4490387185424</c:v>
                </c:pt>
                <c:pt idx="92">
                  <c:v>422.26363911019592</c:v>
                </c:pt>
                <c:pt idx="93">
                  <c:v>430.07512632625293</c:v>
                </c:pt>
                <c:pt idx="94">
                  <c:v>437.88356491828068</c:v>
                </c:pt>
                <c:pt idx="95">
                  <c:v>445.68901694659007</c:v>
                </c:pt>
                <c:pt idx="96">
                  <c:v>424.31959279145184</c:v>
                </c:pt>
                <c:pt idx="97">
                  <c:v>431.71925936589793</c:v>
                </c:pt>
                <c:pt idx="98">
                  <c:v>439.11620170572888</c:v>
                </c:pt>
                <c:pt idx="99">
                  <c:v>446.51047220041323</c:v>
                </c:pt>
                <c:pt idx="100">
                  <c:v>453.90212136173113</c:v>
                </c:pt>
                <c:pt idx="101">
                  <c:v>434.18520687835735</c:v>
                </c:pt>
                <c:pt idx="102">
                  <c:v>441.17043154942297</c:v>
                </c:pt>
                <c:pt idx="103">
                  <c:v>448.15328569496324</c:v>
                </c:pt>
                <c:pt idx="104">
                  <c:v>455.13381148368109</c:v>
                </c:pt>
                <c:pt idx="105">
                  <c:v>462.11204968448214</c:v>
                </c:pt>
                <c:pt idx="106">
                  <c:v>441.58125287689387</c:v>
                </c:pt>
                <c:pt idx="107">
                  <c:v>447.74259442675447</c:v>
                </c:pt>
                <c:pt idx="108">
                  <c:v>453.90212136173113</c:v>
                </c:pt>
                <c:pt idx="109">
                  <c:v>460.05986179752381</c:v>
                </c:pt>
                <c:pt idx="110">
                  <c:v>466.21584303528101</c:v>
                </c:pt>
                <c:pt idx="111">
                  <c:v>445.27827716326078</c:v>
                </c:pt>
                <c:pt idx="112">
                  <c:v>451.02789946978152</c:v>
                </c:pt>
                <c:pt idx="113">
                  <c:v>456.77595420541826</c:v>
                </c:pt>
                <c:pt idx="114">
                  <c:v>462.52246389410061</c:v>
                </c:pt>
                <c:pt idx="115">
                  <c:v>468.26745045400418</c:v>
                </c:pt>
                <c:pt idx="116">
                  <c:v>446.51047220041346</c:v>
                </c:pt>
                <c:pt idx="117">
                  <c:v>451.43852652349545</c:v>
                </c:pt>
                <c:pt idx="118">
                  <c:v>456.3654303692179</c:v>
                </c:pt>
                <c:pt idx="119">
                  <c:v>461.29119792122486</c:v>
                </c:pt>
                <c:pt idx="120">
                  <c:v>466.2158430352813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14</xdr:row>
      <xdr:rowOff>71437</xdr:rowOff>
    </xdr:from>
    <xdr:to>
      <xdr:col>8</xdr:col>
      <xdr:colOff>609600</xdr:colOff>
      <xdr:row>28</xdr:row>
      <xdr:rowOff>147637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7950EFA-E2B6-4DC4-9579-18E197079F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312" t="s">
        <v>291</v>
      </c>
      <c r="C12" s="312"/>
      <c r="D12" s="312"/>
      <c r="E12" s="312"/>
      <c r="F12" s="312"/>
      <c r="G12" s="312"/>
      <c r="H12" s="312"/>
      <c r="I12" s="312"/>
      <c r="J12" s="312"/>
      <c r="K12" s="312"/>
      <c r="L12" s="312"/>
      <c r="M12" s="312"/>
    </row>
    <row r="13" spans="2:13" ht="15" customHeight="1" x14ac:dyDescent="0.25">
      <c r="B13" s="312"/>
      <c r="C13" s="312"/>
      <c r="D13" s="312"/>
      <c r="E13" s="312"/>
      <c r="F13" s="312"/>
      <c r="G13" s="312"/>
      <c r="H13" s="312"/>
      <c r="I13" s="312"/>
      <c r="J13" s="312"/>
      <c r="K13" s="312"/>
      <c r="L13" s="312"/>
      <c r="M13" s="312"/>
    </row>
    <row r="14" spans="2:13" ht="15" customHeight="1" x14ac:dyDescent="0.25">
      <c r="B14" s="312"/>
      <c r="C14" s="312"/>
      <c r="D14" s="312"/>
      <c r="E14" s="312"/>
      <c r="F14" s="312"/>
      <c r="G14" s="312"/>
      <c r="H14" s="312"/>
      <c r="I14" s="312"/>
      <c r="J14" s="312"/>
      <c r="K14" s="312"/>
      <c r="L14" s="312"/>
      <c r="M14" s="312"/>
    </row>
    <row r="15" spans="2:13" ht="18.75" customHeight="1" x14ac:dyDescent="0.25">
      <c r="B15" s="312"/>
      <c r="C15" s="312"/>
      <c r="D15" s="312"/>
      <c r="E15" s="312"/>
      <c r="F15" s="312"/>
      <c r="G15" s="312"/>
      <c r="H15" s="312"/>
      <c r="I15" s="312"/>
      <c r="J15" s="312"/>
      <c r="K15" s="312"/>
      <c r="L15" s="312"/>
      <c r="M15" s="312"/>
    </row>
    <row r="16" spans="2:13" ht="18.75" customHeight="1" x14ac:dyDescent="0.25">
      <c r="B16" s="312"/>
      <c r="C16" s="312"/>
      <c r="D16" s="312"/>
      <c r="E16" s="312"/>
      <c r="F16" s="312"/>
      <c r="G16" s="312"/>
      <c r="H16" s="312"/>
      <c r="I16" s="312"/>
      <c r="J16" s="312"/>
      <c r="K16" s="312"/>
      <c r="L16" s="312"/>
      <c r="M16" s="312"/>
    </row>
    <row r="18" spans="2:13" ht="12" customHeight="1" x14ac:dyDescent="0.25">
      <c r="B18" s="312" t="s">
        <v>292</v>
      </c>
      <c r="C18" s="312"/>
      <c r="D18" s="312"/>
      <c r="E18" s="312"/>
      <c r="F18" s="312"/>
      <c r="G18" s="312"/>
      <c r="H18" s="312"/>
      <c r="I18" s="312"/>
      <c r="J18" s="312"/>
      <c r="K18" s="312"/>
      <c r="L18" s="312"/>
      <c r="M18" s="312"/>
    </row>
    <row r="19" spans="2:13" ht="12" customHeight="1" x14ac:dyDescent="0.25">
      <c r="B19" s="312"/>
      <c r="C19" s="312"/>
      <c r="D19" s="312"/>
      <c r="E19" s="312"/>
      <c r="F19" s="312"/>
      <c r="G19" s="312"/>
      <c r="H19" s="312"/>
      <c r="I19" s="312"/>
      <c r="J19" s="312"/>
      <c r="K19" s="312"/>
      <c r="L19" s="312"/>
      <c r="M19" s="312"/>
    </row>
    <row r="20" spans="2:13" ht="12" customHeight="1" x14ac:dyDescent="0.25">
      <c r="B20" s="312"/>
      <c r="C20" s="312"/>
      <c r="D20" s="312"/>
      <c r="E20" s="312"/>
      <c r="F20" s="312"/>
      <c r="G20" s="312"/>
      <c r="H20" s="312"/>
      <c r="I20" s="312"/>
      <c r="J20" s="312"/>
      <c r="K20" s="312"/>
      <c r="L20" s="312"/>
      <c r="M20" s="312"/>
    </row>
    <row r="21" spans="2:13" ht="12" customHeight="1" x14ac:dyDescent="0.25">
      <c r="B21" s="312"/>
      <c r="C21" s="312"/>
      <c r="D21" s="312"/>
      <c r="E21" s="312"/>
      <c r="F21" s="312"/>
      <c r="G21" s="312"/>
      <c r="H21" s="312"/>
      <c r="I21" s="312"/>
      <c r="J21" s="312"/>
      <c r="K21" s="312"/>
      <c r="L21" s="312"/>
      <c r="M21" s="312"/>
    </row>
    <row r="22" spans="2:13" ht="12" customHeight="1" x14ac:dyDescent="0.25">
      <c r="B22" s="312"/>
      <c r="C22" s="312"/>
      <c r="D22" s="312"/>
      <c r="E22" s="312"/>
      <c r="F22" s="312"/>
      <c r="G22" s="312"/>
      <c r="H22" s="312"/>
      <c r="I22" s="312"/>
      <c r="J22" s="312"/>
      <c r="K22" s="312"/>
      <c r="L22" s="312"/>
      <c r="M22" s="312"/>
    </row>
    <row r="23" spans="2:13" ht="12" customHeight="1" x14ac:dyDescent="0.25">
      <c r="B23" s="312"/>
      <c r="C23" s="312"/>
      <c r="D23" s="312"/>
      <c r="E23" s="312"/>
      <c r="F23" s="312"/>
      <c r="G23" s="312"/>
      <c r="H23" s="312"/>
      <c r="I23" s="312"/>
      <c r="J23" s="312"/>
      <c r="K23" s="312"/>
      <c r="L23" s="312"/>
      <c r="M23" s="312"/>
    </row>
    <row r="24" spans="2:13" ht="12" customHeight="1" x14ac:dyDescent="0.25">
      <c r="B24" s="312"/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</row>
    <row r="25" spans="2:13" ht="12" customHeight="1" x14ac:dyDescent="0.25"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2:13" ht="12" customHeight="1" x14ac:dyDescent="0.25">
      <c r="B26" s="312"/>
      <c r="C26" s="312"/>
      <c r="D26" s="312"/>
      <c r="E26" s="312"/>
      <c r="F26" s="312"/>
      <c r="G26" s="312"/>
      <c r="H26" s="312"/>
      <c r="I26" s="312"/>
      <c r="J26" s="312"/>
      <c r="K26" s="312"/>
      <c r="L26" s="312"/>
      <c r="M26" s="312"/>
    </row>
    <row r="27" spans="2:13" ht="12" customHeight="1" x14ac:dyDescent="0.25">
      <c r="B27" s="312"/>
      <c r="C27" s="312"/>
      <c r="D27" s="312"/>
      <c r="E27" s="312"/>
      <c r="F27" s="312"/>
      <c r="G27" s="312"/>
      <c r="H27" s="312"/>
      <c r="I27" s="312"/>
      <c r="J27" s="312"/>
      <c r="K27" s="312"/>
      <c r="L27" s="312"/>
      <c r="M27" s="312"/>
    </row>
    <row r="28" spans="2:13" ht="12" customHeight="1" x14ac:dyDescent="0.25">
      <c r="B28" s="312"/>
      <c r="C28" s="312"/>
      <c r="D28" s="312"/>
      <c r="E28" s="312"/>
      <c r="F28" s="312"/>
      <c r="G28" s="312"/>
      <c r="H28" s="312"/>
      <c r="I28" s="312"/>
      <c r="J28" s="312"/>
      <c r="K28" s="312"/>
      <c r="L28" s="312"/>
      <c r="M28" s="312"/>
    </row>
    <row r="29" spans="2:13" ht="12" customHeight="1" x14ac:dyDescent="0.25">
      <c r="B29" s="312"/>
      <c r="C29" s="312"/>
      <c r="D29" s="312"/>
      <c r="E29" s="312"/>
      <c r="F29" s="312"/>
      <c r="G29" s="312"/>
      <c r="H29" s="312"/>
      <c r="I29" s="312"/>
      <c r="J29" s="312"/>
      <c r="K29" s="312"/>
      <c r="L29" s="312"/>
      <c r="M29" s="312"/>
    </row>
    <row r="30" spans="2:13" ht="12" customHeight="1" x14ac:dyDescent="0.25">
      <c r="B30" s="312"/>
      <c r="C30" s="312"/>
      <c r="D30" s="312"/>
      <c r="E30" s="312"/>
      <c r="F30" s="312"/>
      <c r="G30" s="312"/>
      <c r="H30" s="312"/>
      <c r="I30" s="312"/>
      <c r="J30" s="312"/>
      <c r="K30" s="312"/>
      <c r="L30" s="312"/>
      <c r="M30" s="312"/>
    </row>
    <row r="31" spans="2:13" ht="12" customHeight="1" x14ac:dyDescent="0.25">
      <c r="B31" s="312"/>
      <c r="C31" s="312"/>
      <c r="D31" s="312"/>
      <c r="E31" s="312"/>
      <c r="F31" s="312"/>
      <c r="G31" s="312"/>
      <c r="H31" s="312"/>
      <c r="I31" s="312"/>
      <c r="J31" s="312"/>
      <c r="K31" s="312"/>
      <c r="L31" s="312"/>
      <c r="M31" s="31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I20" sqref="I2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317" t="s">
        <v>190</v>
      </c>
      <c r="D1" s="317"/>
      <c r="E1" s="31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318" t="s">
        <v>192</v>
      </c>
      <c r="C3" s="319"/>
      <c r="D3" s="319"/>
      <c r="E3" s="319"/>
      <c r="F3" s="32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24" t="s">
        <v>231</v>
      </c>
      <c r="B5" s="324"/>
      <c r="C5" s="26">
        <v>1.6</v>
      </c>
      <c r="D5" s="325" t="s">
        <v>229</v>
      </c>
      <c r="E5" s="32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22" t="s">
        <v>226</v>
      </c>
      <c r="B7" s="32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44</v>
      </c>
      <c r="C9" s="35">
        <v>0.16858237547892721</v>
      </c>
      <c r="D9" s="36">
        <f t="shared" ref="D9:D18" si="0">C9*$C$5</f>
        <v>0.26973180076628356</v>
      </c>
      <c r="E9" s="37">
        <v>45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12</v>
      </c>
      <c r="C10" s="35">
        <v>0.62452107279693503</v>
      </c>
      <c r="D10" s="36">
        <f t="shared" si="0"/>
        <v>0.99923371647509607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21</v>
      </c>
      <c r="C11" s="35">
        <v>0.10344827586206895</v>
      </c>
      <c r="D11" s="36">
        <f t="shared" si="0"/>
        <v>0.16551724137931034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</v>
      </c>
      <c r="C12" s="35">
        <v>0.10344827586206895</v>
      </c>
      <c r="D12" s="36">
        <f t="shared" si="0"/>
        <v>0.16551724137931034</v>
      </c>
      <c r="E12" s="37">
        <v>120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21" t="s">
        <v>232</v>
      </c>
      <c r="B22" s="32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23" t="s">
        <v>227</v>
      </c>
      <c r="B30" s="32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Robinier faux-acacia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313" t="s">
        <v>186</v>
      </c>
      <c r="D34" s="313"/>
      <c r="E34" s="314" t="s">
        <v>187</v>
      </c>
      <c r="F34" s="315"/>
      <c r="G34" s="315"/>
      <c r="H34" s="31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5</v>
      </c>
      <c r="B36" s="63">
        <v>28</v>
      </c>
      <c r="C36" s="63">
        <v>1</v>
      </c>
      <c r="D36" s="63">
        <v>4</v>
      </c>
      <c r="E36" s="54"/>
      <c r="F36" s="54"/>
      <c r="G36" s="54">
        <v>1</v>
      </c>
      <c r="H36" s="54"/>
      <c r="I36" s="52">
        <f>IFERROR(B36/A36,"")</f>
        <v>5.6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10</v>
      </c>
      <c r="B37" s="63">
        <v>79</v>
      </c>
      <c r="C37" s="63">
        <v>2</v>
      </c>
      <c r="D37" s="63">
        <v>21</v>
      </c>
      <c r="E37" s="54"/>
      <c r="F37" s="54"/>
      <c r="G37" s="54">
        <v>1</v>
      </c>
      <c r="H37" s="54"/>
      <c r="I37" s="56">
        <f t="shared" ref="I37:I55" si="1">IF(A37&lt;&gt;0,(B37-(B36-D36))/(A37-A36),"")</f>
        <v>11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15</v>
      </c>
      <c r="B38" s="63">
        <v>113</v>
      </c>
      <c r="C38" s="63">
        <v>3</v>
      </c>
      <c r="D38" s="63">
        <v>17</v>
      </c>
      <c r="E38" s="54"/>
      <c r="F38" s="54"/>
      <c r="G38" s="54">
        <v>1</v>
      </c>
      <c r="H38" s="54"/>
      <c r="I38" s="56">
        <f t="shared" si="1"/>
        <v>11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20</v>
      </c>
      <c r="B39" s="63">
        <v>145</v>
      </c>
      <c r="C39" s="63">
        <v>4</v>
      </c>
      <c r="D39" s="63">
        <v>14</v>
      </c>
      <c r="E39" s="54"/>
      <c r="F39" s="54">
        <v>0.2</v>
      </c>
      <c r="G39" s="54">
        <v>0.8</v>
      </c>
      <c r="H39" s="54"/>
      <c r="I39" s="52">
        <f t="shared" si="1"/>
        <v>9.8000000000000007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25</v>
      </c>
      <c r="B40" s="63">
        <v>173</v>
      </c>
      <c r="C40" s="63">
        <v>5</v>
      </c>
      <c r="D40" s="63">
        <v>11</v>
      </c>
      <c r="E40" s="54"/>
      <c r="F40" s="54">
        <v>0.2</v>
      </c>
      <c r="G40" s="54">
        <v>0.8</v>
      </c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30</v>
      </c>
      <c r="B41" s="63">
        <v>196</v>
      </c>
      <c r="C41" s="63">
        <v>6</v>
      </c>
      <c r="D41" s="63">
        <v>9</v>
      </c>
      <c r="E41" s="54"/>
      <c r="F41" s="54">
        <v>0.4</v>
      </c>
      <c r="G41" s="54">
        <v>0.6</v>
      </c>
      <c r="H41" s="54"/>
      <c r="I41" s="56">
        <f t="shared" si="1"/>
        <v>6.8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35</v>
      </c>
      <c r="B42" s="63">
        <v>216</v>
      </c>
      <c r="C42" s="63">
        <v>7</v>
      </c>
      <c r="D42" s="63">
        <v>7</v>
      </c>
      <c r="E42" s="54"/>
      <c r="F42" s="54"/>
      <c r="G42" s="54"/>
      <c r="H42" s="54"/>
      <c r="I42" s="56">
        <f t="shared" si="1"/>
        <v>5.8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40</v>
      </c>
      <c r="B43" s="63">
        <v>233</v>
      </c>
      <c r="C43" s="63">
        <v>8</v>
      </c>
      <c r="D43" s="63">
        <v>6</v>
      </c>
      <c r="E43" s="54"/>
      <c r="F43" s="54"/>
      <c r="G43" s="54"/>
      <c r="H43" s="54"/>
      <c r="I43" s="52">
        <f t="shared" si="1"/>
        <v>4.8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45</v>
      </c>
      <c r="B44" s="63">
        <v>252</v>
      </c>
      <c r="C44" s="63">
        <v>9</v>
      </c>
      <c r="D44" s="63">
        <v>252</v>
      </c>
      <c r="E44" s="54"/>
      <c r="F44" s="54"/>
      <c r="G44" s="54"/>
      <c r="H44" s="54"/>
      <c r="I44" s="52">
        <f t="shared" si="1"/>
        <v>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pubescent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313" t="s">
        <v>186</v>
      </c>
      <c r="D60" s="313"/>
      <c r="E60" s="314" t="s">
        <v>187</v>
      </c>
      <c r="F60" s="315"/>
      <c r="G60" s="315"/>
      <c r="H60" s="31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71</v>
      </c>
      <c r="C62" s="63">
        <v>1</v>
      </c>
      <c r="D62" s="63">
        <v>8</v>
      </c>
      <c r="E62" s="54"/>
      <c r="F62" s="54"/>
      <c r="G62" s="54"/>
      <c r="H62" s="54"/>
      <c r="I62" s="56">
        <f>IFERROR(B62/A62,"")</f>
        <v>2.84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98</v>
      </c>
      <c r="C63" s="63">
        <v>2</v>
      </c>
      <c r="D63" s="63">
        <v>21</v>
      </c>
      <c r="E63" s="54"/>
      <c r="F63" s="54"/>
      <c r="G63" s="54"/>
      <c r="H63" s="54"/>
      <c r="I63" s="52">
        <f>IF(A63&lt;&gt;0,(B63-(B62-D62))/(A63-A62),"")</f>
        <v>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116</v>
      </c>
      <c r="C64" s="63">
        <v>3</v>
      </c>
      <c r="D64" s="63">
        <v>21</v>
      </c>
      <c r="E64" s="54"/>
      <c r="F64" s="54"/>
      <c r="G64" s="54"/>
      <c r="H64" s="54"/>
      <c r="I64" s="52">
        <f>IF(A64&lt;&gt;0,(B64-(B63-D63))/(A64-A63),"")</f>
        <v>7.8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137</v>
      </c>
      <c r="C65" s="63">
        <v>4</v>
      </c>
      <c r="D65" s="63">
        <v>21</v>
      </c>
      <c r="E65" s="54"/>
      <c r="F65" s="54"/>
      <c r="G65" s="54"/>
      <c r="H65" s="54"/>
      <c r="I65" s="52">
        <f>IF(A65&lt;&gt;0,(B65-(B64-D64))/(A65-A64),"")</f>
        <v>8.4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158</v>
      </c>
      <c r="C66" s="63">
        <v>5</v>
      </c>
      <c r="D66" s="63">
        <v>21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179</v>
      </c>
      <c r="C67" s="63">
        <v>6</v>
      </c>
      <c r="D67" s="63">
        <v>21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198</v>
      </c>
      <c r="C68" s="63">
        <v>7</v>
      </c>
      <c r="D68" s="63">
        <v>21</v>
      </c>
      <c r="E68" s="54"/>
      <c r="F68" s="54"/>
      <c r="G68" s="54"/>
      <c r="H68" s="54"/>
      <c r="I68" s="52">
        <f t="shared" si="2"/>
        <v>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214</v>
      </c>
      <c r="C69" s="53">
        <v>8</v>
      </c>
      <c r="D69" s="53">
        <v>21</v>
      </c>
      <c r="E69" s="54"/>
      <c r="F69" s="54"/>
      <c r="G69" s="54"/>
      <c r="H69" s="54"/>
      <c r="I69" s="52">
        <f t="shared" si="2"/>
        <v>7.4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v>229</v>
      </c>
      <c r="C70" s="53">
        <v>9</v>
      </c>
      <c r="D70" s="53">
        <v>21</v>
      </c>
      <c r="E70" s="54"/>
      <c r="F70" s="54"/>
      <c r="G70" s="54"/>
      <c r="H70" s="54"/>
      <c r="I70" s="52">
        <f t="shared" si="2"/>
        <v>7.2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v>242</v>
      </c>
      <c r="C71" s="53">
        <v>10</v>
      </c>
      <c r="D71" s="53">
        <v>21</v>
      </c>
      <c r="E71" s="54"/>
      <c r="F71" s="54"/>
      <c r="G71" s="54"/>
      <c r="H71" s="54"/>
      <c r="I71" s="52">
        <f t="shared" si="2"/>
        <v>6.8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v>253</v>
      </c>
      <c r="C72" s="53">
        <v>11</v>
      </c>
      <c r="D72" s="53">
        <v>21</v>
      </c>
      <c r="E72" s="54"/>
      <c r="F72" s="54"/>
      <c r="G72" s="54"/>
      <c r="H72" s="54"/>
      <c r="I72" s="52">
        <f t="shared" si="2"/>
        <v>6.4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v>262</v>
      </c>
      <c r="C73" s="53">
        <v>12</v>
      </c>
      <c r="D73" s="53">
        <v>21</v>
      </c>
      <c r="E73" s="54"/>
      <c r="F73" s="54"/>
      <c r="G73" s="54"/>
      <c r="H73" s="54"/>
      <c r="I73" s="52">
        <f t="shared" si="2"/>
        <v>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269</v>
      </c>
      <c r="C74" s="53">
        <v>13</v>
      </c>
      <c r="D74" s="53">
        <v>21</v>
      </c>
      <c r="E74" s="54"/>
      <c r="F74" s="54"/>
      <c r="G74" s="54"/>
      <c r="H74" s="54"/>
      <c r="I74" s="52">
        <f t="shared" si="2"/>
        <v>5.6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275</v>
      </c>
      <c r="C75" s="53">
        <v>14</v>
      </c>
      <c r="D75" s="53">
        <v>21</v>
      </c>
      <c r="E75" s="54"/>
      <c r="F75" s="54"/>
      <c r="G75" s="54"/>
      <c r="H75" s="54"/>
      <c r="I75" s="52">
        <f t="shared" si="2"/>
        <v>5.4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95</v>
      </c>
      <c r="B76" s="53">
        <v>279</v>
      </c>
      <c r="C76" s="53">
        <v>15</v>
      </c>
      <c r="D76" s="53">
        <v>21</v>
      </c>
      <c r="E76" s="54"/>
      <c r="F76" s="54"/>
      <c r="G76" s="54"/>
      <c r="H76" s="54"/>
      <c r="I76" s="52">
        <f t="shared" si="2"/>
        <v>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100</v>
      </c>
      <c r="B77" s="53">
        <v>282</v>
      </c>
      <c r="C77" s="53">
        <v>16</v>
      </c>
      <c r="D77" s="53">
        <v>21</v>
      </c>
      <c r="E77" s="54"/>
      <c r="F77" s="54"/>
      <c r="G77" s="54"/>
      <c r="H77" s="54"/>
      <c r="I77" s="52">
        <f t="shared" si="2"/>
        <v>4.8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105</v>
      </c>
      <c r="B78" s="53">
        <v>283</v>
      </c>
      <c r="C78" s="53">
        <v>17</v>
      </c>
      <c r="D78" s="53">
        <v>20</v>
      </c>
      <c r="E78" s="54"/>
      <c r="F78" s="54"/>
      <c r="G78" s="54"/>
      <c r="H78" s="54"/>
      <c r="I78" s="52">
        <f t="shared" si="2"/>
        <v>4.4000000000000004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110</v>
      </c>
      <c r="B79" s="53">
        <v>284</v>
      </c>
      <c r="C79" s="53">
        <v>18</v>
      </c>
      <c r="D79" s="53">
        <v>19</v>
      </c>
      <c r="E79" s="54"/>
      <c r="F79" s="54"/>
      <c r="G79" s="54"/>
      <c r="H79" s="54"/>
      <c r="I79" s="52">
        <f t="shared" si="2"/>
        <v>4.2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115</v>
      </c>
      <c r="B80" s="53">
        <v>284</v>
      </c>
      <c r="C80" s="53">
        <v>19</v>
      </c>
      <c r="D80" s="53">
        <v>18</v>
      </c>
      <c r="E80" s="54"/>
      <c r="F80" s="54"/>
      <c r="G80" s="54"/>
      <c r="H80" s="54"/>
      <c r="I80" s="52">
        <f t="shared" si="2"/>
        <v>3.8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120</v>
      </c>
      <c r="B81" s="53">
        <v>284</v>
      </c>
      <c r="C81" s="53">
        <v>20</v>
      </c>
      <c r="D81" s="53">
        <v>284</v>
      </c>
      <c r="E81" s="54"/>
      <c r="F81" s="54"/>
      <c r="G81" s="54"/>
      <c r="H81" s="54"/>
      <c r="I81" s="52">
        <f t="shared" si="2"/>
        <v>3.6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Erable champêtre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313" t="s">
        <v>186</v>
      </c>
      <c r="D86" s="313"/>
      <c r="E86" s="314" t="s">
        <v>187</v>
      </c>
      <c r="F86" s="315"/>
      <c r="G86" s="315"/>
      <c r="H86" s="31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18</v>
      </c>
      <c r="C88" s="63">
        <v>1</v>
      </c>
      <c r="D88" s="63">
        <v>3</v>
      </c>
      <c r="E88" s="54"/>
      <c r="F88" s="54"/>
      <c r="G88" s="54">
        <v>1</v>
      </c>
      <c r="H88" s="93"/>
      <c r="I88" s="56">
        <f>IFERROR(B88/A88,"")</f>
        <v>0.9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54</v>
      </c>
      <c r="C89" s="63">
        <v>2</v>
      </c>
      <c r="D89" s="63">
        <v>14</v>
      </c>
      <c r="E89" s="54"/>
      <c r="F89" s="54"/>
      <c r="G89" s="54">
        <v>1</v>
      </c>
      <c r="H89" s="93"/>
      <c r="I89" s="56">
        <f t="shared" ref="I89:I107" si="3">IF(A89&lt;&gt;0,(B89-(B88-D88))/(A89-A88),"")</f>
        <v>7.8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76</v>
      </c>
      <c r="C90" s="63">
        <v>3</v>
      </c>
      <c r="D90" s="63">
        <v>14</v>
      </c>
      <c r="E90" s="93"/>
      <c r="F90" s="93"/>
      <c r="G90" s="93">
        <v>1</v>
      </c>
      <c r="H90" s="93"/>
      <c r="I90" s="56">
        <f t="shared" si="3"/>
        <v>7.2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95</v>
      </c>
      <c r="C91" s="63">
        <v>4</v>
      </c>
      <c r="D91" s="63">
        <v>14</v>
      </c>
      <c r="E91" s="93"/>
      <c r="F91" s="93"/>
      <c r="G91" s="93"/>
      <c r="H91" s="93"/>
      <c r="I91" s="56">
        <f t="shared" si="3"/>
        <v>6.6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110</v>
      </c>
      <c r="C92" s="63">
        <v>5</v>
      </c>
      <c r="D92" s="63">
        <v>14</v>
      </c>
      <c r="E92" s="93"/>
      <c r="F92" s="93"/>
      <c r="G92" s="93"/>
      <c r="H92" s="93"/>
      <c r="I92" s="56">
        <f t="shared" si="3"/>
        <v>5.8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120</v>
      </c>
      <c r="C93" s="63">
        <v>6</v>
      </c>
      <c r="D93" s="63">
        <v>14</v>
      </c>
      <c r="E93" s="93"/>
      <c r="F93" s="93"/>
      <c r="G93" s="93"/>
      <c r="H93" s="93"/>
      <c r="I93" s="56">
        <f t="shared" si="3"/>
        <v>4.8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127</v>
      </c>
      <c r="C94" s="63">
        <v>7</v>
      </c>
      <c r="D94" s="63">
        <v>11</v>
      </c>
      <c r="E94" s="93"/>
      <c r="F94" s="93"/>
      <c r="G94" s="93"/>
      <c r="H94" s="93"/>
      <c r="I94" s="56">
        <f t="shared" si="3"/>
        <v>4.2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55</v>
      </c>
      <c r="B95" s="63">
        <v>134</v>
      </c>
      <c r="C95" s="63">
        <v>8</v>
      </c>
      <c r="D95" s="63">
        <v>9</v>
      </c>
      <c r="E95" s="93"/>
      <c r="F95" s="93"/>
      <c r="G95" s="93"/>
      <c r="H95" s="93"/>
      <c r="I95" s="56">
        <f t="shared" si="3"/>
        <v>3.6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60</v>
      </c>
      <c r="B96" s="63">
        <v>140</v>
      </c>
      <c r="C96" s="63">
        <v>9</v>
      </c>
      <c r="D96" s="63">
        <v>7</v>
      </c>
      <c r="E96" s="93"/>
      <c r="F96" s="93"/>
      <c r="G96" s="93"/>
      <c r="H96" s="93"/>
      <c r="I96" s="56">
        <f t="shared" si="3"/>
        <v>3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65</v>
      </c>
      <c r="B97" s="63">
        <v>146</v>
      </c>
      <c r="C97" s="63">
        <v>10</v>
      </c>
      <c r="D97" s="63">
        <v>6</v>
      </c>
      <c r="E97" s="93"/>
      <c r="F97" s="93"/>
      <c r="G97" s="93"/>
      <c r="H97" s="93"/>
      <c r="I97" s="56">
        <f t="shared" si="3"/>
        <v>2.6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70</v>
      </c>
      <c r="B98" s="63">
        <v>150</v>
      </c>
      <c r="C98" s="63">
        <v>11</v>
      </c>
      <c r="D98" s="63">
        <v>5</v>
      </c>
      <c r="E98" s="93"/>
      <c r="F98" s="93"/>
      <c r="G98" s="93"/>
      <c r="H98" s="93"/>
      <c r="I98" s="56">
        <f t="shared" si="3"/>
        <v>2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75</v>
      </c>
      <c r="B99" s="63">
        <v>155</v>
      </c>
      <c r="C99" s="63">
        <v>12</v>
      </c>
      <c r="D99" s="63">
        <v>4</v>
      </c>
      <c r="E99" s="93"/>
      <c r="F99" s="93"/>
      <c r="G99" s="93"/>
      <c r="H99" s="93"/>
      <c r="I99" s="56">
        <f t="shared" si="3"/>
        <v>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80</v>
      </c>
      <c r="B100" s="63">
        <v>159</v>
      </c>
      <c r="C100" s="63">
        <v>13</v>
      </c>
      <c r="D100" s="63">
        <v>159</v>
      </c>
      <c r="E100" s="68"/>
      <c r="F100" s="68"/>
      <c r="G100" s="68"/>
      <c r="H100" s="68"/>
      <c r="I100" s="56">
        <f t="shared" si="3"/>
        <v>1.6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Alisier torminal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313" t="s">
        <v>186</v>
      </c>
      <c r="D112" s="313"/>
      <c r="E112" s="314" t="s">
        <v>187</v>
      </c>
      <c r="F112" s="315"/>
      <c r="G112" s="315"/>
      <c r="H112" s="31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25</v>
      </c>
      <c r="B114" s="63">
        <v>30</v>
      </c>
      <c r="C114" s="53">
        <v>1</v>
      </c>
      <c r="D114" s="63">
        <v>0</v>
      </c>
      <c r="E114" s="54"/>
      <c r="F114" s="54"/>
      <c r="G114" s="54"/>
      <c r="H114" s="54"/>
      <c r="I114" s="56">
        <f>IFERROR(B114/A114,"")</f>
        <v>1.2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30</v>
      </c>
      <c r="B115" s="63">
        <v>54</v>
      </c>
      <c r="C115" s="53">
        <v>2</v>
      </c>
      <c r="D115" s="63">
        <v>0</v>
      </c>
      <c r="E115" s="54"/>
      <c r="F115" s="54"/>
      <c r="G115" s="54"/>
      <c r="H115" s="54"/>
      <c r="I115" s="56">
        <f t="shared" ref="I115:I133" si="4">IF(A115&lt;&gt;0,(B115-(B114-D114))/(A115-A114),"")</f>
        <v>4.8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35</v>
      </c>
      <c r="B116" s="63">
        <v>79</v>
      </c>
      <c r="C116" s="53">
        <v>3</v>
      </c>
      <c r="D116" s="63">
        <v>13</v>
      </c>
      <c r="E116" s="54"/>
      <c r="F116" s="54"/>
      <c r="G116" s="54"/>
      <c r="H116" s="54"/>
      <c r="I116" s="56">
        <f t="shared" si="4"/>
        <v>5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40</v>
      </c>
      <c r="B117" s="63">
        <v>93</v>
      </c>
      <c r="C117" s="53">
        <v>4</v>
      </c>
      <c r="D117" s="63">
        <v>14</v>
      </c>
      <c r="E117" s="54"/>
      <c r="F117" s="54"/>
      <c r="G117" s="54"/>
      <c r="H117" s="54"/>
      <c r="I117" s="56">
        <f t="shared" si="4"/>
        <v>5.4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45</v>
      </c>
      <c r="B118" s="63">
        <v>107</v>
      </c>
      <c r="C118" s="53">
        <v>5</v>
      </c>
      <c r="D118" s="63">
        <v>14</v>
      </c>
      <c r="E118" s="54"/>
      <c r="F118" s="54"/>
      <c r="G118" s="54"/>
      <c r="H118" s="54"/>
      <c r="I118" s="56">
        <f t="shared" si="4"/>
        <v>5.6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50</v>
      </c>
      <c r="B119" s="63">
        <v>121</v>
      </c>
      <c r="C119" s="53">
        <v>6</v>
      </c>
      <c r="D119" s="63">
        <v>14</v>
      </c>
      <c r="E119" s="54"/>
      <c r="F119" s="54"/>
      <c r="G119" s="54"/>
      <c r="H119" s="54"/>
      <c r="I119" s="56">
        <f t="shared" si="4"/>
        <v>5.6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55</v>
      </c>
      <c r="B120" s="63">
        <v>135</v>
      </c>
      <c r="C120" s="63">
        <v>7</v>
      </c>
      <c r="D120" s="63">
        <v>14</v>
      </c>
      <c r="E120" s="93"/>
      <c r="F120" s="93"/>
      <c r="G120" s="93"/>
      <c r="H120" s="93"/>
      <c r="I120" s="56">
        <f t="shared" si="4"/>
        <v>5.6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60</v>
      </c>
      <c r="B121" s="63">
        <v>149</v>
      </c>
      <c r="C121" s="63">
        <v>8</v>
      </c>
      <c r="D121" s="63">
        <v>14</v>
      </c>
      <c r="E121" s="93"/>
      <c r="F121" s="93"/>
      <c r="G121" s="93"/>
      <c r="H121" s="93"/>
      <c r="I121" s="56">
        <f t="shared" si="4"/>
        <v>5.6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65</v>
      </c>
      <c r="B122" s="63">
        <v>161</v>
      </c>
      <c r="C122" s="63">
        <v>9</v>
      </c>
      <c r="D122" s="63">
        <v>14</v>
      </c>
      <c r="E122" s="93"/>
      <c r="F122" s="93"/>
      <c r="G122" s="93"/>
      <c r="H122" s="93"/>
      <c r="I122" s="56">
        <f t="shared" si="4"/>
        <v>5.2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70</v>
      </c>
      <c r="B123" s="63">
        <v>173</v>
      </c>
      <c r="C123" s="63">
        <v>10</v>
      </c>
      <c r="D123" s="63">
        <v>14</v>
      </c>
      <c r="E123" s="93"/>
      <c r="F123" s="93"/>
      <c r="G123" s="93"/>
      <c r="H123" s="93"/>
      <c r="I123" s="56">
        <f t="shared" si="4"/>
        <v>5.2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75</v>
      </c>
      <c r="B124" s="63">
        <v>183</v>
      </c>
      <c r="C124" s="63">
        <v>11</v>
      </c>
      <c r="D124" s="63">
        <v>14</v>
      </c>
      <c r="E124" s="93"/>
      <c r="F124" s="93"/>
      <c r="G124" s="93"/>
      <c r="H124" s="93"/>
      <c r="I124" s="56">
        <f t="shared" si="4"/>
        <v>4.8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80</v>
      </c>
      <c r="B125" s="63">
        <v>192</v>
      </c>
      <c r="C125" s="63">
        <v>12</v>
      </c>
      <c r="D125" s="63">
        <v>14</v>
      </c>
      <c r="E125" s="93"/>
      <c r="F125" s="93"/>
      <c r="G125" s="93"/>
      <c r="H125" s="93"/>
      <c r="I125" s="56">
        <f t="shared" si="4"/>
        <v>4.5999999999999996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85</v>
      </c>
      <c r="B126" s="63">
        <v>200</v>
      </c>
      <c r="C126" s="63">
        <v>13</v>
      </c>
      <c r="D126" s="63">
        <v>14</v>
      </c>
      <c r="E126" s="68"/>
      <c r="F126" s="68"/>
      <c r="G126" s="68"/>
      <c r="H126" s="68"/>
      <c r="I126" s="56">
        <f t="shared" si="4"/>
        <v>4.4000000000000004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90</v>
      </c>
      <c r="B127" s="63">
        <v>207</v>
      </c>
      <c r="C127" s="63">
        <v>14</v>
      </c>
      <c r="D127" s="63">
        <v>14</v>
      </c>
      <c r="E127" s="68"/>
      <c r="F127" s="68"/>
      <c r="G127" s="68"/>
      <c r="H127" s="68"/>
      <c r="I127" s="56">
        <f t="shared" si="4"/>
        <v>4.2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95</v>
      </c>
      <c r="B128" s="53">
        <v>212</v>
      </c>
      <c r="C128" s="53">
        <v>15</v>
      </c>
      <c r="D128" s="53">
        <v>14</v>
      </c>
      <c r="E128" s="57"/>
      <c r="F128" s="57"/>
      <c r="G128" s="57"/>
      <c r="H128" s="57"/>
      <c r="I128" s="56">
        <f t="shared" si="4"/>
        <v>3.8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100</v>
      </c>
      <c r="B129" s="53">
        <v>216</v>
      </c>
      <c r="C129" s="53">
        <v>16</v>
      </c>
      <c r="D129" s="53">
        <v>13</v>
      </c>
      <c r="E129" s="57"/>
      <c r="F129" s="57"/>
      <c r="G129" s="57"/>
      <c r="H129" s="57"/>
      <c r="I129" s="56">
        <f t="shared" si="4"/>
        <v>3.6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105</v>
      </c>
      <c r="B130" s="53">
        <v>220</v>
      </c>
      <c r="C130" s="53">
        <v>17</v>
      </c>
      <c r="D130" s="53">
        <v>13</v>
      </c>
      <c r="E130" s="57"/>
      <c r="F130" s="57"/>
      <c r="G130" s="57"/>
      <c r="H130" s="57"/>
      <c r="I130" s="56">
        <f t="shared" si="4"/>
        <v>3.4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110</v>
      </c>
      <c r="B131" s="53">
        <v>222</v>
      </c>
      <c r="C131" s="53">
        <v>18</v>
      </c>
      <c r="D131" s="53">
        <v>13</v>
      </c>
      <c r="E131" s="57"/>
      <c r="F131" s="57"/>
      <c r="G131" s="57"/>
      <c r="H131" s="57"/>
      <c r="I131" s="56">
        <f t="shared" si="4"/>
        <v>3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115</v>
      </c>
      <c r="B132" s="53">
        <v>223</v>
      </c>
      <c r="C132" s="53">
        <v>19</v>
      </c>
      <c r="D132" s="53">
        <v>13</v>
      </c>
      <c r="E132" s="57"/>
      <c r="F132" s="57"/>
      <c r="G132" s="57"/>
      <c r="H132" s="57"/>
      <c r="I132" s="56">
        <f t="shared" si="4"/>
        <v>2.8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120</v>
      </c>
      <c r="B133" s="53">
        <v>222</v>
      </c>
      <c r="C133" s="53">
        <v>20</v>
      </c>
      <c r="D133" s="53">
        <v>222</v>
      </c>
      <c r="E133" s="57"/>
      <c r="F133" s="57"/>
      <c r="G133" s="57"/>
      <c r="H133" s="57"/>
      <c r="I133" s="56">
        <f t="shared" si="4"/>
        <v>2.4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313" t="s">
        <v>186</v>
      </c>
      <c r="D138" s="313"/>
      <c r="E138" s="314" t="s">
        <v>187</v>
      </c>
      <c r="F138" s="315"/>
      <c r="G138" s="315"/>
      <c r="H138" s="31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313" t="s">
        <v>186</v>
      </c>
      <c r="D164" s="313"/>
      <c r="E164" s="314" t="s">
        <v>187</v>
      </c>
      <c r="F164" s="315"/>
      <c r="G164" s="315"/>
      <c r="H164" s="31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313" t="s">
        <v>186</v>
      </c>
      <c r="D190" s="313"/>
      <c r="E190" s="314" t="s">
        <v>187</v>
      </c>
      <c r="F190" s="315"/>
      <c r="G190" s="315"/>
      <c r="H190" s="31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313" t="s">
        <v>186</v>
      </c>
      <c r="D216" s="313"/>
      <c r="E216" s="314" t="s">
        <v>187</v>
      </c>
      <c r="F216" s="315"/>
      <c r="G216" s="315"/>
      <c r="H216" s="31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313" t="s">
        <v>186</v>
      </c>
      <c r="D242" s="313"/>
      <c r="E242" s="314" t="s">
        <v>187</v>
      </c>
      <c r="F242" s="315"/>
      <c r="G242" s="315"/>
      <c r="H242" s="31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313" t="s">
        <v>186</v>
      </c>
      <c r="D268" s="313"/>
      <c r="E268" s="314" t="s">
        <v>187</v>
      </c>
      <c r="F268" s="315"/>
      <c r="G268" s="315"/>
      <c r="H268" s="31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30" t="s">
        <v>176</v>
      </c>
      <c r="C1" s="331"/>
      <c r="D1" s="331"/>
      <c r="E1" s="331"/>
      <c r="F1" s="331"/>
      <c r="G1" s="331"/>
      <c r="H1" s="332"/>
      <c r="I1" s="327" t="str">
        <f>IF('Données projet'!$B$9="","",'Données projet'!$B$9)</f>
        <v>Robinier faux-acacia</v>
      </c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9"/>
      <c r="AD1" s="328" t="str">
        <f>IF('Données projet'!$B$10="","",'Données projet'!$B$10)</f>
        <v>Chêne pubescent</v>
      </c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  <c r="AQ1" s="328"/>
      <c r="AR1" s="328"/>
      <c r="AS1" s="328"/>
      <c r="AT1" s="328"/>
      <c r="AU1" s="328"/>
      <c r="AV1" s="328"/>
      <c r="AW1" s="328"/>
      <c r="AX1" s="329"/>
      <c r="AY1" s="327" t="str">
        <f>IF('Données projet'!$B$11="","",'Données projet'!$B$11)</f>
        <v>Erable champêtre</v>
      </c>
      <c r="AZ1" s="328"/>
      <c r="BA1" s="328"/>
      <c r="BB1" s="328"/>
      <c r="BC1" s="328"/>
      <c r="BD1" s="328"/>
      <c r="BE1" s="328"/>
      <c r="BF1" s="328"/>
      <c r="BG1" s="328"/>
      <c r="BH1" s="328"/>
      <c r="BI1" s="328"/>
      <c r="BJ1" s="328"/>
      <c r="BK1" s="328"/>
      <c r="BL1" s="328"/>
      <c r="BM1" s="328"/>
      <c r="BN1" s="328"/>
      <c r="BO1" s="328"/>
      <c r="BP1" s="328"/>
      <c r="BQ1" s="328"/>
      <c r="BR1" s="328"/>
      <c r="BS1" s="329"/>
      <c r="BT1" s="327" t="str">
        <f>IF('Données projet'!$B$12="","",'Données projet'!$B$12)</f>
        <v>Alisier torminal</v>
      </c>
      <c r="BU1" s="328"/>
      <c r="BV1" s="328"/>
      <c r="BW1" s="328"/>
      <c r="BX1" s="328"/>
      <c r="BY1" s="328"/>
      <c r="BZ1" s="328"/>
      <c r="CA1" s="328"/>
      <c r="CB1" s="328"/>
      <c r="CC1" s="328"/>
      <c r="CD1" s="328"/>
      <c r="CE1" s="328"/>
      <c r="CF1" s="328"/>
      <c r="CG1" s="328"/>
      <c r="CH1" s="328"/>
      <c r="CI1" s="328"/>
      <c r="CJ1" s="328"/>
      <c r="CK1" s="328"/>
      <c r="CL1" s="328"/>
      <c r="CM1" s="328"/>
      <c r="CN1" s="329"/>
      <c r="CO1" s="327" t="str">
        <f>IF('Données projet'!$B$13="","",'Données projet'!$B$13)</f>
        <v/>
      </c>
      <c r="CP1" s="328"/>
      <c r="CQ1" s="328"/>
      <c r="CR1" s="328"/>
      <c r="CS1" s="328"/>
      <c r="CT1" s="328"/>
      <c r="CU1" s="328"/>
      <c r="CV1" s="328"/>
      <c r="CW1" s="328"/>
      <c r="CX1" s="328"/>
      <c r="CY1" s="328"/>
      <c r="CZ1" s="328"/>
      <c r="DA1" s="328"/>
      <c r="DB1" s="328"/>
      <c r="DC1" s="328"/>
      <c r="DD1" s="328"/>
      <c r="DE1" s="328"/>
      <c r="DF1" s="328"/>
      <c r="DG1" s="328"/>
      <c r="DH1" s="328"/>
      <c r="DI1" s="329"/>
      <c r="DJ1" s="327" t="str">
        <f>IF('Données projet'!$B$14="","",'Données projet'!$B$14)</f>
        <v/>
      </c>
      <c r="DK1" s="328"/>
      <c r="DL1" s="328"/>
      <c r="DM1" s="328"/>
      <c r="DN1" s="328"/>
      <c r="DO1" s="328"/>
      <c r="DP1" s="328"/>
      <c r="DQ1" s="328"/>
      <c r="DR1" s="328"/>
      <c r="DS1" s="328"/>
      <c r="DT1" s="328"/>
      <c r="DU1" s="328"/>
      <c r="DV1" s="328"/>
      <c r="DW1" s="328"/>
      <c r="DX1" s="328"/>
      <c r="DY1" s="328"/>
      <c r="DZ1" s="328"/>
      <c r="EA1" s="328"/>
      <c r="EB1" s="328"/>
      <c r="EC1" s="328"/>
      <c r="ED1" s="329"/>
      <c r="EE1" s="327" t="str">
        <f>IF('Données projet'!$B$15="","",'Données projet'!$B$15)</f>
        <v/>
      </c>
      <c r="EF1" s="328"/>
      <c r="EG1" s="328"/>
      <c r="EH1" s="328"/>
      <c r="EI1" s="328"/>
      <c r="EJ1" s="328"/>
      <c r="EK1" s="328"/>
      <c r="EL1" s="328"/>
      <c r="EM1" s="328"/>
      <c r="EN1" s="328"/>
      <c r="EO1" s="328"/>
      <c r="EP1" s="328"/>
      <c r="EQ1" s="328"/>
      <c r="ER1" s="328"/>
      <c r="ES1" s="328"/>
      <c r="ET1" s="328"/>
      <c r="EU1" s="328"/>
      <c r="EV1" s="328"/>
      <c r="EW1" s="328"/>
      <c r="EX1" s="328"/>
      <c r="EY1" s="329"/>
      <c r="EZ1" s="327" t="str">
        <f>IF('Données projet'!$B$16="","",'Données projet'!$B$16)</f>
        <v/>
      </c>
      <c r="FA1" s="328"/>
      <c r="FB1" s="328"/>
      <c r="FC1" s="328"/>
      <c r="FD1" s="328"/>
      <c r="FE1" s="328"/>
      <c r="FF1" s="328"/>
      <c r="FG1" s="328"/>
      <c r="FH1" s="328"/>
      <c r="FI1" s="328"/>
      <c r="FJ1" s="328"/>
      <c r="FK1" s="328"/>
      <c r="FL1" s="328"/>
      <c r="FM1" s="328"/>
      <c r="FN1" s="328"/>
      <c r="FO1" s="328"/>
      <c r="FP1" s="328"/>
      <c r="FQ1" s="328"/>
      <c r="FR1" s="328"/>
      <c r="FS1" s="328"/>
      <c r="FT1" s="329"/>
      <c r="FU1" s="327" t="str">
        <f>IF('Données projet'!$B$17="","",'Données projet'!$B$17)</f>
        <v/>
      </c>
      <c r="FV1" s="328"/>
      <c r="FW1" s="328"/>
      <c r="FX1" s="328"/>
      <c r="FY1" s="328"/>
      <c r="FZ1" s="328"/>
      <c r="GA1" s="328"/>
      <c r="GB1" s="328"/>
      <c r="GC1" s="328"/>
      <c r="GD1" s="328"/>
      <c r="GE1" s="328"/>
      <c r="GF1" s="328"/>
      <c r="GG1" s="328"/>
      <c r="GH1" s="328"/>
      <c r="GI1" s="328"/>
      <c r="GJ1" s="328"/>
      <c r="GK1" s="328"/>
      <c r="GL1" s="328"/>
      <c r="GM1" s="328"/>
      <c r="GN1" s="328"/>
      <c r="GO1" s="329"/>
      <c r="GP1" s="327" t="str">
        <f>IF('Données projet'!$B$18="","",'Données projet'!$B$18)</f>
        <v/>
      </c>
      <c r="GQ1" s="328"/>
      <c r="GR1" s="328"/>
      <c r="GS1" s="328"/>
      <c r="GT1" s="328"/>
      <c r="GU1" s="328"/>
      <c r="GV1" s="328"/>
      <c r="GW1" s="328"/>
      <c r="GX1" s="328"/>
      <c r="GY1" s="328"/>
      <c r="GZ1" s="328"/>
      <c r="HA1" s="328"/>
      <c r="HB1" s="328"/>
      <c r="HC1" s="328"/>
      <c r="HD1" s="328"/>
      <c r="HE1" s="328"/>
      <c r="HF1" s="328"/>
      <c r="HG1" s="328"/>
      <c r="HH1" s="328"/>
      <c r="HI1" s="328"/>
      <c r="HJ1" s="329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302.6112905010138</v>
      </c>
      <c r="T3" s="62">
        <f>IF('Données projet'!E9&gt;30,$R$33-$H$33,LOOKUP('Données projet'!$E$9,$A$3:$A$203,R3:R203)-LOOKUP('Données projet'!$E$9,$A$3:$A$203,$H$3:$H$203))</f>
        <v>423.44006663873375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411.98877330238821</v>
      </c>
      <c r="AO3" s="62">
        <f>IF('Données projet'!E10&gt;30,$AM$33-$H$33,LOOKUP('Données projet'!$E$10,$A$3:$A$203,AM3:AM203)-LOOKUP('Données projet'!$E$10,$A$3:$A$203,$H$3:$H$203))</f>
        <v>256.4377087753457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195.30963433439501</v>
      </c>
      <c r="BJ3" s="62">
        <f>IF('Données projet'!E11&gt;30,$BH$33-$H$33,LOOKUP('Données projet'!$E$11,$A$3:$A$203,BH3:BH203)-LOOKUP('Données projet'!$E$11,$A$3:$A$203,$H$3:$H$203))</f>
        <v>185.00219255324504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298.18906674058809</v>
      </c>
      <c r="CE3" s="62">
        <f>IF('Données projet'!E12&gt;30,$CC$33-$H$33,LOOKUP('Données projet'!$E$12,$A$3:$A$203,CC3:CC203)-LOOKUP('Données projet'!$E$12,$A$3:$A$203,$H$3:$H$203))</f>
        <v>154.08406475869634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5.6</v>
      </c>
      <c r="N4" s="14">
        <f>IF('Données projet'!$A$36&gt;35,N3+M4-V3,IF(A4&lt;'Données projet'!$A$36,$K$205^A4,IF(A4='Données projet'!$A$36,'Données projet'!$B$36,N3+M4-V3)))</f>
        <v>1.9472943612303364</v>
      </c>
      <c r="O4" s="14">
        <f>N4*VLOOKUP('Données projet'!$B$9,Paramètres!$A$1:$I$89,3,0)*VLOOKUP('Données projet'!$B$9,Paramètres!$A$1:$I$89,5,0)</f>
        <v>1.7619119380412083</v>
      </c>
      <c r="P4" s="14">
        <f>EXP(-1.0587+0.8836*LN(O4)+0.284)</f>
        <v>0.76015770586189668</v>
      </c>
      <c r="Q4" s="22">
        <f t="shared" ref="Q4:Q34" si="2">(O4+P4)*0.475*44/12</f>
        <v>4.3926046297979076</v>
      </c>
      <c r="R4" s="62">
        <f t="shared" si="0"/>
        <v>262.28149351868677</v>
      </c>
      <c r="S4" s="62">
        <f ca="1">AVERAGE(OFFSET($R$3,0,0,'Données projet'!$E$9+1,1))-AVERAGE(OFFSET($H$3,0,0,'Données projet'!$E$9+1,1))</f>
        <v>302.6112905010138</v>
      </c>
      <c r="T4" s="62">
        <f>$T$3</f>
        <v>423.44006663873375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2.84</v>
      </c>
      <c r="AI4" s="14">
        <f>IF('Données projet'!$A$62&gt;35,AI3+AH4-AQ3,IF(A4&lt;'Données projet'!$A$62,$AF$205^A4,IF(A4='Données projet'!$A$62,'Données projet'!$B$62,AI3+AH4-AQ3)))</f>
        <v>1.185906184594963</v>
      </c>
      <c r="AJ4" s="14">
        <f>AI4*VLOOKUP('Données projet'!$B$10,Paramètres!$A$1:$I$89,3,0)*VLOOKUP('Données projet'!$B$10,Paramètres!$A$1:$I$89,5,0)</f>
        <v>1.2025088711792926</v>
      </c>
      <c r="AK4" s="14">
        <f>EXP(-1.0587+0.8836*LN(AJ4)+0.284)</f>
        <v>0.54239799688655566</v>
      </c>
      <c r="AL4" s="22">
        <f t="shared" ref="AL4:AL67" si="4">(AJ4+AK4)*0.475*44/12</f>
        <v>3.0390461285480193</v>
      </c>
      <c r="AM4" s="62">
        <f t="shared" ref="AM4:AM67" si="5">AL4+(AD4+AE4)*44/12</f>
        <v>260.92793501743688</v>
      </c>
      <c r="AN4" s="62">
        <f ca="1">AVERAGE(OFFSET($AM$3,0,0,'Données projet'!$E$10+1,1))-AVERAGE(OFFSET($H$3,0,0,'Données projet'!$E$10+1,1))</f>
        <v>411.98877330238821</v>
      </c>
      <c r="AO4" s="62">
        <f>$AO$3</f>
        <v>256.4377087753457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0.9</v>
      </c>
      <c r="BD4" s="13">
        <f>IF('Données projet'!$A$88&gt;35,BD3+BC4-BL3,IF(A4&lt;'Données projet'!$A$88,$BA$205^A4,IF(A4='Données projet'!$A$88,'Données projet'!$B$88,BD3+BC4-BL3)))</f>
        <v>1.1554831727638066</v>
      </c>
      <c r="BE4" s="14">
        <f>BD4*VLOOKUP('Données projet'!$B$11,Paramètres!$A$1:$I$89,3,0)*VLOOKUP('Données projet'!$B$11,Paramètres!$A$1:$I$89,5,0)</f>
        <v>1.0094300997264616</v>
      </c>
      <c r="BF4" s="14">
        <f>EXP(-1.0587+0.8836*LN(BE4)+0.284)</f>
        <v>0.46467984937949935</v>
      </c>
      <c r="BG4" s="22">
        <f t="shared" ref="BG4:BG67" si="7">(BE4+BF4)*0.475*44/12</f>
        <v>2.5674081613595483</v>
      </c>
      <c r="BH4" s="62">
        <f t="shared" ref="BH4:BH67" si="8">BG4+(AY4+AZ4)*44/12</f>
        <v>260.45629705024839</v>
      </c>
      <c r="BI4" s="62">
        <f ca="1">AVERAGE(OFFSET($BH$3,0,0,'Données projet'!$E$11+1,1))-AVERAGE(OFFSET($H$3,0,0,'Données projet'!$E$11+1,1))</f>
        <v>195.30963433439501</v>
      </c>
      <c r="BJ4" s="62">
        <f>$BJ$3</f>
        <v>185.00219255324504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1.2</v>
      </c>
      <c r="BY4" s="13">
        <f>IF('Données projet'!$A$114&gt;35,BY3+BX4-CG3,IF(A4&lt;'Données projet'!$A$114,$BV$205^A4,IF(A4='Données projet'!$A$114,'Données projet'!$B$114,BY3+BX4-CG3)))</f>
        <v>1.1457367676485573</v>
      </c>
      <c r="BZ4" s="14">
        <f>BY4*VLOOKUP('Données projet'!$B$12,Paramètres!$A$1:$I$89,3,0)*VLOOKUP('Données projet'!$B$12,Paramètres!$A$1:$I$89,5,0)</f>
        <v>1.1081566016696847</v>
      </c>
      <c r="CA4" s="14">
        <f>EXP(-1.0587+0.8836*LN(BZ4)+0.284)</f>
        <v>0.50461671312632472</v>
      </c>
      <c r="CB4" s="22">
        <f t="shared" ref="CB4:CB67" si="10">(BZ4+CA4)*0.475*44/12</f>
        <v>2.808913523269716</v>
      </c>
      <c r="CC4" s="62">
        <f t="shared" ref="CC4:CC67" si="11">CB4+(BT4+BU4)*44/12</f>
        <v>260.69780241215858</v>
      </c>
      <c r="CD4" s="62">
        <f ca="1">AVERAGE(OFFSET($CC$3,0,0,'Données projet'!$E$12+1,1))-AVERAGE(OFFSET($H$3,0,0,'Données projet'!$E$12+1,1))</f>
        <v>298.18906674058809</v>
      </c>
      <c r="CE4" s="62">
        <f>$CE$3</f>
        <v>154.08406475869634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5.6</v>
      </c>
      <c r="N5" s="14">
        <f>IF('Données projet'!$A$36&gt;35,N4+M5-V4,IF(A5&lt;'Données projet'!$A$36,$K$205^A5,IF(A5='Données projet'!$A$36,'Données projet'!$B$36,N4+M5-V4)))</f>
        <v>3.7919553292794639</v>
      </c>
      <c r="O5" s="14">
        <f>N5*VLOOKUP('Données projet'!$B$9,Paramètres!$A$1:$I$89,3,0)*VLOOKUP('Données projet'!$B$9,Paramètres!$A$1:$I$89,5,0)</f>
        <v>3.4309611819320587</v>
      </c>
      <c r="P5" s="14">
        <f t="shared" ref="P5:P68" si="33">EXP(-1.0587+0.8836*LN(O5)+0.284)</f>
        <v>1.3697631223860498</v>
      </c>
      <c r="Q5" s="22">
        <f t="shared" si="2"/>
        <v>8.3612614966873711</v>
      </c>
      <c r="R5" s="62">
        <f t="shared" si="0"/>
        <v>267.47237260779849</v>
      </c>
      <c r="S5" s="62">
        <f ca="1">AVERAGE(OFFSET($R$3,0,0,'Données projet'!$E$9+1,1))-AVERAGE(OFFSET($H$3,0,0,'Données projet'!$E$9+1,1))</f>
        <v>302.6112905010138</v>
      </c>
      <c r="T5" s="62">
        <f t="shared" ref="T5:T68" si="34">$T$3</f>
        <v>423.44006663873375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2.84</v>
      </c>
      <c r="AI5" s="14">
        <f>IF('Données projet'!$A$62&gt;35,AI4+AH5-AQ4,IF(A5&lt;'Données projet'!$A$62,$AF$205^A5,IF(A5='Données projet'!$A$62,'Données projet'!$B$62,AI4+AH5-AQ4)))</f>
        <v>1.4063734786605824</v>
      </c>
      <c r="AJ5" s="14">
        <f>AI5*VLOOKUP('Données projet'!$B$10,Paramètres!$A$1:$I$89,3,0)*VLOOKUP('Données projet'!$B$10,Paramètres!$A$1:$I$89,5,0)</f>
        <v>1.4260627073618306</v>
      </c>
      <c r="AK5" s="14">
        <f t="shared" ref="AK5:AK68" si="35">EXP(-1.0587+0.8836*LN(AJ5)+0.284)</f>
        <v>0.63059271915132864</v>
      </c>
      <c r="AL5" s="22">
        <f t="shared" si="4"/>
        <v>3.5820082011770853</v>
      </c>
      <c r="AM5" s="62">
        <f t="shared" si="5"/>
        <v>262.69311931228822</v>
      </c>
      <c r="AN5" s="62">
        <f ca="1">AVERAGE(OFFSET($AM$3,0,0,'Données projet'!$E$10+1,1))-AVERAGE(OFFSET($H$3,0,0,'Données projet'!$E$10+1,1))</f>
        <v>411.98877330238821</v>
      </c>
      <c r="AO5" s="62">
        <f t="shared" ref="AO5:AO68" si="36">$AO$3</f>
        <v>256.4377087753457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0.9</v>
      </c>
      <c r="BD5" s="13">
        <f>IF('Données projet'!$A$88&gt;35,BD4+BC5-BL4,IF(A5&lt;'Données projet'!$A$88,$BA$205^A5,IF(A5='Données projet'!$A$88,'Données projet'!$B$88,BD4+BC5-BL4)))</f>
        <v>1.335141362540313</v>
      </c>
      <c r="BE5" s="14">
        <f>BD5*VLOOKUP('Données projet'!$B$11,Paramètres!$A$1:$I$89,3,0)*VLOOKUP('Données projet'!$B$11,Paramètres!$A$1:$I$89,5,0)</f>
        <v>1.1663794943152175</v>
      </c>
      <c r="BF5" s="14">
        <f t="shared" ref="BF5:BF68" si="37">EXP(-1.0587+0.8836*LN(BE5)+0.284)</f>
        <v>0.52797307958445927</v>
      </c>
      <c r="BG5" s="22">
        <f t="shared" si="7"/>
        <v>2.9509973995419365</v>
      </c>
      <c r="BH5" s="62">
        <f t="shared" si="8"/>
        <v>262.0621085106531</v>
      </c>
      <c r="BI5" s="62">
        <f ca="1">AVERAGE(OFFSET($BH$3,0,0,'Données projet'!$E$11+1,1))-AVERAGE(OFFSET($H$3,0,0,'Données projet'!$E$11+1,1))</f>
        <v>195.30963433439501</v>
      </c>
      <c r="BJ5" s="62">
        <f t="shared" ref="BJ5:BJ68" si="38">$BJ$3</f>
        <v>185.00219255324504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1.2</v>
      </c>
      <c r="BY5" s="13">
        <f>IF('Données projet'!$A$114&gt;35,BY4+BX5-CG4,IF(A5&lt;'Données projet'!$A$114,$BV$205^A5,IF(A5='Données projet'!$A$114,'Données projet'!$B$114,BY4+BX5-CG4)))</f>
        <v>1.312712740741764</v>
      </c>
      <c r="BZ5" s="14">
        <f>BY5*VLOOKUP('Données projet'!$B$12,Paramètres!$A$1:$I$89,3,0)*VLOOKUP('Données projet'!$B$12,Paramètres!$A$1:$I$89,5,0)</f>
        <v>1.2696557628454344</v>
      </c>
      <c r="CA5" s="14">
        <f t="shared" ref="CA5:CA68" si="39">EXP(-1.0587+0.8836*LN(BZ5)+0.284)</f>
        <v>0.56907434090738995</v>
      </c>
      <c r="CB5" s="22">
        <f t="shared" si="10"/>
        <v>3.2024549307028356</v>
      </c>
      <c r="CC5" s="62">
        <f t="shared" si="11"/>
        <v>262.313566041814</v>
      </c>
      <c r="CD5" s="62">
        <f ca="1">AVERAGE(OFFSET($CC$3,0,0,'Données projet'!$E$12+1,1))-AVERAGE(OFFSET($H$3,0,0,'Données projet'!$E$12+1,1))</f>
        <v>298.18906674058809</v>
      </c>
      <c r="CE5" s="62">
        <f t="shared" ref="CE5:CE68" si="40">$CE$3</f>
        <v>154.08406475869634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5.6</v>
      </c>
      <c r="N6" s="14">
        <f>IF('Données projet'!$A$36&gt;35,N5+M6-V5,IF(A6&lt;'Données projet'!$A$36,$K$205^A6,IF(A6='Données projet'!$A$36,'Données projet'!$B$36,N5+M6-V5)))</f>
        <v>7.3840532307432234</v>
      </c>
      <c r="O6" s="14">
        <f>N6*VLOOKUP('Données projet'!$B$9,Paramètres!$A$1:$I$89,3,0)*VLOOKUP('Données projet'!$B$9,Paramètres!$A$1:$I$89,5,0)</f>
        <v>6.6810913631764679</v>
      </c>
      <c r="P6" s="14">
        <f t="shared" si="33"/>
        <v>2.4682391521919964</v>
      </c>
      <c r="Q6" s="22">
        <f t="shared" si="2"/>
        <v>15.935083980933408</v>
      </c>
      <c r="R6" s="62">
        <f t="shared" si="0"/>
        <v>276.26841731426674</v>
      </c>
      <c r="S6" s="62">
        <f ca="1">AVERAGE(OFFSET($R$3,0,0,'Données projet'!$E$9+1,1))-AVERAGE(OFFSET($H$3,0,0,'Données projet'!$E$9+1,1))</f>
        <v>302.6112905010138</v>
      </c>
      <c r="T6" s="62">
        <f t="shared" si="34"/>
        <v>423.44006663873375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2.84</v>
      </c>
      <c r="AI6" s="14">
        <f>IF('Données projet'!$A$62&gt;35,AI5+AH6-AQ5,IF(A6&lt;'Données projet'!$A$62,$AF$205^A6,IF(A6='Données projet'!$A$62,'Données projet'!$B$62,AI5+AH6-AQ5)))</f>
        <v>1.6678270061939169</v>
      </c>
      <c r="AJ6" s="14">
        <f>AI6*VLOOKUP('Données projet'!$B$10,Paramètres!$A$1:$I$89,3,0)*VLOOKUP('Données projet'!$B$10,Paramètres!$A$1:$I$89,5,0)</f>
        <v>1.6911765842806317</v>
      </c>
      <c r="AK6" s="14">
        <f t="shared" si="35"/>
        <v>0.73312803463364506</v>
      </c>
      <c r="AL6" s="22">
        <f t="shared" si="4"/>
        <v>4.2223305446090311</v>
      </c>
      <c r="AM6" s="62">
        <f t="shared" si="5"/>
        <v>264.55566387794232</v>
      </c>
      <c r="AN6" s="62">
        <f ca="1">AVERAGE(OFFSET($AM$3,0,0,'Données projet'!$E$10+1,1))-AVERAGE(OFFSET($H$3,0,0,'Données projet'!$E$10+1,1))</f>
        <v>411.98877330238821</v>
      </c>
      <c r="AO6" s="62">
        <f t="shared" si="36"/>
        <v>256.4377087753457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0.9</v>
      </c>
      <c r="BD6" s="13">
        <f>IF('Données projet'!$A$88&gt;35,BD5+BC6-BL5,IF(A6&lt;'Données projet'!$A$88,$BA$205^A6,IF(A6='Données projet'!$A$88,'Données projet'!$B$88,BD5+BC6-BL5)))</f>
        <v>1.5427333776762726</v>
      </c>
      <c r="BE6" s="14">
        <f>BD6*VLOOKUP('Données projet'!$B$11,Paramètres!$A$1:$I$89,3,0)*VLOOKUP('Données projet'!$B$11,Paramètres!$A$1:$I$89,5,0)</f>
        <v>1.3477318787379919</v>
      </c>
      <c r="BF6" s="14">
        <f t="shared" si="37"/>
        <v>0.59988737006377257</v>
      </c>
      <c r="BG6" s="22">
        <f t="shared" si="7"/>
        <v>3.3921035249964064</v>
      </c>
      <c r="BH6" s="62">
        <f t="shared" si="8"/>
        <v>263.72543685832972</v>
      </c>
      <c r="BI6" s="62">
        <f ca="1">AVERAGE(OFFSET($BH$3,0,0,'Données projet'!$E$11+1,1))-AVERAGE(OFFSET($H$3,0,0,'Données projet'!$E$11+1,1))</f>
        <v>195.30963433439501</v>
      </c>
      <c r="BJ6" s="62">
        <f t="shared" si="38"/>
        <v>185.00219255324504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1.2</v>
      </c>
      <c r="BY6" s="13">
        <f>IF('Données projet'!$A$114&gt;35,BY5+BX6-CG5,IF(A6&lt;'Données projet'!$A$114,$BV$205^A6,IF(A6='Données projet'!$A$114,'Données projet'!$B$114,BY5+BX6-CG5)))</f>
        <v>1.5040232524285473</v>
      </c>
      <c r="BZ6" s="14">
        <f>BY6*VLOOKUP('Données projet'!$B$12,Paramètres!$A$1:$I$89,3,0)*VLOOKUP('Données projet'!$B$12,Paramètres!$A$1:$I$89,5,0)</f>
        <v>1.4546912897488911</v>
      </c>
      <c r="CA6" s="14">
        <f t="shared" si="39"/>
        <v>0.64176551639126822</v>
      </c>
      <c r="CB6" s="22">
        <f t="shared" si="10"/>
        <v>3.6513289373607773</v>
      </c>
      <c r="CC6" s="62">
        <f t="shared" si="11"/>
        <v>263.98466227069412</v>
      </c>
      <c r="CD6" s="62">
        <f ca="1">AVERAGE(OFFSET($CC$3,0,0,'Données projet'!$E$12+1,1))-AVERAGE(OFFSET($H$3,0,0,'Données projet'!$E$12+1,1))</f>
        <v>298.18906674058809</v>
      </c>
      <c r="CE6" s="62">
        <f t="shared" si="40"/>
        <v>154.08406475869634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5.6</v>
      </c>
      <c r="N7" s="14">
        <f>IF('Données projet'!$A$36&gt;35,N6+M7-V6,IF(A7&lt;'Données projet'!$A$36,$K$205^A7,IF(A7='Données projet'!$A$36,'Données projet'!$B$36,N6+M7-V6)))</f>
        <v>14.378925219250927</v>
      </c>
      <c r="O7" s="14">
        <f>N7*VLOOKUP('Données projet'!$B$9,Paramètres!$A$1:$I$89,3,0)*VLOOKUP('Données projet'!$B$9,Paramètres!$A$1:$I$89,5,0)</f>
        <v>13.010051538378239</v>
      </c>
      <c r="P7" s="14">
        <f t="shared" si="33"/>
        <v>4.4476336184326453</v>
      </c>
      <c r="Q7" s="22">
        <f t="shared" si="2"/>
        <v>30.405468314778947</v>
      </c>
      <c r="R7" s="62">
        <f t="shared" si="0"/>
        <v>291.96102387033449</v>
      </c>
      <c r="S7" s="62">
        <f ca="1">AVERAGE(OFFSET($R$3,0,0,'Données projet'!$E$9+1,1))-AVERAGE(OFFSET($H$3,0,0,'Données projet'!$E$9+1,1))</f>
        <v>302.6112905010138</v>
      </c>
      <c r="T7" s="62">
        <f t="shared" si="34"/>
        <v>423.44006663873375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2.84</v>
      </c>
      <c r="AI7" s="14">
        <f>IF('Données projet'!$A$62&gt;35,AI6+AH7-AQ6,IF(A7&lt;'Données projet'!$A$62,$AF$205^A7,IF(A7='Données projet'!$A$62,'Données projet'!$B$62,AI6+AH7-AQ6)))</f>
        <v>1.9778863614798676</v>
      </c>
      <c r="AJ7" s="14">
        <f>AI7*VLOOKUP('Données projet'!$B$10,Paramètres!$A$1:$I$89,3,0)*VLOOKUP('Données projet'!$B$10,Paramètres!$A$1:$I$89,5,0)</f>
        <v>2.005576770540586</v>
      </c>
      <c r="AK7" s="14">
        <f t="shared" si="35"/>
        <v>0.85233574515282073</v>
      </c>
      <c r="AL7" s="22">
        <f t="shared" si="4"/>
        <v>4.9775309648326838</v>
      </c>
      <c r="AM7" s="62">
        <f t="shared" si="5"/>
        <v>266.53308652038822</v>
      </c>
      <c r="AN7" s="62">
        <f ca="1">AVERAGE(OFFSET($AM$3,0,0,'Données projet'!$E$10+1,1))-AVERAGE(OFFSET($H$3,0,0,'Données projet'!$E$10+1,1))</f>
        <v>411.98877330238821</v>
      </c>
      <c r="AO7" s="62">
        <f t="shared" si="36"/>
        <v>256.4377087753457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0.9</v>
      </c>
      <c r="BD7" s="13">
        <f>IF('Données projet'!$A$88&gt;35,BD6+BC7-BL6,IF(A7&lt;'Données projet'!$A$88,$BA$205^A7,IF(A7='Données projet'!$A$88,'Données projet'!$B$88,BD6+BC7-BL6)))</f>
        <v>1.7826024579660036</v>
      </c>
      <c r="BE7" s="14">
        <f>BD7*VLOOKUP('Données projet'!$B$11,Paramètres!$A$1:$I$89,3,0)*VLOOKUP('Données projet'!$B$11,Paramètres!$A$1:$I$89,5,0)</f>
        <v>1.5572815072791011</v>
      </c>
      <c r="BF7" s="14">
        <f t="shared" si="37"/>
        <v>0.68159698037116012</v>
      </c>
      <c r="BG7" s="22">
        <f t="shared" si="7"/>
        <v>3.8993800326575379</v>
      </c>
      <c r="BH7" s="62">
        <f t="shared" si="8"/>
        <v>265.45493558821306</v>
      </c>
      <c r="BI7" s="62">
        <f ca="1">AVERAGE(OFFSET($BH$3,0,0,'Données projet'!$E$11+1,1))-AVERAGE(OFFSET($H$3,0,0,'Données projet'!$E$11+1,1))</f>
        <v>195.30963433439501</v>
      </c>
      <c r="BJ7" s="62">
        <f t="shared" si="38"/>
        <v>185.00219255324504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1.2</v>
      </c>
      <c r="BY7" s="13">
        <f>IF('Données projet'!$A$114&gt;35,BY6+BX7-CG6,IF(A7&lt;'Données projet'!$A$114,$BV$205^A7,IF(A7='Données projet'!$A$114,'Données projet'!$B$114,BY6+BX7-CG6)))</f>
        <v>1.7232147397057538</v>
      </c>
      <c r="BZ7" s="14">
        <f>BY7*VLOOKUP('Données projet'!$B$12,Paramètres!$A$1:$I$89,3,0)*VLOOKUP('Données projet'!$B$12,Paramètres!$A$1:$I$89,5,0)</f>
        <v>1.6666932962434051</v>
      </c>
      <c r="CA7" s="14">
        <f t="shared" si="39"/>
        <v>0.72374195851500689</v>
      </c>
      <c r="CB7" s="22">
        <f t="shared" si="10"/>
        <v>4.1633414020375676</v>
      </c>
      <c r="CC7" s="62">
        <f t="shared" si="11"/>
        <v>265.71889695759313</v>
      </c>
      <c r="CD7" s="62">
        <f ca="1">AVERAGE(OFFSET($CC$3,0,0,'Données projet'!$E$12+1,1))-AVERAGE(OFFSET($H$3,0,0,'Données projet'!$E$12+1,1))</f>
        <v>298.18906674058809</v>
      </c>
      <c r="CE7" s="62">
        <f t="shared" si="40"/>
        <v>154.08406475869634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>
        <f>VLOOKUP(A8,'Données projet'!$A$35:$I$55,2,0)</f>
        <v>28</v>
      </c>
      <c r="L8" s="13">
        <f>VLOOKUP(A8,'Données projet'!$A$35:$I$55,9,0)</f>
        <v>5.6</v>
      </c>
      <c r="M8" s="13">
        <f t="array" ref="M8">INDEX(L:L,MIN(IF(ISNUMBER(L8:L204),ROW(L8:L204),"")))</f>
        <v>5.6</v>
      </c>
      <c r="N8" s="14">
        <f>IF('Données projet'!$A$36&gt;35,N7+M8-V7,IF(A8&lt;'Données projet'!$A$36,$K$205^A8,IF(A8='Données projet'!$A$36,'Données projet'!$B$36,N7+M8-V7)))</f>
        <v>28</v>
      </c>
      <c r="O8" s="14">
        <f>N8*VLOOKUP('Données projet'!$B$9,Paramètres!$A$1:$I$89,3,0)*VLOOKUP('Données projet'!$B$9,Paramètres!$A$1:$I$89,5,0)</f>
        <v>25.334399999999999</v>
      </c>
      <c r="P8" s="14">
        <f t="shared" si="33"/>
        <v>8.0143955200794572</v>
      </c>
      <c r="Q8" s="22">
        <f t="shared" si="2"/>
        <v>58.082485530805052</v>
      </c>
      <c r="R8" s="62">
        <f t="shared" si="0"/>
        <v>320.86026330858283</v>
      </c>
      <c r="S8" s="62">
        <f ca="1">AVERAGE(OFFSET($R$3,0,0,'Données projet'!$E$9+1,1))-AVERAGE(OFFSET($H$3,0,0,'Données projet'!$E$9+1,1))</f>
        <v>302.6112905010138</v>
      </c>
      <c r="T8" s="62">
        <f t="shared" si="34"/>
        <v>423.44006663873375</v>
      </c>
      <c r="U8" s="16">
        <f>IF(ISNA(VLOOKUP(A8,'Données projet'!$A$35:$I$55,3,0)),0,VLOOKUP(A8,'Données projet'!$A$35:$I$55,3,0))</f>
        <v>1</v>
      </c>
      <c r="V8" s="16">
        <f>IF(ISNA(VLOOKUP(A8,'Données projet'!$A$35:$I$55,4,0)),0,VLOOKUP(A8,'Données projet'!$A$35:$I$55,4,0))</f>
        <v>4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1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3.4148126093398208</v>
      </c>
      <c r="AC8" s="24">
        <f t="shared" si="3"/>
        <v>3.4148126093398208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2.84</v>
      </c>
      <c r="AI8" s="14">
        <f>IF('Données projet'!$A$62&gt;35,AI7+AH8-AQ7,IF(A8&lt;'Données projet'!$A$62,$AF$205^A8,IF(A8='Données projet'!$A$62,'Données projet'!$B$62,AI7+AH8-AQ7)))</f>
        <v>2.3455876685050034</v>
      </c>
      <c r="AJ8" s="14">
        <f>AI8*VLOOKUP('Données projet'!$B$10,Paramètres!$A$1:$I$89,3,0)*VLOOKUP('Données projet'!$B$10,Paramètres!$A$1:$I$89,5,0)</f>
        <v>2.3784258958640736</v>
      </c>
      <c r="AK8" s="14">
        <f t="shared" si="35"/>
        <v>0.99092680697750823</v>
      </c>
      <c r="AL8" s="22">
        <f t="shared" si="4"/>
        <v>5.868289290782422</v>
      </c>
      <c r="AM8" s="62">
        <f t="shared" si="5"/>
        <v>268.64606706856017</v>
      </c>
      <c r="AN8" s="62">
        <f ca="1">AVERAGE(OFFSET($AM$3,0,0,'Données projet'!$E$10+1,1))-AVERAGE(OFFSET($H$3,0,0,'Données projet'!$E$10+1,1))</f>
        <v>411.98877330238821</v>
      </c>
      <c r="AO8" s="62">
        <f t="shared" si="36"/>
        <v>256.4377087753457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0.9</v>
      </c>
      <c r="BD8" s="13">
        <f>IF('Données projet'!$A$88&gt;35,BD7+BC8-BL7,IF(A8&lt;'Données projet'!$A$88,$BA$205^A8,IF(A8='Données projet'!$A$88,'Données projet'!$B$88,BD7+BC8-BL7)))</f>
        <v>2.0597671439071181</v>
      </c>
      <c r="BE8" s="14">
        <f>BD8*VLOOKUP('Données projet'!$B$11,Paramètres!$A$1:$I$89,3,0)*VLOOKUP('Données projet'!$B$11,Paramètres!$A$1:$I$89,5,0)</f>
        <v>1.7994125769172586</v>
      </c>
      <c r="BF8" s="14">
        <f t="shared" si="37"/>
        <v>0.77443611390200762</v>
      </c>
      <c r="BG8" s="22">
        <f t="shared" si="7"/>
        <v>4.4827864698435551</v>
      </c>
      <c r="BH8" s="62">
        <f t="shared" si="8"/>
        <v>267.26056424762135</v>
      </c>
      <c r="BI8" s="62">
        <f ca="1">AVERAGE(OFFSET($BH$3,0,0,'Données projet'!$E$11+1,1))-AVERAGE(OFFSET($H$3,0,0,'Données projet'!$E$11+1,1))</f>
        <v>195.30963433439501</v>
      </c>
      <c r="BJ8" s="62">
        <f t="shared" si="38"/>
        <v>185.00219255324504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1.2</v>
      </c>
      <c r="BY8" s="13">
        <f>IF('Données projet'!$A$114&gt;35,BY7+BX8-CG7,IF(A8&lt;'Données projet'!$A$114,$BV$205^A8,IF(A8='Données projet'!$A$114,'Données projet'!$B$114,BY7+BX8-CG7)))</f>
        <v>1.9743504858348202</v>
      </c>
      <c r="BZ8" s="14">
        <f>BY8*VLOOKUP('Données projet'!$B$12,Paramètres!$A$1:$I$89,3,0)*VLOOKUP('Données projet'!$B$12,Paramètres!$A$1:$I$89,5,0)</f>
        <v>1.9095917898994379</v>
      </c>
      <c r="CA8" s="14">
        <f t="shared" si="39"/>
        <v>0.81618972839261894</v>
      </c>
      <c r="CB8" s="22">
        <f t="shared" si="10"/>
        <v>4.7474028110253315</v>
      </c>
      <c r="CC8" s="62">
        <f t="shared" si="11"/>
        <v>267.5251805888031</v>
      </c>
      <c r="CD8" s="62">
        <f ca="1">AVERAGE(OFFSET($CC$3,0,0,'Données projet'!$E$12+1,1))-AVERAGE(OFFSET($H$3,0,0,'Données projet'!$E$12+1,1))</f>
        <v>298.18906674058809</v>
      </c>
      <c r="CE8" s="62">
        <f t="shared" si="40"/>
        <v>154.08406475869634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11</v>
      </c>
      <c r="N9" s="14">
        <f>IF('Données projet'!$A$36&gt;35,N8+M9-V8,IF(A9&lt;'Données projet'!$A$36,$K$205^A9,IF(A9='Données projet'!$A$36,'Données projet'!$B$36,N8+M9-V8)))</f>
        <v>35</v>
      </c>
      <c r="O9" s="14">
        <f>N9*VLOOKUP('Données projet'!$B$9,Paramètres!$A$1:$I$89,3,0)*VLOOKUP('Données projet'!$B$9,Paramètres!$A$1:$I$89,5,0)</f>
        <v>31.667999999999996</v>
      </c>
      <c r="P9" s="14">
        <f t="shared" si="33"/>
        <v>9.7611381424130652</v>
      </c>
      <c r="Q9" s="22">
        <f t="shared" si="2"/>
        <v>72.155748931369416</v>
      </c>
      <c r="R9" s="62">
        <f t="shared" si="0"/>
        <v>336.15574893136943</v>
      </c>
      <c r="S9" s="62">
        <f ca="1">AVERAGE(OFFSET($R$3,0,0,'Données projet'!$E$9+1,1))-AVERAGE(OFFSET($H$3,0,0,'Données projet'!$E$9+1,1))</f>
        <v>302.6112905010138</v>
      </c>
      <c r="T9" s="62">
        <f t="shared" si="34"/>
        <v>423.44006663873375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2.4146371525455161</v>
      </c>
      <c r="AC9" s="24">
        <f t="shared" si="3"/>
        <v>2.4146371525455161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2.84</v>
      </c>
      <c r="AI9" s="14">
        <f>IF('Données projet'!$A$62&gt;35,AI8+AH9-AQ8,IF(A9&lt;'Données projet'!$A$62,$AF$205^A9,IF(A9='Données projet'!$A$62,'Données projet'!$B$62,AI8+AH9-AQ8)))</f>
        <v>2.7816469225897635</v>
      </c>
      <c r="AJ9" s="14">
        <f>AI9*VLOOKUP('Données projet'!$B$10,Paramètres!$A$1:$I$89,3,0)*VLOOKUP('Données projet'!$B$10,Paramètres!$A$1:$I$89,5,0)</f>
        <v>2.8205899795060203</v>
      </c>
      <c r="AK9" s="14">
        <f t="shared" si="35"/>
        <v>1.1520529819039591</v>
      </c>
      <c r="AL9" s="22">
        <f t="shared" si="4"/>
        <v>6.919019824455714</v>
      </c>
      <c r="AM9" s="62">
        <f t="shared" si="5"/>
        <v>270.91901982445569</v>
      </c>
      <c r="AN9" s="62">
        <f ca="1">AVERAGE(OFFSET($AM$3,0,0,'Données projet'!$E$10+1,1))-AVERAGE(OFFSET($H$3,0,0,'Données projet'!$E$10+1,1))</f>
        <v>411.98877330238821</v>
      </c>
      <c r="AO9" s="62">
        <f t="shared" si="36"/>
        <v>256.4377087753457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0.9</v>
      </c>
      <c r="BD9" s="13">
        <f>IF('Données projet'!$A$88&gt;35,BD8+BC9-BL8,IF(A9&lt;'Données projet'!$A$88,$BA$205^A9,IF(A9='Données projet'!$A$88,'Données projet'!$B$88,BD8+BC9-BL8)))</f>
        <v>2.3800262745964411</v>
      </c>
      <c r="BE9" s="14">
        <f>BD9*VLOOKUP('Données projet'!$B$11,Paramètres!$A$1:$I$89,3,0)*VLOOKUP('Données projet'!$B$11,Paramètres!$A$1:$I$89,5,0)</f>
        <v>2.0791909534874513</v>
      </c>
      <c r="BF9" s="14">
        <f t="shared" si="37"/>
        <v>0.87992070356451979</v>
      </c>
      <c r="BG9" s="22">
        <f t="shared" si="7"/>
        <v>5.1537861360321822</v>
      </c>
      <c r="BH9" s="62">
        <f t="shared" si="8"/>
        <v>269.15378613603218</v>
      </c>
      <c r="BI9" s="62">
        <f ca="1">AVERAGE(OFFSET($BH$3,0,0,'Données projet'!$E$11+1,1))-AVERAGE(OFFSET($H$3,0,0,'Données projet'!$E$11+1,1))</f>
        <v>195.30963433439501</v>
      </c>
      <c r="BJ9" s="62">
        <f t="shared" si="38"/>
        <v>185.00219255324504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1.2</v>
      </c>
      <c r="BY9" s="13">
        <f>IF('Données projet'!$A$114&gt;35,BY8+BX9-CG8,IF(A9&lt;'Données projet'!$A$114,$BV$205^A9,IF(A9='Données projet'!$A$114,'Données projet'!$B$114,BY8+BX9-CG8)))</f>
        <v>2.2620859438457455</v>
      </c>
      <c r="BZ9" s="14">
        <f>BY9*VLOOKUP('Données projet'!$B$12,Paramètres!$A$1:$I$89,3,0)*VLOOKUP('Données projet'!$B$12,Paramètres!$A$1:$I$89,5,0)</f>
        <v>2.1878895248876051</v>
      </c>
      <c r="CA9" s="14">
        <f t="shared" si="39"/>
        <v>0.92044638962272363</v>
      </c>
      <c r="CB9" s="22">
        <f t="shared" si="10"/>
        <v>5.4136850511054888</v>
      </c>
      <c r="CC9" s="62">
        <f t="shared" si="11"/>
        <v>269.41368505110552</v>
      </c>
      <c r="CD9" s="62">
        <f ca="1">AVERAGE(OFFSET($CC$3,0,0,'Données projet'!$E$12+1,1))-AVERAGE(OFFSET($H$3,0,0,'Données projet'!$E$12+1,1))</f>
        <v>298.18906674058809</v>
      </c>
      <c r="CE9" s="62">
        <f t="shared" si="40"/>
        <v>154.08406475869634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11</v>
      </c>
      <c r="N10" s="14">
        <f>IF('Données projet'!$A$36&gt;35,N9+M10-V9,IF(A10&lt;'Données projet'!$A$36,$K$205^A10,IF(A10='Données projet'!$A$36,'Données projet'!$B$36,N9+M10-V9)))</f>
        <v>46</v>
      </c>
      <c r="O10" s="14">
        <f>N10*VLOOKUP('Données projet'!$B$9,Paramètres!$A$1:$I$89,3,0)*VLOOKUP('Données projet'!$B$9,Paramètres!$A$1:$I$89,5,0)</f>
        <v>41.620800000000003</v>
      </c>
      <c r="P10" s="14">
        <f t="shared" si="33"/>
        <v>12.427241987862391</v>
      </c>
      <c r="Q10" s="22">
        <f t="shared" si="2"/>
        <v>94.133673128860323</v>
      </c>
      <c r="R10" s="62">
        <f t="shared" si="0"/>
        <v>359.35589535108255</v>
      </c>
      <c r="S10" s="62">
        <f ca="1">AVERAGE(OFFSET($R$3,0,0,'Données projet'!$E$9+1,1))-AVERAGE(OFFSET($H$3,0,0,'Données projet'!$E$9+1,1))</f>
        <v>302.6112905010138</v>
      </c>
      <c r="T10" s="62">
        <f t="shared" si="34"/>
        <v>423.44006663873375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1.7074063046699106</v>
      </c>
      <c r="AC10" s="24">
        <f t="shared" si="3"/>
        <v>1.7074063046699106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2.84</v>
      </c>
      <c r="AI10" s="14">
        <f>IF('Données projet'!$A$62&gt;35,AI9+AH10-AQ9,IF(A10&lt;'Données projet'!$A$62,$AF$205^A10,IF(A10='Données projet'!$A$62,'Données projet'!$B$62,AI9+AH10-AQ9)))</f>
        <v>3.2987722888587467</v>
      </c>
      <c r="AJ10" s="14">
        <f>AI10*VLOOKUP('Données projet'!$B$10,Paramètres!$A$1:$I$89,3,0)*VLOOKUP('Données projet'!$B$10,Paramètres!$A$1:$I$89,5,0)</f>
        <v>3.3449551009027689</v>
      </c>
      <c r="AK10" s="14">
        <f t="shared" si="35"/>
        <v>1.3393785128914457</v>
      </c>
      <c r="AL10" s="22">
        <f t="shared" si="4"/>
        <v>8.1585477106915896</v>
      </c>
      <c r="AM10" s="62">
        <f t="shared" si="5"/>
        <v>273.38076993291384</v>
      </c>
      <c r="AN10" s="62">
        <f ca="1">AVERAGE(OFFSET($AM$3,0,0,'Données projet'!$E$10+1,1))-AVERAGE(OFFSET($H$3,0,0,'Données projet'!$E$10+1,1))</f>
        <v>411.98877330238821</v>
      </c>
      <c r="AO10" s="62">
        <f t="shared" si="36"/>
        <v>256.4377087753457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0.9</v>
      </c>
      <c r="BD10" s="13">
        <f>IF('Données projet'!$A$88&gt;35,BD9+BC10-BL9,IF(A10&lt;'Données projet'!$A$88,$BA$205^A10,IF(A10='Données projet'!$A$88,'Données projet'!$B$88,BD9+BC10-BL9)))</f>
        <v>2.7500803110319185</v>
      </c>
      <c r="BE10" s="14">
        <f>BD10*VLOOKUP('Données projet'!$B$11,Paramètres!$A$1:$I$89,3,0)*VLOOKUP('Données projet'!$B$11,Paramètres!$A$1:$I$89,5,0)</f>
        <v>2.4024701597174842</v>
      </c>
      <c r="BF10" s="14">
        <f t="shared" si="37"/>
        <v>0.9997731648390682</v>
      </c>
      <c r="BG10" s="22">
        <f t="shared" si="7"/>
        <v>5.9255737902693291</v>
      </c>
      <c r="BH10" s="62">
        <f t="shared" si="8"/>
        <v>271.14779601249154</v>
      </c>
      <c r="BI10" s="62">
        <f ca="1">AVERAGE(OFFSET($BH$3,0,0,'Données projet'!$E$11+1,1))-AVERAGE(OFFSET($H$3,0,0,'Données projet'!$E$11+1,1))</f>
        <v>195.30963433439501</v>
      </c>
      <c r="BJ10" s="62">
        <f t="shared" si="38"/>
        <v>185.00219255324504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1.2</v>
      </c>
      <c r="BY10" s="13">
        <f>IF('Données projet'!$A$114&gt;35,BY9+BX10-CG9,IF(A10&lt;'Données projet'!$A$114,$BV$205^A10,IF(A10='Données projet'!$A$114,'Données projet'!$B$114,BY9+BX10-CG9)))</f>
        <v>2.5917550374450604</v>
      </c>
      <c r="BZ10" s="14">
        <f>BY10*VLOOKUP('Données projet'!$B$12,Paramètres!$A$1:$I$89,3,0)*VLOOKUP('Données projet'!$B$12,Paramètres!$A$1:$I$89,5,0)</f>
        <v>2.5067454722168625</v>
      </c>
      <c r="CA10" s="14">
        <f t="shared" si="39"/>
        <v>1.038020360582093</v>
      </c>
      <c r="CB10" s="22">
        <f t="shared" si="10"/>
        <v>6.1738004921248475</v>
      </c>
      <c r="CC10" s="62">
        <f t="shared" si="11"/>
        <v>271.39602271434705</v>
      </c>
      <c r="CD10" s="62">
        <f ca="1">AVERAGE(OFFSET($CC$3,0,0,'Données projet'!$E$12+1,1))-AVERAGE(OFFSET($H$3,0,0,'Données projet'!$E$12+1,1))</f>
        <v>298.18906674058809</v>
      </c>
      <c r="CE10" s="62">
        <f t="shared" si="40"/>
        <v>154.08406475869634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11</v>
      </c>
      <c r="N11" s="14">
        <f>IF('Données projet'!$A$36&gt;35,N10+M11-V10,IF(A11&lt;'Données projet'!$A$36,$K$205^A11,IF(A11='Données projet'!$A$36,'Données projet'!$B$36,N10+M11-V10)))</f>
        <v>57</v>
      </c>
      <c r="O11" s="14">
        <f>N11*VLOOKUP('Données projet'!$B$9,Paramètres!$A$1:$I$89,3,0)*VLOOKUP('Données projet'!$B$9,Paramètres!$A$1:$I$89,5,0)</f>
        <v>51.573599999999992</v>
      </c>
      <c r="P11" s="14">
        <f t="shared" si="33"/>
        <v>15.019412930275323</v>
      </c>
      <c r="Q11" s="22">
        <f t="shared" si="2"/>
        <v>115.98283085356282</v>
      </c>
      <c r="R11" s="62">
        <f t="shared" si="0"/>
        <v>382.42727529800726</v>
      </c>
      <c r="S11" s="62">
        <f ca="1">AVERAGE(OFFSET($R$3,0,0,'Données projet'!$E$9+1,1))-AVERAGE(OFFSET($H$3,0,0,'Données projet'!$E$9+1,1))</f>
        <v>302.6112905010138</v>
      </c>
      <c r="T11" s="62">
        <f t="shared" si="34"/>
        <v>423.44006663873375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1.2073185762727583</v>
      </c>
      <c r="AC11" s="24">
        <f t="shared" si="3"/>
        <v>1.2073185762727583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2.84</v>
      </c>
      <c r="AI11" s="14">
        <f>IF('Données projet'!$A$62&gt;35,AI10+AH11-AQ10,IF(A11&lt;'Données projet'!$A$62,$AF$205^A11,IF(A11='Données projet'!$A$62,'Données projet'!$B$62,AI10+AH11-AQ10)))</f>
        <v>3.9120344589280696</v>
      </c>
      <c r="AJ11" s="14">
        <f>AI11*VLOOKUP('Données projet'!$B$10,Paramètres!$A$1:$I$89,3,0)*VLOOKUP('Données projet'!$B$10,Paramètres!$A$1:$I$89,5,0)</f>
        <v>3.9668029413530626</v>
      </c>
      <c r="AK11" s="14">
        <f t="shared" si="35"/>
        <v>1.5571634542627768</v>
      </c>
      <c r="AL11" s="22">
        <f t="shared" si="4"/>
        <v>9.6209081390309201</v>
      </c>
      <c r="AM11" s="62">
        <f t="shared" si="5"/>
        <v>276.06535258347537</v>
      </c>
      <c r="AN11" s="62">
        <f ca="1">AVERAGE(OFFSET($AM$3,0,0,'Données projet'!$E$10+1,1))-AVERAGE(OFFSET($H$3,0,0,'Données projet'!$E$10+1,1))</f>
        <v>411.98877330238821</v>
      </c>
      <c r="AO11" s="62">
        <f t="shared" si="36"/>
        <v>256.4377087753457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0.9</v>
      </c>
      <c r="BD11" s="13">
        <f>IF('Données projet'!$A$88&gt;35,BD10+BC11-BL10,IF(A11&lt;'Données projet'!$A$88,$BA$205^A11,IF(A11='Données projet'!$A$88,'Données projet'!$B$88,BD10+BC11-BL10)))</f>
        <v>3.1776715231464374</v>
      </c>
      <c r="BE11" s="14">
        <f>BD11*VLOOKUP('Données projet'!$B$11,Paramètres!$A$1:$I$89,3,0)*VLOOKUP('Données projet'!$B$11,Paramètres!$A$1:$I$89,5,0)</f>
        <v>2.7760138426207281</v>
      </c>
      <c r="BF11" s="14">
        <f t="shared" si="37"/>
        <v>1.135950520408497</v>
      </c>
      <c r="BG11" s="22">
        <f t="shared" si="7"/>
        <v>6.8133379322758998</v>
      </c>
      <c r="BH11" s="62">
        <f t="shared" si="8"/>
        <v>273.25778237672034</v>
      </c>
      <c r="BI11" s="62">
        <f ca="1">AVERAGE(OFFSET($BH$3,0,0,'Données projet'!$E$11+1,1))-AVERAGE(OFFSET($H$3,0,0,'Données projet'!$E$11+1,1))</f>
        <v>195.30963433439501</v>
      </c>
      <c r="BJ11" s="62">
        <f t="shared" si="38"/>
        <v>185.00219255324504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1.2</v>
      </c>
      <c r="BY11" s="13">
        <f>IF('Données projet'!$A$114&gt;35,BY10+BX11-CG10,IF(A11&lt;'Données projet'!$A$114,$BV$205^A11,IF(A11='Données projet'!$A$114,'Données projet'!$B$114,BY10+BX11-CG10)))</f>
        <v>2.9694690391391689</v>
      </c>
      <c r="BZ11" s="14">
        <f>BY11*VLOOKUP('Données projet'!$B$12,Paramètres!$A$1:$I$89,3,0)*VLOOKUP('Données projet'!$B$12,Paramètres!$A$1:$I$89,5,0)</f>
        <v>2.8720704546554043</v>
      </c>
      <c r="CA11" s="14">
        <f t="shared" si="39"/>
        <v>1.1706127387002112</v>
      </c>
      <c r="CB11" s="22">
        <f t="shared" si="10"/>
        <v>7.04100656176103</v>
      </c>
      <c r="CC11" s="62">
        <f t="shared" si="11"/>
        <v>273.48545100620549</v>
      </c>
      <c r="CD11" s="62">
        <f ca="1">AVERAGE(OFFSET($CC$3,0,0,'Données projet'!$E$12+1,1))-AVERAGE(OFFSET($H$3,0,0,'Données projet'!$E$12+1,1))</f>
        <v>298.18906674058809</v>
      </c>
      <c r="CE11" s="62">
        <f t="shared" si="40"/>
        <v>154.08406475869634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11</v>
      </c>
      <c r="N12" s="14">
        <f>IF('Données projet'!$A$36&gt;35,N11+M12-V11,IF(A12&lt;'Données projet'!$A$36,$K$205^A12,IF(A12='Données projet'!$A$36,'Données projet'!$B$36,N11+M12-V11)))</f>
        <v>68</v>
      </c>
      <c r="O12" s="14">
        <f>N12*VLOOKUP('Données projet'!$B$9,Paramètres!$A$1:$I$89,3,0)*VLOOKUP('Données projet'!$B$9,Paramètres!$A$1:$I$89,5,0)</f>
        <v>61.526399999999995</v>
      </c>
      <c r="P12" s="14">
        <f t="shared" si="33"/>
        <v>17.553624762159014</v>
      </c>
      <c r="Q12" s="22">
        <f t="shared" si="2"/>
        <v>137.73104312742694</v>
      </c>
      <c r="R12" s="62">
        <f t="shared" si="0"/>
        <v>405.39770979409366</v>
      </c>
      <c r="S12" s="62">
        <f ca="1">AVERAGE(OFFSET($R$3,0,0,'Données projet'!$E$9+1,1))-AVERAGE(OFFSET($H$3,0,0,'Données projet'!$E$9+1,1))</f>
        <v>302.6112905010138</v>
      </c>
      <c r="T12" s="62">
        <f t="shared" si="34"/>
        <v>423.44006663873375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0.85370315233495542</v>
      </c>
      <c r="AC12" s="24">
        <f t="shared" si="3"/>
        <v>0.85370315233495542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2.84</v>
      </c>
      <c r="AI12" s="14">
        <f>IF('Données projet'!$A$62&gt;35,AI11+AH12-AQ11,IF(A12&lt;'Données projet'!$A$62,$AF$205^A12,IF(A12='Données projet'!$A$62,'Données projet'!$B$62,AI11+AH12-AQ11)))</f>
        <v>4.6393058591914071</v>
      </c>
      <c r="AJ12" s="14">
        <f>AI12*VLOOKUP('Données projet'!$B$10,Paramètres!$A$1:$I$89,3,0)*VLOOKUP('Données projet'!$B$10,Paramètres!$A$1:$I$89,5,0)</f>
        <v>4.7042561412200872</v>
      </c>
      <c r="AK12" s="14">
        <f t="shared" si="35"/>
        <v>1.8103605515195429</v>
      </c>
      <c r="AL12" s="22">
        <f t="shared" si="4"/>
        <v>11.346290739854856</v>
      </c>
      <c r="AM12" s="62">
        <f t="shared" si="5"/>
        <v>279.01295740652154</v>
      </c>
      <c r="AN12" s="62">
        <f ca="1">AVERAGE(OFFSET($AM$3,0,0,'Données projet'!$E$10+1,1))-AVERAGE(OFFSET($H$3,0,0,'Données projet'!$E$10+1,1))</f>
        <v>411.98877330238821</v>
      </c>
      <c r="AO12" s="62">
        <f t="shared" si="36"/>
        <v>256.4377087753457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0.9</v>
      </c>
      <c r="BD12" s="13">
        <f>IF('Données projet'!$A$88&gt;35,BD11+BC12-BL11,IF(A12&lt;'Données projet'!$A$88,$BA$205^A12,IF(A12='Données projet'!$A$88,'Données projet'!$B$88,BD11+BC12-BL11)))</f>
        <v>3.6717459735664435</v>
      </c>
      <c r="BE12" s="14">
        <f>BD12*VLOOKUP('Données projet'!$B$11,Paramètres!$A$1:$I$89,3,0)*VLOOKUP('Données projet'!$B$11,Paramètres!$A$1:$I$89,5,0)</f>
        <v>3.2076372825076458</v>
      </c>
      <c r="BF12" s="14">
        <f t="shared" si="37"/>
        <v>1.290676355595167</v>
      </c>
      <c r="BG12" s="22">
        <f t="shared" si="7"/>
        <v>7.834562919695732</v>
      </c>
      <c r="BH12" s="62">
        <f t="shared" si="8"/>
        <v>275.5012295863624</v>
      </c>
      <c r="BI12" s="62">
        <f ca="1">AVERAGE(OFFSET($BH$3,0,0,'Données projet'!$E$11+1,1))-AVERAGE(OFFSET($H$3,0,0,'Données projet'!$E$11+1,1))</f>
        <v>195.30963433439501</v>
      </c>
      <c r="BJ12" s="62">
        <f t="shared" si="38"/>
        <v>185.00219255324504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1.2</v>
      </c>
      <c r="BY12" s="13">
        <f>IF('Données projet'!$A$114&gt;35,BY11+BX12-CG11,IF(A12&lt;'Données projet'!$A$114,$BV$205^A12,IF(A12='Données projet'!$A$114,'Données projet'!$B$114,BY11+BX12-CG11)))</f>
        <v>3.4022298585357786</v>
      </c>
      <c r="BZ12" s="14">
        <f>BY12*VLOOKUP('Données projet'!$B$12,Paramètres!$A$1:$I$89,3,0)*VLOOKUP('Données projet'!$B$12,Paramètres!$A$1:$I$89,5,0)</f>
        <v>3.2906367191758048</v>
      </c>
      <c r="CA12" s="14">
        <f t="shared" si="39"/>
        <v>1.3201419124753617</v>
      </c>
      <c r="CB12" s="22">
        <f t="shared" si="10"/>
        <v>8.0304394501257814</v>
      </c>
      <c r="CC12" s="62">
        <f t="shared" si="11"/>
        <v>275.69710611679244</v>
      </c>
      <c r="CD12" s="62">
        <f ca="1">AVERAGE(OFFSET($CC$3,0,0,'Données projet'!$E$12+1,1))-AVERAGE(OFFSET($H$3,0,0,'Données projet'!$E$12+1,1))</f>
        <v>298.18906674058809</v>
      </c>
      <c r="CE12" s="62">
        <f t="shared" si="40"/>
        <v>154.08406475869634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79</v>
      </c>
      <c r="L13" s="13">
        <f>VLOOKUP(A13,'Données projet'!$A$35:$I$55,9,0)</f>
        <v>11</v>
      </c>
      <c r="M13" s="13">
        <f t="array" ref="M13">INDEX(L:L,MIN(IF(ISNUMBER(L13:L209),ROW(L13:L209),"")))</f>
        <v>11</v>
      </c>
      <c r="N13" s="14">
        <f>IF('Données projet'!$A$36&gt;35,N12+M13-V12,IF(A13&lt;'Données projet'!$A$36,$K$205^A13,IF(A13='Données projet'!$A$36,'Données projet'!$B$36,N12+M13-V12)))</f>
        <v>79</v>
      </c>
      <c r="O13" s="14">
        <f>N13*VLOOKUP('Données projet'!$B$9,Paramètres!$A$1:$I$89,3,0)*VLOOKUP('Données projet'!$B$9,Paramètres!$A$1:$I$89,5,0)</f>
        <v>71.479200000000006</v>
      </c>
      <c r="P13" s="14">
        <f t="shared" si="33"/>
        <v>20.040346808618612</v>
      </c>
      <c r="Q13" s="22">
        <f t="shared" si="2"/>
        <v>159.39654402501074</v>
      </c>
      <c r="R13" s="62">
        <f t="shared" si="0"/>
        <v>428.28543291389963</v>
      </c>
      <c r="S13" s="62">
        <f ca="1">AVERAGE(OFFSET($R$3,0,0,'Données projet'!$E$9+1,1))-AVERAGE(OFFSET($H$3,0,0,'Données projet'!$E$9+1,1))</f>
        <v>302.6112905010138</v>
      </c>
      <c r="T13" s="62">
        <f t="shared" si="34"/>
        <v>423.44006663873375</v>
      </c>
      <c r="U13" s="16">
        <f>IF(ISNA(VLOOKUP(A13,'Données projet'!$A$35:$I$55,3,0)),0,VLOOKUP(A13,'Données projet'!$A$35:$I$55,3,0))</f>
        <v>2</v>
      </c>
      <c r="V13" s="16">
        <f>IF(ISNA(VLOOKUP(A13,'Données projet'!$A$35:$I$55,4,0)),0,VLOOKUP(A13,'Données projet'!$A$35:$I$55,4,0))</f>
        <v>21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1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18.531425487170438</v>
      </c>
      <c r="AC13" s="24">
        <f t="shared" si="3"/>
        <v>18.531425487170438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2.84</v>
      </c>
      <c r="AI13" s="14">
        <f>IF('Données projet'!$A$62&gt;35,AI12+AH13-AQ12,IF(A13&lt;'Données projet'!$A$62,$AF$205^A13,IF(A13='Données projet'!$A$62,'Données projet'!$B$62,AI12+AH13-AQ12)))</f>
        <v>5.5017815106427381</v>
      </c>
      <c r="AJ13" s="14">
        <f>AI13*VLOOKUP('Données projet'!$B$10,Paramètres!$A$1:$I$89,3,0)*VLOOKUP('Données projet'!$B$10,Paramètres!$A$1:$I$89,5,0)</f>
        <v>5.5788064517917366</v>
      </c>
      <c r="AK13" s="14">
        <f t="shared" si="35"/>
        <v>2.1047278739596393</v>
      </c>
      <c r="AL13" s="22">
        <f t="shared" si="4"/>
        <v>13.382155617350314</v>
      </c>
      <c r="AM13" s="62">
        <f t="shared" si="5"/>
        <v>282.27104450623915</v>
      </c>
      <c r="AN13" s="62">
        <f ca="1">AVERAGE(OFFSET($AM$3,0,0,'Données projet'!$E$10+1,1))-AVERAGE(OFFSET($H$3,0,0,'Données projet'!$E$10+1,1))</f>
        <v>411.98877330238821</v>
      </c>
      <c r="AO13" s="62">
        <f t="shared" si="36"/>
        <v>256.4377087753457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0.9</v>
      </c>
      <c r="BD13" s="13">
        <f>IF('Données projet'!$A$88&gt;35,BD12+BC13-BL12,IF(A13&lt;'Données projet'!$A$88,$BA$205^A13,IF(A13='Données projet'!$A$88,'Données projet'!$B$88,BD12+BC13-BL12)))</f>
        <v>4.2426406871192865</v>
      </c>
      <c r="BE13" s="14">
        <f>BD13*VLOOKUP('Données projet'!$B$11,Paramètres!$A$1:$I$89,3,0)*VLOOKUP('Données projet'!$B$11,Paramètres!$A$1:$I$89,5,0)</f>
        <v>3.7063709042674091</v>
      </c>
      <c r="BF13" s="14">
        <f t="shared" si="37"/>
        <v>1.4664771263922398</v>
      </c>
      <c r="BG13" s="22">
        <f t="shared" si="7"/>
        <v>9.0093769867322209</v>
      </c>
      <c r="BH13" s="62">
        <f t="shared" si="8"/>
        <v>277.89826587562106</v>
      </c>
      <c r="BI13" s="62">
        <f ca="1">AVERAGE(OFFSET($BH$3,0,0,'Données projet'!$E$11+1,1))-AVERAGE(OFFSET($H$3,0,0,'Données projet'!$E$11+1,1))</f>
        <v>195.30963433439501</v>
      </c>
      <c r="BJ13" s="62">
        <f t="shared" si="38"/>
        <v>185.00219255324504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1.2</v>
      </c>
      <c r="BY13" s="13">
        <f>IF('Données projet'!$A$114&gt;35,BY12+BX13-CG12,IF(A13&lt;'Données projet'!$A$114,$BV$205^A13,IF(A13='Données projet'!$A$114,'Données projet'!$B$114,BY12+BX13-CG12)))</f>
        <v>3.8980598409161908</v>
      </c>
      <c r="BZ13" s="14">
        <f>BY13*VLOOKUP('Données projet'!$B$12,Paramètres!$A$1:$I$89,3,0)*VLOOKUP('Données projet'!$B$12,Paramètres!$A$1:$I$89,5,0)</f>
        <v>3.7702034781341398</v>
      </c>
      <c r="CA13" s="14">
        <f t="shared" si="39"/>
        <v>1.4887713173266797</v>
      </c>
      <c r="CB13" s="22">
        <f t="shared" si="10"/>
        <v>9.1593811020942599</v>
      </c>
      <c r="CC13" s="62">
        <f t="shared" si="11"/>
        <v>278.0482699909831</v>
      </c>
      <c r="CD13" s="62">
        <f ca="1">AVERAGE(OFFSET($CC$3,0,0,'Données projet'!$E$12+1,1))-AVERAGE(OFFSET($H$3,0,0,'Données projet'!$E$12+1,1))</f>
        <v>298.18906674058809</v>
      </c>
      <c r="CE13" s="62">
        <f t="shared" si="40"/>
        <v>154.08406475869634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11</v>
      </c>
      <c r="N14" s="14">
        <f>IF('Données projet'!$A$36&gt;35,N13+M14-V13,IF(A14&lt;'Données projet'!$A$36,$K$205^A14,IF(A14='Données projet'!$A$36,'Données projet'!$B$36,N13+M14-V13)))</f>
        <v>69</v>
      </c>
      <c r="O14" s="14">
        <f>N14*VLOOKUP('Données projet'!$B$9,Paramètres!$A$1:$I$89,3,0)*VLOOKUP('Données projet'!$B$9,Paramètres!$A$1:$I$89,5,0)</f>
        <v>62.431199999999997</v>
      </c>
      <c r="P14" s="14">
        <f t="shared" si="33"/>
        <v>17.781524466058684</v>
      </c>
      <c r="Q14" s="22">
        <f t="shared" si="2"/>
        <v>139.70382844505221</v>
      </c>
      <c r="R14" s="62">
        <f t="shared" si="0"/>
        <v>409.81493955616338</v>
      </c>
      <c r="S14" s="62">
        <f ca="1">AVERAGE(OFFSET($R$3,0,0,'Données projet'!$E$9+1,1))-AVERAGE(OFFSET($H$3,0,0,'Données projet'!$E$9+1,1))</f>
        <v>302.6112905010138</v>
      </c>
      <c r="T14" s="62">
        <f t="shared" si="34"/>
        <v>423.44006663873375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13.103696627031438</v>
      </c>
      <c r="AC14" s="24">
        <f t="shared" si="3"/>
        <v>13.103696627031438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2.84</v>
      </c>
      <c r="AI14" s="14">
        <f>IF('Données projet'!$A$62&gt;35,AI13+AH14-AQ13,IF(A14&lt;'Données projet'!$A$62,$AF$205^A14,IF(A14='Données projet'!$A$62,'Données projet'!$B$62,AI13+AH14-AQ13)))</f>
        <v>6.5245967197614414</v>
      </c>
      <c r="AJ14" s="14">
        <f>AI14*VLOOKUP('Données projet'!$B$10,Paramètres!$A$1:$I$89,3,0)*VLOOKUP('Données projet'!$B$10,Paramètres!$A$1:$I$89,5,0)</f>
        <v>6.6159410738381021</v>
      </c>
      <c r="AK14" s="14">
        <f t="shared" si="35"/>
        <v>2.4469597615261804</v>
      </c>
      <c r="AL14" s="22">
        <f t="shared" si="4"/>
        <v>15.784552288259455</v>
      </c>
      <c r="AM14" s="62">
        <f t="shared" si="5"/>
        <v>285.89566339937062</v>
      </c>
      <c r="AN14" s="62">
        <f ca="1">AVERAGE(OFFSET($AM$3,0,0,'Données projet'!$E$10+1,1))-AVERAGE(OFFSET($H$3,0,0,'Données projet'!$E$10+1,1))</f>
        <v>411.98877330238821</v>
      </c>
      <c r="AO14" s="62">
        <f t="shared" si="36"/>
        <v>256.4377087753457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0.9</v>
      </c>
      <c r="BD14" s="13">
        <f>IF('Données projet'!$A$88&gt;35,BD13+BC14-BL13,IF(A14&lt;'Données projet'!$A$88,$BA$205^A14,IF(A14='Données projet'!$A$88,'Données projet'!$B$88,BD13+BC14-BL13)))</f>
        <v>4.9022999220494095</v>
      </c>
      <c r="BE14" s="14">
        <f>BD14*VLOOKUP('Données projet'!$B$11,Paramètres!$A$1:$I$89,3,0)*VLOOKUP('Données projet'!$B$11,Paramètres!$A$1:$I$89,5,0)</f>
        <v>4.2826492119023651</v>
      </c>
      <c r="BF14" s="14">
        <f t="shared" si="37"/>
        <v>1.6662234129484463</v>
      </c>
      <c r="BG14" s="22">
        <f t="shared" si="7"/>
        <v>10.360953154948495</v>
      </c>
      <c r="BH14" s="62">
        <f t="shared" si="8"/>
        <v>280.47206426605965</v>
      </c>
      <c r="BI14" s="62">
        <f ca="1">AVERAGE(OFFSET($BH$3,0,0,'Données projet'!$E$11+1,1))-AVERAGE(OFFSET($H$3,0,0,'Données projet'!$E$11+1,1))</f>
        <v>195.30963433439501</v>
      </c>
      <c r="BJ14" s="62">
        <f t="shared" si="38"/>
        <v>185.00219255324504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1.2</v>
      </c>
      <c r="BY14" s="13">
        <f>IF('Données projet'!$A$114&gt;35,BY13+BX14-CG13,IF(A14&lt;'Données projet'!$A$114,$BV$205^A14,IF(A14='Données projet'!$A$114,'Données projet'!$B$114,BY13+BX14-CG13)))</f>
        <v>4.4661504822319662</v>
      </c>
      <c r="BZ14" s="14">
        <f>BY14*VLOOKUP('Données projet'!$B$12,Paramètres!$A$1:$I$89,3,0)*VLOOKUP('Données projet'!$B$12,Paramètres!$A$1:$I$89,5,0)</f>
        <v>4.3196607464147583</v>
      </c>
      <c r="CA14" s="14">
        <f t="shared" si="39"/>
        <v>1.6789407368626241</v>
      </c>
      <c r="CB14" s="22">
        <f t="shared" si="10"/>
        <v>10.44756425004144</v>
      </c>
      <c r="CC14" s="62">
        <f t="shared" si="11"/>
        <v>280.55867536115261</v>
      </c>
      <c r="CD14" s="62">
        <f ca="1">AVERAGE(OFFSET($CC$3,0,0,'Données projet'!$E$12+1,1))-AVERAGE(OFFSET($H$3,0,0,'Données projet'!$E$12+1,1))</f>
        <v>298.18906674058809</v>
      </c>
      <c r="CE14" s="62">
        <f t="shared" si="40"/>
        <v>154.08406475869634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11</v>
      </c>
      <c r="N15" s="14">
        <f>IF('Données projet'!$A$36&gt;35,N14+M15-V14,IF(A15&lt;'Données projet'!$A$36,$K$205^A15,IF(A15='Données projet'!$A$36,'Données projet'!$B$36,N14+M15-V14)))</f>
        <v>80</v>
      </c>
      <c r="O15" s="14">
        <f>N15*VLOOKUP('Données projet'!$B$9,Paramètres!$A$1:$I$89,3,0)*VLOOKUP('Données projet'!$B$9,Paramètres!$A$1:$I$89,5,0)</f>
        <v>72.384</v>
      </c>
      <c r="P15" s="14">
        <f t="shared" si="33"/>
        <v>20.264329923804397</v>
      </c>
      <c r="Q15" s="22">
        <f t="shared" si="2"/>
        <v>161.362507950626</v>
      </c>
      <c r="R15" s="62">
        <f t="shared" si="0"/>
        <v>432.69584128395934</v>
      </c>
      <c r="S15" s="62">
        <f ca="1">AVERAGE(OFFSET($R$3,0,0,'Données projet'!$E$9+1,1))-AVERAGE(OFFSET($H$3,0,0,'Données projet'!$E$9+1,1))</f>
        <v>302.6112905010138</v>
      </c>
      <c r="T15" s="62">
        <f t="shared" si="34"/>
        <v>423.44006663873375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9.2657127435852207</v>
      </c>
      <c r="AC15" s="24">
        <f t="shared" si="3"/>
        <v>9.2657127435852207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2.84</v>
      </c>
      <c r="AI15" s="14">
        <f>IF('Données projet'!$A$62&gt;35,AI14+AH15-AQ14,IF(A15&lt;'Données projet'!$A$62,$AF$205^A15,IF(A15='Données projet'!$A$62,'Données projet'!$B$62,AI14+AH15-AQ14)))</f>
        <v>7.7375596019531026</v>
      </c>
      <c r="AJ15" s="14">
        <f>AI15*VLOOKUP('Données projet'!$B$10,Paramètres!$A$1:$I$89,3,0)*VLOOKUP('Données projet'!$B$10,Paramètres!$A$1:$I$89,5,0)</f>
        <v>7.8458854363804464</v>
      </c>
      <c r="AK15" s="14">
        <f t="shared" si="35"/>
        <v>2.844839063809101</v>
      </c>
      <c r="AL15" s="22">
        <f t="shared" si="4"/>
        <v>18.619678504496793</v>
      </c>
      <c r="AM15" s="62">
        <f t="shared" si="5"/>
        <v>289.9530118378301</v>
      </c>
      <c r="AN15" s="62">
        <f ca="1">AVERAGE(OFFSET($AM$3,0,0,'Données projet'!$E$10+1,1))-AVERAGE(OFFSET($H$3,0,0,'Données projet'!$E$10+1,1))</f>
        <v>411.98877330238821</v>
      </c>
      <c r="AO15" s="62">
        <f t="shared" si="36"/>
        <v>256.4377087753457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0.9</v>
      </c>
      <c r="BD15" s="13">
        <f>IF('Données projet'!$A$88&gt;35,BD14+BC15-BL14,IF(A15&lt;'Données projet'!$A$88,$BA$205^A15,IF(A15='Données projet'!$A$88,'Données projet'!$B$88,BD14+BC15-BL14)))</f>
        <v>5.6645250677694134</v>
      </c>
      <c r="BE15" s="14">
        <f>BD15*VLOOKUP('Données projet'!$B$11,Paramètres!$A$1:$I$89,3,0)*VLOOKUP('Données projet'!$B$11,Paramètres!$A$1:$I$89,5,0)</f>
        <v>4.9485290992033608</v>
      </c>
      <c r="BF15" s="14">
        <f t="shared" si="37"/>
        <v>1.8931767921179217</v>
      </c>
      <c r="BG15" s="22">
        <f t="shared" si="7"/>
        <v>11.915971094051232</v>
      </c>
      <c r="BH15" s="62">
        <f t="shared" si="8"/>
        <v>283.24930442738457</v>
      </c>
      <c r="BI15" s="62">
        <f ca="1">AVERAGE(OFFSET($BH$3,0,0,'Données projet'!$E$11+1,1))-AVERAGE(OFFSET($H$3,0,0,'Données projet'!$E$11+1,1))</f>
        <v>195.30963433439501</v>
      </c>
      <c r="BJ15" s="62">
        <f t="shared" si="38"/>
        <v>185.00219255324504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1.2</v>
      </c>
      <c r="BY15" s="13">
        <f>IF('Données projet'!$A$114&gt;35,BY14+BX15-CG14,IF(A15&lt;'Données projet'!$A$114,$BV$205^A15,IF(A15='Données projet'!$A$114,'Données projet'!$B$114,BY14+BX15-CG14)))</f>
        <v>5.1170328173444979</v>
      </c>
      <c r="BZ15" s="14">
        <f>BY15*VLOOKUP('Données projet'!$B$12,Paramètres!$A$1:$I$89,3,0)*VLOOKUP('Données projet'!$B$12,Paramètres!$A$1:$I$89,5,0)</f>
        <v>4.9491941409355986</v>
      </c>
      <c r="CA15" s="14">
        <f t="shared" si="39"/>
        <v>1.8934016024425293</v>
      </c>
      <c r="CB15" s="22">
        <f t="shared" si="10"/>
        <v>11.917520919716907</v>
      </c>
      <c r="CC15" s="62">
        <f t="shared" si="11"/>
        <v>283.25085425305019</v>
      </c>
      <c r="CD15" s="62">
        <f ca="1">AVERAGE(OFFSET($CC$3,0,0,'Données projet'!$E$12+1,1))-AVERAGE(OFFSET($H$3,0,0,'Données projet'!$E$12+1,1))</f>
        <v>298.18906674058809</v>
      </c>
      <c r="CE15" s="62">
        <f t="shared" si="40"/>
        <v>154.08406475869634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11</v>
      </c>
      <c r="N16" s="14">
        <f>IF('Données projet'!$A$36&gt;35,N15+M16-V15,IF(A16&lt;'Données projet'!$A$36,$K$205^A16,IF(A16='Données projet'!$A$36,'Données projet'!$B$36,N15+M16-V15)))</f>
        <v>91</v>
      </c>
      <c r="O16" s="14">
        <f>N16*VLOOKUP('Données projet'!$B$9,Paramètres!$A$1:$I$89,3,0)*VLOOKUP('Données projet'!$B$9,Paramètres!$A$1:$I$89,5,0)</f>
        <v>82.336799999999997</v>
      </c>
      <c r="P16" s="14">
        <f t="shared" si="33"/>
        <v>22.707582950885364</v>
      </c>
      <c r="Q16" s="22">
        <f t="shared" si="2"/>
        <v>182.95230030612535</v>
      </c>
      <c r="R16" s="62">
        <f t="shared" si="0"/>
        <v>455.50785586168092</v>
      </c>
      <c r="S16" s="62">
        <f ca="1">AVERAGE(OFFSET($R$3,0,0,'Données projet'!$E$9+1,1))-AVERAGE(OFFSET($H$3,0,0,'Données projet'!$E$9+1,1))</f>
        <v>302.6112905010138</v>
      </c>
      <c r="T16" s="62">
        <f t="shared" si="34"/>
        <v>423.44006663873375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6.5518483135157197</v>
      </c>
      <c r="AC16" s="24">
        <f t="shared" si="3"/>
        <v>6.5518483135157197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2.84</v>
      </c>
      <c r="AI16" s="14">
        <f>IF('Données projet'!$A$62&gt;35,AI15+AH16-AQ15,IF(A16&lt;'Données projet'!$A$62,$AF$205^A16,IF(A16='Données projet'!$A$62,'Données projet'!$B$62,AI15+AH16-AQ15)))</f>
        <v>9.1760197856283234</v>
      </c>
      <c r="AJ16" s="14">
        <f>AI16*VLOOKUP('Données projet'!$B$10,Paramètres!$A$1:$I$89,3,0)*VLOOKUP('Données projet'!$B$10,Paramètres!$A$1:$I$89,5,0)</f>
        <v>9.3044840626271217</v>
      </c>
      <c r="AK16" s="14">
        <f t="shared" si="35"/>
        <v>3.3074141333352105</v>
      </c>
      <c r="AL16" s="22">
        <f t="shared" si="4"/>
        <v>21.965722691301057</v>
      </c>
      <c r="AM16" s="62">
        <f t="shared" si="5"/>
        <v>294.52127824685658</v>
      </c>
      <c r="AN16" s="62">
        <f ca="1">AVERAGE(OFFSET($AM$3,0,0,'Données projet'!$E$10+1,1))-AVERAGE(OFFSET($H$3,0,0,'Données projet'!$E$10+1,1))</f>
        <v>411.98877330238821</v>
      </c>
      <c r="AO16" s="62">
        <f t="shared" si="36"/>
        <v>256.4377087753457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0.9</v>
      </c>
      <c r="BD16" s="13">
        <f>IF('Données projet'!$A$88&gt;35,BD15+BC16-BL15,IF(A16&lt;'Données projet'!$A$88,$BA$205^A16,IF(A16='Données projet'!$A$88,'Données projet'!$B$88,BD15+BC16-BL15)))</f>
        <v>6.5452633975063188</v>
      </c>
      <c r="BE16" s="14">
        <f>BD16*VLOOKUP('Données projet'!$B$11,Paramètres!$A$1:$I$89,3,0)*VLOOKUP('Données projet'!$B$11,Paramètres!$A$1:$I$89,5,0)</f>
        <v>5.717942104061521</v>
      </c>
      <c r="BF16" s="14">
        <f t="shared" si="37"/>
        <v>2.1510430944381391</v>
      </c>
      <c r="BG16" s="22">
        <f t="shared" si="7"/>
        <v>13.705149220720239</v>
      </c>
      <c r="BH16" s="62">
        <f t="shared" si="8"/>
        <v>286.26070477627576</v>
      </c>
      <c r="BI16" s="62">
        <f ca="1">AVERAGE(OFFSET($BH$3,0,0,'Données projet'!$E$11+1,1))-AVERAGE(OFFSET($H$3,0,0,'Données projet'!$E$11+1,1))</f>
        <v>195.30963433439501</v>
      </c>
      <c r="BJ16" s="62">
        <f t="shared" si="38"/>
        <v>185.00219255324504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1.2</v>
      </c>
      <c r="BY16" s="13">
        <f>IF('Données projet'!$A$114&gt;35,BY15+BX16-CG15,IF(A16&lt;'Données projet'!$A$114,$BV$205^A16,IF(A16='Données projet'!$A$114,'Données projet'!$B$114,BY15+BX16-CG15)))</f>
        <v>5.8627726400958746</v>
      </c>
      <c r="BZ16" s="14">
        <f>BY16*VLOOKUP('Données projet'!$B$12,Paramètres!$A$1:$I$89,3,0)*VLOOKUP('Données projet'!$B$12,Paramètres!$A$1:$I$89,5,0)</f>
        <v>5.6704736975007304</v>
      </c>
      <c r="CA16" s="14">
        <f t="shared" si="39"/>
        <v>2.1352568017564701</v>
      </c>
      <c r="CB16" s="22">
        <f t="shared" si="10"/>
        <v>13.594980619539625</v>
      </c>
      <c r="CC16" s="62">
        <f t="shared" si="11"/>
        <v>286.15053617509517</v>
      </c>
      <c r="CD16" s="62">
        <f ca="1">AVERAGE(OFFSET($CC$3,0,0,'Données projet'!$E$12+1,1))-AVERAGE(OFFSET($H$3,0,0,'Données projet'!$E$12+1,1))</f>
        <v>298.18906674058809</v>
      </c>
      <c r="CE16" s="62">
        <f t="shared" si="40"/>
        <v>154.08406475869634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11</v>
      </c>
      <c r="N17" s="14">
        <f>IF('Données projet'!$A$36&gt;35,N16+M17-V16,IF(A17&lt;'Données projet'!$A$36,$K$205^A17,IF(A17='Données projet'!$A$36,'Données projet'!$B$36,N16+M17-V16)))</f>
        <v>102</v>
      </c>
      <c r="O17" s="14">
        <f>N17*VLOOKUP('Données projet'!$B$9,Paramètres!$A$1:$I$89,3,0)*VLOOKUP('Données projet'!$B$9,Paramètres!$A$1:$I$89,5,0)</f>
        <v>92.289599999999993</v>
      </c>
      <c r="P17" s="14">
        <f t="shared" si="33"/>
        <v>25.116611431659546</v>
      </c>
      <c r="Q17" s="22">
        <f t="shared" si="2"/>
        <v>204.48248491014036</v>
      </c>
      <c r="R17" s="62">
        <f t="shared" si="0"/>
        <v>478.26026268791816</v>
      </c>
      <c r="S17" s="62">
        <f ca="1">AVERAGE(OFFSET($R$3,0,0,'Données projet'!$E$9+1,1))-AVERAGE(OFFSET($H$3,0,0,'Données projet'!$E$9+1,1))</f>
        <v>302.6112905010138</v>
      </c>
      <c r="T17" s="62">
        <f t="shared" si="34"/>
        <v>423.44006663873375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4.6328563717926103</v>
      </c>
      <c r="AC17" s="24">
        <f t="shared" si="3"/>
        <v>4.6328563717926103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2.84</v>
      </c>
      <c r="AI17" s="14">
        <f>IF('Données projet'!$A$62&gt;35,AI16+AH17-AQ16,IF(A17&lt;'Données projet'!$A$62,$AF$205^A17,IF(A17='Données projet'!$A$62,'Données projet'!$B$62,AI16+AH17-AQ16)))</f>
        <v>10.881898613742376</v>
      </c>
      <c r="AJ17" s="14">
        <f>AI17*VLOOKUP('Données projet'!$B$10,Paramètres!$A$1:$I$89,3,0)*VLOOKUP('Données projet'!$B$10,Paramètres!$A$1:$I$89,5,0)</f>
        <v>11.034245194334769</v>
      </c>
      <c r="AK17" s="14">
        <f t="shared" si="35"/>
        <v>3.8452045982308483</v>
      </c>
      <c r="AL17" s="22">
        <f t="shared" si="4"/>
        <v>25.915041722051782</v>
      </c>
      <c r="AM17" s="62">
        <f t="shared" si="5"/>
        <v>299.69281949982957</v>
      </c>
      <c r="AN17" s="62">
        <f ca="1">AVERAGE(OFFSET($AM$3,0,0,'Données projet'!$E$10+1,1))-AVERAGE(OFFSET($H$3,0,0,'Données projet'!$E$10+1,1))</f>
        <v>411.98877330238821</v>
      </c>
      <c r="AO17" s="62">
        <f t="shared" si="36"/>
        <v>256.4377087753457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0.9</v>
      </c>
      <c r="BD17" s="13">
        <f>IF('Données projet'!$A$88&gt;35,BD16+BC17-BL16,IF(A17&lt;'Données projet'!$A$88,$BA$205^A17,IF(A17='Données projet'!$A$88,'Données projet'!$B$88,BD16+BC17-BL16)))</f>
        <v>7.5629417171254145</v>
      </c>
      <c r="BE17" s="14">
        <f>BD17*VLOOKUP('Données projet'!$B$11,Paramètres!$A$1:$I$89,3,0)*VLOOKUP('Données projet'!$B$11,Paramètres!$A$1:$I$89,5,0)</f>
        <v>6.6069858840807631</v>
      </c>
      <c r="BF17" s="14">
        <f t="shared" si="37"/>
        <v>2.4440329151477385</v>
      </c>
      <c r="BG17" s="22">
        <f t="shared" si="7"/>
        <v>15.763857741989639</v>
      </c>
      <c r="BH17" s="62">
        <f t="shared" si="8"/>
        <v>289.5416355197674</v>
      </c>
      <c r="BI17" s="62">
        <f ca="1">AVERAGE(OFFSET($BH$3,0,0,'Données projet'!$E$11+1,1))-AVERAGE(OFFSET($H$3,0,0,'Données projet'!$E$11+1,1))</f>
        <v>195.30963433439501</v>
      </c>
      <c r="BJ17" s="62">
        <f t="shared" si="38"/>
        <v>185.00219255324504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1.2</v>
      </c>
      <c r="BY17" s="13">
        <f>IF('Données projet'!$A$114&gt;35,BY16+BX17-CG16,IF(A17&lt;'Données projet'!$A$114,$BV$205^A17,IF(A17='Données projet'!$A$114,'Données projet'!$B$114,BY16+BX17-CG16)))</f>
        <v>6.7171941741218459</v>
      </c>
      <c r="BZ17" s="14">
        <f>BY17*VLOOKUP('Données projet'!$B$12,Paramètres!$A$1:$I$89,3,0)*VLOOKUP('Données projet'!$B$12,Paramètres!$A$1:$I$89,5,0)</f>
        <v>6.4968702052106497</v>
      </c>
      <c r="CA17" s="14">
        <f t="shared" si="39"/>
        <v>2.4080055723865681</v>
      </c>
      <c r="CB17" s="22">
        <f t="shared" si="10"/>
        <v>15.509325312648487</v>
      </c>
      <c r="CC17" s="62">
        <f t="shared" si="11"/>
        <v>289.28710309042629</v>
      </c>
      <c r="CD17" s="62">
        <f ca="1">AVERAGE(OFFSET($CC$3,0,0,'Données projet'!$E$12+1,1))-AVERAGE(OFFSET($H$3,0,0,'Données projet'!$E$12+1,1))</f>
        <v>298.18906674058809</v>
      </c>
      <c r="CE17" s="62">
        <f t="shared" si="40"/>
        <v>154.08406475869634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113</v>
      </c>
      <c r="L18" s="13">
        <f>VLOOKUP(A18,'Données projet'!$A$35:$I$55,9,0)</f>
        <v>11</v>
      </c>
      <c r="M18" s="13">
        <f t="array" ref="M18">INDEX(L:L,MIN(IF(ISNUMBER(L18:L214),ROW(L18:L214),"")))</f>
        <v>11</v>
      </c>
      <c r="N18" s="14">
        <f>IF('Données projet'!$A$36&gt;35,N17+M18-V17,IF(A18&lt;'Données projet'!$A$36,$K$205^A18,IF(A18='Données projet'!$A$36,'Données projet'!$B$36,N17+M18-V17)))</f>
        <v>113</v>
      </c>
      <c r="O18" s="14">
        <f>N18*VLOOKUP('Données projet'!$B$9,Paramètres!$A$1:$I$89,3,0)*VLOOKUP('Données projet'!$B$9,Paramètres!$A$1:$I$89,5,0)</f>
        <v>102.24239999999999</v>
      </c>
      <c r="P18" s="14">
        <f t="shared" si="33"/>
        <v>27.495526976991481</v>
      </c>
      <c r="Q18" s="22">
        <f t="shared" si="2"/>
        <v>225.96022281826015</v>
      </c>
      <c r="R18" s="62">
        <f t="shared" si="0"/>
        <v>500.96022281826015</v>
      </c>
      <c r="S18" s="62">
        <f ca="1">AVERAGE(OFFSET($R$3,0,0,'Données projet'!$E$9+1,1))-AVERAGE(OFFSET($H$3,0,0,'Données projet'!$E$9+1,1))</f>
        <v>302.6112905010138</v>
      </c>
      <c r="T18" s="62">
        <f t="shared" si="34"/>
        <v>423.44006663873375</v>
      </c>
      <c r="U18" s="16">
        <f>IF(ISNA(VLOOKUP(A18,'Données projet'!$A$35:$I$55,3,0)),0,VLOOKUP(A18,'Données projet'!$A$35:$I$55,3,0))</f>
        <v>3</v>
      </c>
      <c r="V18" s="16">
        <f>IF(ISNA(VLOOKUP(A18,'Données projet'!$A$35:$I$55,4,0)),0,VLOOKUP(A18,'Données projet'!$A$35:$I$55,4,0))</f>
        <v>17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1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17.788877746452094</v>
      </c>
      <c r="AC18" s="24">
        <f t="shared" si="3"/>
        <v>17.788877746452094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2.84</v>
      </c>
      <c r="AI18" s="14">
        <f>IF('Données projet'!$A$62&gt;35,AI17+AH18-AQ17,IF(A18&lt;'Données projet'!$A$62,$AF$205^A18,IF(A18='Données projet'!$A$62,'Données projet'!$B$62,AI17+AH18-AQ17)))</f>
        <v>12.904910866172436</v>
      </c>
      <c r="AJ18" s="14">
        <f>AI18*VLOOKUP('Données projet'!$B$10,Paramètres!$A$1:$I$89,3,0)*VLOOKUP('Données projet'!$B$10,Paramètres!$A$1:$I$89,5,0)</f>
        <v>13.085579618298853</v>
      </c>
      <c r="AK18" s="14">
        <f t="shared" si="35"/>
        <v>4.4704405938260292</v>
      </c>
      <c r="AL18" s="22">
        <f t="shared" si="4"/>
        <v>30.576735202784167</v>
      </c>
      <c r="AM18" s="62">
        <f t="shared" si="5"/>
        <v>305.57673520278416</v>
      </c>
      <c r="AN18" s="62">
        <f ca="1">AVERAGE(OFFSET($AM$3,0,0,'Données projet'!$E$10+1,1))-AVERAGE(OFFSET($H$3,0,0,'Données projet'!$E$10+1,1))</f>
        <v>411.98877330238821</v>
      </c>
      <c r="AO18" s="62">
        <f t="shared" si="36"/>
        <v>256.4377087753457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0.9</v>
      </c>
      <c r="BD18" s="13">
        <f>IF('Données projet'!$A$88&gt;35,BD17+BC18-BL17,IF(A18&lt;'Données projet'!$A$88,$BA$205^A18,IF(A18='Données projet'!$A$88,'Données projet'!$B$88,BD17+BC18-BL17)))</f>
        <v>8.7388518907318247</v>
      </c>
      <c r="BE18" s="14">
        <f>BD18*VLOOKUP('Données projet'!$B$11,Paramètres!$A$1:$I$89,3,0)*VLOOKUP('Données projet'!$B$11,Paramètres!$A$1:$I$89,5,0)</f>
        <v>7.6342610117433241</v>
      </c>
      <c r="BF18" s="14">
        <f t="shared" si="37"/>
        <v>2.7769303673043324</v>
      </c>
      <c r="BG18" s="22">
        <f t="shared" si="7"/>
        <v>18.132824985174668</v>
      </c>
      <c r="BH18" s="62">
        <f t="shared" si="8"/>
        <v>293.13282498517469</v>
      </c>
      <c r="BI18" s="62">
        <f ca="1">AVERAGE(OFFSET($BH$3,0,0,'Données projet'!$E$11+1,1))-AVERAGE(OFFSET($H$3,0,0,'Données projet'!$E$11+1,1))</f>
        <v>195.30963433439501</v>
      </c>
      <c r="BJ18" s="62">
        <f t="shared" si="38"/>
        <v>185.00219255324504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1.2</v>
      </c>
      <c r="BY18" s="13">
        <f>IF('Données projet'!$A$114&gt;35,BY17+BX18-CG17,IF(A18&lt;'Données projet'!$A$114,$BV$205^A18,IF(A18='Données projet'!$A$114,'Données projet'!$B$114,BY17+BX18-CG17)))</f>
        <v>7.6961363407260848</v>
      </c>
      <c r="BZ18" s="14">
        <f>BY18*VLOOKUP('Données projet'!$B$12,Paramètres!$A$1:$I$89,3,0)*VLOOKUP('Données projet'!$B$12,Paramètres!$A$1:$I$89,5,0)</f>
        <v>7.4437030687502697</v>
      </c>
      <c r="CA18" s="14">
        <f t="shared" si="39"/>
        <v>2.7155941298840056</v>
      </c>
      <c r="CB18" s="22">
        <f t="shared" si="10"/>
        <v>17.694109287621362</v>
      </c>
      <c r="CC18" s="62">
        <f t="shared" si="11"/>
        <v>292.69410928762136</v>
      </c>
      <c r="CD18" s="62">
        <f ca="1">AVERAGE(OFFSET($CC$3,0,0,'Données projet'!$E$12+1,1))-AVERAGE(OFFSET($H$3,0,0,'Données projet'!$E$12+1,1))</f>
        <v>298.18906674058809</v>
      </c>
      <c r="CE18" s="62">
        <f t="shared" si="40"/>
        <v>154.08406475869634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9.8000000000000007</v>
      </c>
      <c r="N19" s="14">
        <f>IF('Données projet'!$A$36&gt;35,N18+M19-V18,IF(A19&lt;'Données projet'!$A$36,$K$205^A19,IF(A19='Données projet'!$A$36,'Données projet'!$B$36,N18+M19-V18)))</f>
        <v>105.8</v>
      </c>
      <c r="O19" s="14">
        <f>N19*VLOOKUP('Données projet'!$B$9,Paramètres!$A$1:$I$89,3,0)*VLOOKUP('Données projet'!$B$9,Paramètres!$A$1:$I$89,5,0)</f>
        <v>95.72784</v>
      </c>
      <c r="P19" s="14">
        <f t="shared" si="33"/>
        <v>25.941642560384413</v>
      </c>
      <c r="Q19" s="22">
        <f t="shared" si="2"/>
        <v>211.90768212600287</v>
      </c>
      <c r="R19" s="62">
        <f t="shared" si="0"/>
        <v>488.12990434822507</v>
      </c>
      <c r="S19" s="62">
        <f ca="1">AVERAGE(OFFSET($R$3,0,0,'Données projet'!$E$9+1,1))-AVERAGE(OFFSET($H$3,0,0,'Données projet'!$E$9+1,1))</f>
        <v>302.6112905010138</v>
      </c>
      <c r="T19" s="62">
        <f t="shared" si="34"/>
        <v>423.44006663873375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12.578636084214747</v>
      </c>
      <c r="AC19" s="24">
        <f t="shared" si="3"/>
        <v>12.578636084214747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2.84</v>
      </c>
      <c r="AI19" s="14">
        <f>IF('Données projet'!$A$62&gt;35,AI18+AH19-AQ18,IF(A19&lt;'Données projet'!$A$62,$AF$205^A19,IF(A19='Données projet'!$A$62,'Données projet'!$B$62,AI18+AH19-AQ18)))</f>
        <v>15.304013607840634</v>
      </c>
      <c r="AJ19" s="14">
        <f>AI19*VLOOKUP('Données projet'!$B$10,Paramètres!$A$1:$I$89,3,0)*VLOOKUP('Données projet'!$B$10,Paramètres!$A$1:$I$89,5,0)</f>
        <v>15.518269798350405</v>
      </c>
      <c r="AK19" s="14">
        <f t="shared" si="35"/>
        <v>5.1973408936737764</v>
      </c>
      <c r="AL19" s="22">
        <f t="shared" si="4"/>
        <v>36.079688621942118</v>
      </c>
      <c r="AM19" s="62">
        <f t="shared" si="5"/>
        <v>312.30191084416435</v>
      </c>
      <c r="AN19" s="62">
        <f ca="1">AVERAGE(OFFSET($AM$3,0,0,'Données projet'!$E$10+1,1))-AVERAGE(OFFSET($H$3,0,0,'Données projet'!$E$10+1,1))</f>
        <v>411.98877330238821</v>
      </c>
      <c r="AO19" s="62">
        <f t="shared" si="36"/>
        <v>256.4377087753457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0.9</v>
      </c>
      <c r="BD19" s="13">
        <f>IF('Données projet'!$A$88&gt;35,BD18+BC19-BL18,IF(A19&lt;'Données projet'!$A$88,$BA$205^A19,IF(A19='Données projet'!$A$88,'Données projet'!$B$88,BD18+BC19-BL18)))</f>
        <v>10.097596309015799</v>
      </c>
      <c r="BE19" s="14">
        <f>BD19*VLOOKUP('Données projet'!$B$11,Paramètres!$A$1:$I$89,3,0)*VLOOKUP('Données projet'!$B$11,Paramètres!$A$1:$I$89,5,0)</f>
        <v>8.8212601355562033</v>
      </c>
      <c r="BF19" s="14">
        <f t="shared" si="37"/>
        <v>3.1551711996443523</v>
      </c>
      <c r="BG19" s="22">
        <f t="shared" si="7"/>
        <v>20.858951242140964</v>
      </c>
      <c r="BH19" s="62">
        <f t="shared" si="8"/>
        <v>297.08117346436319</v>
      </c>
      <c r="BI19" s="62">
        <f ca="1">AVERAGE(OFFSET($BH$3,0,0,'Données projet'!$E$11+1,1))-AVERAGE(OFFSET($H$3,0,0,'Données projet'!$E$11+1,1))</f>
        <v>195.30963433439501</v>
      </c>
      <c r="BJ19" s="62">
        <f t="shared" si="38"/>
        <v>185.00219255324504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1.2</v>
      </c>
      <c r="BY19" s="13">
        <f>IF('Données projet'!$A$114&gt;35,BY18+BX19-CG18,IF(A19&lt;'Données projet'!$A$114,$BV$205^A19,IF(A19='Données projet'!$A$114,'Données projet'!$B$114,BY18+BX19-CG18)))</f>
        <v>8.8177463744060987</v>
      </c>
      <c r="BZ19" s="14">
        <f>BY19*VLOOKUP('Données projet'!$B$12,Paramètres!$A$1:$I$89,3,0)*VLOOKUP('Données projet'!$B$12,Paramètres!$A$1:$I$89,5,0)</f>
        <v>8.528524293325578</v>
      </c>
      <c r="CA19" s="14">
        <f t="shared" si="39"/>
        <v>3.0624727628647754</v>
      </c>
      <c r="CB19" s="22">
        <f t="shared" si="10"/>
        <v>20.187653206198199</v>
      </c>
      <c r="CC19" s="62">
        <f t="shared" si="11"/>
        <v>296.40987542842043</v>
      </c>
      <c r="CD19" s="62">
        <f ca="1">AVERAGE(OFFSET($CC$3,0,0,'Données projet'!$E$12+1,1))-AVERAGE(OFFSET($H$3,0,0,'Données projet'!$E$12+1,1))</f>
        <v>298.18906674058809</v>
      </c>
      <c r="CE19" s="62">
        <f t="shared" si="40"/>
        <v>154.08406475869634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9.8000000000000007</v>
      </c>
      <c r="N20" s="14">
        <f>IF('Données projet'!$A$36&gt;35,N19+M20-V19,IF(A20&lt;'Données projet'!$A$36,$K$205^A20,IF(A20='Données projet'!$A$36,'Données projet'!$B$36,N19+M20-V19)))</f>
        <v>115.6</v>
      </c>
      <c r="O20" s="14">
        <f>N20*VLOOKUP('Données projet'!$B$9,Paramètres!$A$1:$I$89,3,0)*VLOOKUP('Données projet'!$B$9,Paramètres!$A$1:$I$89,5,0)</f>
        <v>104.59487999999999</v>
      </c>
      <c r="P20" s="14">
        <f t="shared" si="33"/>
        <v>28.053785838854211</v>
      </c>
      <c r="Q20" s="22">
        <f t="shared" si="2"/>
        <v>231.02975966933766</v>
      </c>
      <c r="R20" s="62">
        <f t="shared" si="0"/>
        <v>508.47420411378209</v>
      </c>
      <c r="S20" s="62">
        <f ca="1">AVERAGE(OFFSET($R$3,0,0,'Données projet'!$E$9+1,1))-AVERAGE(OFFSET($H$3,0,0,'Données projet'!$E$9+1,1))</f>
        <v>302.6112905010138</v>
      </c>
      <c r="T20" s="62">
        <f t="shared" si="34"/>
        <v>423.44006663873375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8.8944388732260489</v>
      </c>
      <c r="AC20" s="24">
        <f t="shared" si="3"/>
        <v>8.8944388732260489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2.84</v>
      </c>
      <c r="AI20" s="14">
        <f>IF('Données projet'!$A$62&gt;35,AI19+AH20-AQ19,IF(A20&lt;'Données projet'!$A$62,$AF$205^A20,IF(A20='Données projet'!$A$62,'Données projet'!$B$62,AI19+AH20-AQ19)))</f>
        <v>18.149124386663679</v>
      </c>
      <c r="AJ20" s="14">
        <f>AI20*VLOOKUP('Données projet'!$B$10,Paramètres!$A$1:$I$89,3,0)*VLOOKUP('Données projet'!$B$10,Paramètres!$A$1:$I$89,5,0)</f>
        <v>18.403212128076973</v>
      </c>
      <c r="AK20" s="14">
        <f t="shared" si="35"/>
        <v>6.0424362650875043</v>
      </c>
      <c r="AL20" s="22">
        <f t="shared" si="4"/>
        <v>42.576170951428125</v>
      </c>
      <c r="AM20" s="62">
        <f t="shared" si="5"/>
        <v>320.0206153958726</v>
      </c>
      <c r="AN20" s="62">
        <f ca="1">AVERAGE(OFFSET($AM$3,0,0,'Données projet'!$E$10+1,1))-AVERAGE(OFFSET($H$3,0,0,'Données projet'!$E$10+1,1))</f>
        <v>411.98877330238821</v>
      </c>
      <c r="AO20" s="62">
        <f t="shared" si="36"/>
        <v>256.4377087753457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0.9</v>
      </c>
      <c r="BD20" s="13">
        <f>IF('Données projet'!$A$88&gt;35,BD19+BC20-BL19,IF(A20&lt;'Données projet'!$A$88,$BA$205^A20,IF(A20='Données projet'!$A$88,'Données projet'!$B$88,BD19+BC20-BL19)))</f>
        <v>11.667602620429678</v>
      </c>
      <c r="BE20" s="14">
        <f>BD20*VLOOKUP('Données projet'!$B$11,Paramètres!$A$1:$I$89,3,0)*VLOOKUP('Données projet'!$B$11,Paramètres!$A$1:$I$89,5,0)</f>
        <v>10.192817649207369</v>
      </c>
      <c r="BF20" s="14">
        <f t="shared" si="37"/>
        <v>3.5849315547400531</v>
      </c>
      <c r="BG20" s="22">
        <f t="shared" si="7"/>
        <v>23.996246530208428</v>
      </c>
      <c r="BH20" s="62">
        <f t="shared" si="8"/>
        <v>301.44069097465291</v>
      </c>
      <c r="BI20" s="62">
        <f ca="1">AVERAGE(OFFSET($BH$3,0,0,'Données projet'!$E$11+1,1))-AVERAGE(OFFSET($H$3,0,0,'Données projet'!$E$11+1,1))</f>
        <v>195.30963433439501</v>
      </c>
      <c r="BJ20" s="62">
        <f t="shared" si="38"/>
        <v>185.00219255324504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1.2</v>
      </c>
      <c r="BY20" s="13">
        <f>IF('Données projet'!$A$114&gt;35,BY19+BX20-CG19,IF(A20&lt;'Données projet'!$A$114,$BV$205^A20,IF(A20='Données projet'!$A$114,'Données projet'!$B$114,BY19+BX20-CG19)))</f>
        <v>10.102816228956828</v>
      </c>
      <c r="BZ20" s="14">
        <f>BY20*VLOOKUP('Données projet'!$B$12,Paramètres!$A$1:$I$89,3,0)*VLOOKUP('Données projet'!$B$12,Paramètres!$A$1:$I$89,5,0)</f>
        <v>9.7714438566470445</v>
      </c>
      <c r="CA20" s="14">
        <f t="shared" si="39"/>
        <v>3.4536602211941068</v>
      </c>
      <c r="CB20" s="22">
        <f t="shared" si="10"/>
        <v>23.033722935573341</v>
      </c>
      <c r="CC20" s="62">
        <f t="shared" si="11"/>
        <v>300.47816738001779</v>
      </c>
      <c r="CD20" s="62">
        <f ca="1">AVERAGE(OFFSET($CC$3,0,0,'Données projet'!$E$12+1,1))-AVERAGE(OFFSET($H$3,0,0,'Données projet'!$E$12+1,1))</f>
        <v>298.18906674058809</v>
      </c>
      <c r="CE20" s="62">
        <f t="shared" si="40"/>
        <v>154.08406475869634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9.8000000000000007</v>
      </c>
      <c r="N21" s="14">
        <f>IF('Données projet'!$A$36&gt;35,N20+M21-V20,IF(A21&lt;'Données projet'!$A$36,$K$205^A21,IF(A21='Données projet'!$A$36,'Données projet'!$B$36,N20+M21-V20)))</f>
        <v>125.39999999999999</v>
      </c>
      <c r="O21" s="14">
        <f>N21*VLOOKUP('Données projet'!$B$9,Paramètres!$A$1:$I$89,3,0)*VLOOKUP('Données projet'!$B$9,Paramètres!$A$1:$I$89,5,0)</f>
        <v>113.46191999999998</v>
      </c>
      <c r="P21" s="14">
        <f t="shared" si="33"/>
        <v>30.145163126535493</v>
      </c>
      <c r="Q21" s="22">
        <f t="shared" si="2"/>
        <v>250.11566977871595</v>
      </c>
      <c r="R21" s="62">
        <f t="shared" si="0"/>
        <v>528.78233644538261</v>
      </c>
      <c r="S21" s="62">
        <f ca="1">AVERAGE(OFFSET($R$3,0,0,'Données projet'!$E$9+1,1))-AVERAGE(OFFSET($H$3,0,0,'Données projet'!$E$9+1,1))</f>
        <v>302.6112905010138</v>
      </c>
      <c r="T21" s="62">
        <f t="shared" si="34"/>
        <v>423.44006663873375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6.2893180421073742</v>
      </c>
      <c r="AC21" s="24">
        <f t="shared" si="3"/>
        <v>6.2893180421073742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2.84</v>
      </c>
      <c r="AI21" s="14">
        <f>IF('Données projet'!$A$62&gt;35,AI20+AH21-AQ20,IF(A21&lt;'Données projet'!$A$62,$AF$205^A21,IF(A21='Données projet'!$A$62,'Données projet'!$B$62,AI20+AH21-AQ20)))</f>
        <v>21.523158855127722</v>
      </c>
      <c r="AJ21" s="14">
        <f>AI21*VLOOKUP('Données projet'!$B$10,Paramètres!$A$1:$I$89,3,0)*VLOOKUP('Données projet'!$B$10,Paramètres!$A$1:$I$89,5,0)</f>
        <v>21.824483079099512</v>
      </c>
      <c r="AK21" s="14">
        <f t="shared" si="35"/>
        <v>7.0249454027704825</v>
      </c>
      <c r="AL21" s="22">
        <f t="shared" si="4"/>
        <v>50.246087939256903</v>
      </c>
      <c r="AM21" s="62">
        <f t="shared" si="5"/>
        <v>328.91275460592357</v>
      </c>
      <c r="AN21" s="62">
        <f ca="1">AVERAGE(OFFSET($AM$3,0,0,'Données projet'!$E$10+1,1))-AVERAGE(OFFSET($H$3,0,0,'Données projet'!$E$10+1,1))</f>
        <v>411.98877330238821</v>
      </c>
      <c r="AO21" s="62">
        <f t="shared" si="36"/>
        <v>256.4377087753457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0.9</v>
      </c>
      <c r="BD21" s="13">
        <f>IF('Données projet'!$A$88&gt;35,BD20+BC21-BL20,IF(A21&lt;'Données projet'!$A$88,$BA$205^A21,IF(A21='Données projet'!$A$88,'Données projet'!$B$88,BD20+BC21-BL20)))</f>
        <v>13.48171849440139</v>
      </c>
      <c r="BE21" s="14">
        <f>BD21*VLOOKUP('Données projet'!$B$11,Paramètres!$A$1:$I$89,3,0)*VLOOKUP('Données projet'!$B$11,Paramètres!$A$1:$I$89,5,0)</f>
        <v>11.777629276709055</v>
      </c>
      <c r="BF21" s="14">
        <f t="shared" si="37"/>
        <v>4.0732288167499631</v>
      </c>
      <c r="BG21" s="22">
        <f t="shared" si="7"/>
        <v>27.606911179441123</v>
      </c>
      <c r="BH21" s="62">
        <f t="shared" si="8"/>
        <v>306.2735778461078</v>
      </c>
      <c r="BI21" s="62">
        <f ca="1">AVERAGE(OFFSET($BH$3,0,0,'Données projet'!$E$11+1,1))-AVERAGE(OFFSET($H$3,0,0,'Données projet'!$E$11+1,1))</f>
        <v>195.30963433439501</v>
      </c>
      <c r="BJ21" s="62">
        <f t="shared" si="38"/>
        <v>185.00219255324504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1.2</v>
      </c>
      <c r="BY21" s="13">
        <f>IF('Données projet'!$A$114&gt;35,BY20+BX21-CG20,IF(A21&lt;'Données projet'!$A$114,$BV$205^A21,IF(A21='Données projet'!$A$114,'Données projet'!$B$114,BY20+BX21-CG20)))</f>
        <v>11.575168010312384</v>
      </c>
      <c r="BZ21" s="14">
        <f>BY21*VLOOKUP('Données projet'!$B$12,Paramètres!$A$1:$I$89,3,0)*VLOOKUP('Données projet'!$B$12,Paramètres!$A$1:$I$89,5,0)</f>
        <v>11.195502499574138</v>
      </c>
      <c r="CA21" s="14">
        <f t="shared" si="39"/>
        <v>3.8948163288481799</v>
      </c>
      <c r="CB21" s="22">
        <f t="shared" si="10"/>
        <v>26.282305292835535</v>
      </c>
      <c r="CC21" s="62">
        <f t="shared" si="11"/>
        <v>304.94897195950222</v>
      </c>
      <c r="CD21" s="62">
        <f ca="1">AVERAGE(OFFSET($CC$3,0,0,'Données projet'!$E$12+1,1))-AVERAGE(OFFSET($H$3,0,0,'Données projet'!$E$12+1,1))</f>
        <v>298.18906674058809</v>
      </c>
      <c r="CE21" s="62">
        <f t="shared" si="40"/>
        <v>154.08406475869634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9.8000000000000007</v>
      </c>
      <c r="N22" s="14">
        <f>IF('Données projet'!$A$36&gt;35,N21+M22-V21,IF(A22&lt;'Données projet'!$A$36,$K$205^A22,IF(A22='Données projet'!$A$36,'Données projet'!$B$36,N21+M22-V21)))</f>
        <v>135.19999999999999</v>
      </c>
      <c r="O22" s="14">
        <f>N22*VLOOKUP('Données projet'!$B$9,Paramètres!$A$1:$I$89,3,0)*VLOOKUP('Données projet'!$B$9,Paramètres!$A$1:$I$89,5,0)</f>
        <v>122.32895999999998</v>
      </c>
      <c r="P22" s="14">
        <f t="shared" si="33"/>
        <v>32.217581794883031</v>
      </c>
      <c r="Q22" s="22">
        <f t="shared" si="2"/>
        <v>269.16856029275453</v>
      </c>
      <c r="R22" s="62">
        <f t="shared" si="0"/>
        <v>549.05744918164339</v>
      </c>
      <c r="S22" s="62">
        <f ca="1">AVERAGE(OFFSET($R$3,0,0,'Données projet'!$E$9+1,1))-AVERAGE(OFFSET($H$3,0,0,'Données projet'!$E$9+1,1))</f>
        <v>302.6112905010138</v>
      </c>
      <c r="T22" s="62">
        <f t="shared" si="34"/>
        <v>423.44006663873375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4.4472194366130244</v>
      </c>
      <c r="AC22" s="24">
        <f t="shared" si="3"/>
        <v>4.4472194366130244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2.84</v>
      </c>
      <c r="AI22" s="14">
        <f>IF('Données projet'!$A$62&gt;35,AI21+AH22-AQ21,IF(A22&lt;'Données projet'!$A$62,$AF$205^A22,IF(A22='Données projet'!$A$62,'Données projet'!$B$62,AI21+AH22-AQ21)))</f>
        <v>25.524447198315809</v>
      </c>
      <c r="AJ22" s="14">
        <f>AI22*VLOOKUP('Données projet'!$B$10,Paramètres!$A$1:$I$89,3,0)*VLOOKUP('Données projet'!$B$10,Paramètres!$A$1:$I$89,5,0)</f>
        <v>25.881789459092229</v>
      </c>
      <c r="AK22" s="14">
        <f t="shared" si="35"/>
        <v>8.1672119898134259</v>
      </c>
      <c r="AL22" s="22">
        <f t="shared" si="4"/>
        <v>59.302010856844014</v>
      </c>
      <c r="AM22" s="62">
        <f t="shared" si="5"/>
        <v>339.19089974573285</v>
      </c>
      <c r="AN22" s="62">
        <f ca="1">AVERAGE(OFFSET($AM$3,0,0,'Données projet'!$E$10+1,1))-AVERAGE(OFFSET($H$3,0,0,'Données projet'!$E$10+1,1))</f>
        <v>411.98877330238821</v>
      </c>
      <c r="AO22" s="62">
        <f t="shared" si="36"/>
        <v>256.4377087753457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0.9</v>
      </c>
      <c r="BD22" s="13">
        <f>IF('Données projet'!$A$88&gt;35,BD21+BC22-BL21,IF(A22&lt;'Données projet'!$A$88,$BA$205^A22,IF(A22='Données projet'!$A$88,'Données projet'!$B$88,BD21+BC22-BL21)))</f>
        <v>15.577898860219406</v>
      </c>
      <c r="BE22" s="14">
        <f>BD22*VLOOKUP('Données projet'!$B$11,Paramètres!$A$1:$I$89,3,0)*VLOOKUP('Données projet'!$B$11,Paramètres!$A$1:$I$89,5,0)</f>
        <v>13.608852444287676</v>
      </c>
      <c r="BF22" s="14">
        <f t="shared" si="37"/>
        <v>4.6280361954652021</v>
      </c>
      <c r="BG22" s="22">
        <f t="shared" si="7"/>
        <v>31.762581047569586</v>
      </c>
      <c r="BH22" s="62">
        <f t="shared" si="8"/>
        <v>311.65146993645845</v>
      </c>
      <c r="BI22" s="62">
        <f ca="1">AVERAGE(OFFSET($BH$3,0,0,'Données projet'!$E$11+1,1))-AVERAGE(OFFSET($H$3,0,0,'Données projet'!$E$11+1,1))</f>
        <v>195.30963433439501</v>
      </c>
      <c r="BJ22" s="62">
        <f t="shared" si="38"/>
        <v>185.00219255324504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1.2</v>
      </c>
      <c r="BY22" s="13">
        <f>IF('Données projet'!$A$114&gt;35,BY21+BX22-CG21,IF(A22&lt;'Données projet'!$A$114,$BV$205^A22,IF(A22='Données projet'!$A$114,'Données projet'!$B$114,BY21+BX22-CG21)))</f>
        <v>13.262095581124292</v>
      </c>
      <c r="BZ22" s="14">
        <f>BY22*VLOOKUP('Données projet'!$B$12,Paramètres!$A$1:$I$89,3,0)*VLOOKUP('Données projet'!$B$12,Paramètres!$A$1:$I$89,5,0)</f>
        <v>12.827098846063416</v>
      </c>
      <c r="CA22" s="14">
        <f t="shared" si="39"/>
        <v>4.3923238720390128</v>
      </c>
      <c r="CB22" s="22">
        <f t="shared" si="10"/>
        <v>29.990494567361733</v>
      </c>
      <c r="CC22" s="62">
        <f t="shared" si="11"/>
        <v>309.87938345625059</v>
      </c>
      <c r="CD22" s="62">
        <f ca="1">AVERAGE(OFFSET($CC$3,0,0,'Données projet'!$E$12+1,1))-AVERAGE(OFFSET($H$3,0,0,'Données projet'!$E$12+1,1))</f>
        <v>298.18906674058809</v>
      </c>
      <c r="CE22" s="62">
        <f t="shared" si="40"/>
        <v>154.08406475869634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145</v>
      </c>
      <c r="L23" s="13">
        <f>VLOOKUP(A23,'Données projet'!$A$35:$I$55,9,0)</f>
        <v>9.8000000000000007</v>
      </c>
      <c r="M23" s="13">
        <f t="array" ref="M23">INDEX(L:L,MIN(IF(ISNUMBER(L23:L219),ROW(L23:L219),"")))</f>
        <v>9.8000000000000007</v>
      </c>
      <c r="N23" s="14">
        <f>IF('Données projet'!$A$36&gt;35,N22+M23-V22,IF(A23&lt;'Données projet'!$A$36,$K$205^A23,IF(A23='Données projet'!$A$36,'Données projet'!$B$36,N22+M23-V22)))</f>
        <v>145</v>
      </c>
      <c r="O23" s="14">
        <f>N23*VLOOKUP('Données projet'!$B$9,Paramètres!$A$1:$I$89,3,0)*VLOOKUP('Données projet'!$B$9,Paramètres!$A$1:$I$89,5,0)</f>
        <v>131.196</v>
      </c>
      <c r="P23" s="14">
        <f t="shared" si="33"/>
        <v>34.272572346624997</v>
      </c>
      <c r="Q23" s="22">
        <f t="shared" si="2"/>
        <v>288.19109683703851</v>
      </c>
      <c r="R23" s="62">
        <f t="shared" si="0"/>
        <v>569.30220794814966</v>
      </c>
      <c r="S23" s="62">
        <f ca="1">AVERAGE(OFFSET($R$3,0,0,'Données projet'!$E$9+1,1))-AVERAGE(OFFSET($H$3,0,0,'Données projet'!$E$9+1,1))</f>
        <v>302.6112905010138</v>
      </c>
      <c r="T23" s="62">
        <f t="shared" si="34"/>
        <v>423.44006663873375</v>
      </c>
      <c r="U23" s="16">
        <f>IF(ISNA(VLOOKUP(A23,'Données projet'!$A$35:$I$55,3,0)),0,VLOOKUP(A23,'Données projet'!$A$35:$I$55,3,0))</f>
        <v>4</v>
      </c>
      <c r="V23" s="16">
        <f>IF(ISNA(VLOOKUP(A23,'Données projet'!$A$35:$I$55,4,0)),0,VLOOKUP(A23,'Données projet'!$A$35:$I$55,4,0))</f>
        <v>14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0.06</v>
      </c>
      <c r="Y23" s="17">
        <f>IF(ISNA(VLOOKUP(A23,'Données projet'!$A$35:$I$55,7,0)),0%,VLOOKUP(A23,'Données projet'!$A$35:$I$55,7,0))</f>
        <v>0.8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0.83688470405501925</v>
      </c>
      <c r="AB23" s="23">
        <f>EXP(-LN(2)/2)*AB22+(1-EXP(-LN(2)/2))/(LN(2)/2)*V23*Y23*VLOOKUP('Données projet'!$B$9,Paramètres!$A$1:$I$89,3,0)*0.475*44/12</f>
        <v>12.706134327205186</v>
      </c>
      <c r="AC23" s="24">
        <f t="shared" si="3"/>
        <v>13.543019031260206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2.84</v>
      </c>
      <c r="AI23" s="14">
        <f>IF('Données projet'!$A$62&gt;35,AI22+AH23-AQ22,IF(A23&lt;'Données projet'!$A$62,$AF$205^A23,IF(A23='Données projet'!$A$62,'Données projet'!$B$62,AI22+AH23-AQ22)))</f>
        <v>30.269599790850293</v>
      </c>
      <c r="AJ23" s="14">
        <f>AI23*VLOOKUP('Données projet'!$B$10,Paramètres!$A$1:$I$89,3,0)*VLOOKUP('Données projet'!$B$10,Paramètres!$A$1:$I$89,5,0)</f>
        <v>30.693374187922199</v>
      </c>
      <c r="AK23" s="14">
        <f t="shared" si="35"/>
        <v>9.4952128254613779</v>
      </c>
      <c r="AL23" s="22">
        <f t="shared" si="4"/>
        <v>69.995122381643057</v>
      </c>
      <c r="AM23" s="62">
        <f t="shared" si="5"/>
        <v>351.1062334927542</v>
      </c>
      <c r="AN23" s="62">
        <f ca="1">AVERAGE(OFFSET($AM$3,0,0,'Données projet'!$E$10+1,1))-AVERAGE(OFFSET($H$3,0,0,'Données projet'!$E$10+1,1))</f>
        <v>411.98877330238821</v>
      </c>
      <c r="AO23" s="62">
        <f t="shared" si="36"/>
        <v>256.4377087753457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18</v>
      </c>
      <c r="BB23" s="13">
        <f>VLOOKUP(A23,'Données projet'!$A$87:$I$107,9,0)</f>
        <v>0.9</v>
      </c>
      <c r="BC23" s="13">
        <f t="array" ref="BC23">INDEX(BB:BB,MIN(IF(ISNUMBER(BB23:BB219),ROW(BB23:BB219),"")))</f>
        <v>0.9</v>
      </c>
      <c r="BD23" s="13">
        <f>IF('Données projet'!$A$88&gt;35,BD22+BC23-BL22,IF(A23&lt;'Données projet'!$A$88,$BA$205^A23,IF(A23='Données projet'!$A$88,'Données projet'!$B$88,BD22+BC23-BL22)))</f>
        <v>18</v>
      </c>
      <c r="BE23" s="14">
        <f>BD23*VLOOKUP('Données projet'!$B$11,Paramètres!$A$1:$I$89,3,0)*VLOOKUP('Données projet'!$B$11,Paramètres!$A$1:$I$89,5,0)</f>
        <v>15.724800000000004</v>
      </c>
      <c r="BF23" s="14">
        <f t="shared" si="37"/>
        <v>5.2584129176484753</v>
      </c>
      <c r="BG23" s="22">
        <f t="shared" si="7"/>
        <v>36.545762498237771</v>
      </c>
      <c r="BH23" s="62">
        <f t="shared" si="8"/>
        <v>317.65687360934891</v>
      </c>
      <c r="BI23" s="62">
        <f ca="1">AVERAGE(OFFSET($BH$3,0,0,'Données projet'!$E$11+1,1))-AVERAGE(OFFSET($H$3,0,0,'Données projet'!$E$11+1,1))</f>
        <v>195.30963433439501</v>
      </c>
      <c r="BJ23" s="62">
        <f t="shared" si="38"/>
        <v>185.00219255324504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3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1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2.4727953377978018</v>
      </c>
      <c r="BS23" s="24">
        <f t="shared" si="9"/>
        <v>2.4727953377978018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1.2</v>
      </c>
      <c r="BY23" s="13">
        <f>IF('Données projet'!$A$114&gt;35,BY22+BX23-CG22,IF(A23&lt;'Données projet'!$A$114,$BV$205^A23,IF(A23='Données projet'!$A$114,'Données projet'!$B$114,BY22+BX23-CG22)))</f>
        <v>15.194870523363559</v>
      </c>
      <c r="BZ23" s="14">
        <f>BY23*VLOOKUP('Données projet'!$B$12,Paramètres!$A$1:$I$89,3,0)*VLOOKUP('Données projet'!$B$12,Paramètres!$A$1:$I$89,5,0)</f>
        <v>14.696478770197235</v>
      </c>
      <c r="CA23" s="14">
        <f t="shared" si="39"/>
        <v>4.9533809473858224</v>
      </c>
      <c r="CB23" s="22">
        <f t="shared" si="10"/>
        <v>34.223505674790481</v>
      </c>
      <c r="CC23" s="62">
        <f t="shared" si="11"/>
        <v>315.33461678590163</v>
      </c>
      <c r="CD23" s="62">
        <f ca="1">AVERAGE(OFFSET($CC$3,0,0,'Données projet'!$E$12+1,1))-AVERAGE(OFFSET($H$3,0,0,'Données projet'!$E$12+1,1))</f>
        <v>298.18906674058809</v>
      </c>
      <c r="CE23" s="62">
        <f t="shared" si="40"/>
        <v>154.08406475869634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8.4</v>
      </c>
      <c r="N24" s="14">
        <f>IF('Données projet'!$A$36&gt;35,N23+M24-V23,IF(A24&lt;'Données projet'!$A$36,$K$205^A24,IF(A24='Données projet'!$A$36,'Données projet'!$B$36,N23+M24-V23)))</f>
        <v>139.4</v>
      </c>
      <c r="O24" s="14">
        <f>N24*VLOOKUP('Données projet'!$B$9,Paramètres!$A$1:$I$89,3,0)*VLOOKUP('Données projet'!$B$9,Paramètres!$A$1:$I$89,5,0)</f>
        <v>126.12912000000001</v>
      </c>
      <c r="P24" s="14">
        <f t="shared" si="33"/>
        <v>33.100345121748241</v>
      </c>
      <c r="Q24" s="22">
        <f t="shared" si="2"/>
        <v>277.32465175371152</v>
      </c>
      <c r="R24" s="62">
        <f t="shared" si="0"/>
        <v>559.65798508704484</v>
      </c>
      <c r="S24" s="62">
        <f ca="1">AVERAGE(OFFSET($R$3,0,0,'Données projet'!$E$9+1,1))-AVERAGE(OFFSET($H$3,0,0,'Données projet'!$E$9+1,1))</f>
        <v>302.6112905010138</v>
      </c>
      <c r="T24" s="62">
        <f t="shared" si="34"/>
        <v>423.44006663873375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0.8140000478127809</v>
      </c>
      <c r="AB24" s="23">
        <f>EXP(-LN(2)/2)*AB23+(1-EXP(-LN(2)/2))/(LN(2)/2)*V24*Y24*VLOOKUP('Données projet'!$B$9,Paramètres!$A$1:$I$89,3,0)*0.475*44/12</f>
        <v>8.9845937454339584</v>
      </c>
      <c r="AC24" s="24">
        <f t="shared" si="3"/>
        <v>9.7985937932467397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2.84</v>
      </c>
      <c r="AI24" s="14">
        <f>IF('Données projet'!$A$62&gt;35,AI23+AH24-AQ23,IF(A24&lt;'Données projet'!$A$62,$AF$205^A24,IF(A24='Données projet'!$A$62,'Données projet'!$B$62,AI23+AH24-AQ23)))</f>
        <v>35.896905597183761</v>
      </c>
      <c r="AJ24" s="14">
        <f>AI24*VLOOKUP('Données projet'!$B$10,Paramètres!$A$1:$I$89,3,0)*VLOOKUP('Données projet'!$B$10,Paramètres!$A$1:$I$89,5,0)</f>
        <v>36.399462275544337</v>
      </c>
      <c r="AK24" s="14">
        <f t="shared" si="35"/>
        <v>11.039148575212362</v>
      </c>
      <c r="AL24" s="22">
        <f t="shared" si="4"/>
        <v>82.62224723173459</v>
      </c>
      <c r="AM24" s="62">
        <f t="shared" si="5"/>
        <v>364.95558056506792</v>
      </c>
      <c r="AN24" s="62">
        <f ca="1">AVERAGE(OFFSET($AM$3,0,0,'Données projet'!$E$10+1,1))-AVERAGE(OFFSET($H$3,0,0,'Données projet'!$E$10+1,1))</f>
        <v>411.98877330238821</v>
      </c>
      <c r="AO24" s="62">
        <f t="shared" si="36"/>
        <v>256.4377087753457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7.8</v>
      </c>
      <c r="BD24" s="13">
        <f>IF('Données projet'!$A$88&gt;35,BD23+BC24-BL23,IF(A24&lt;'Données projet'!$A$88,$BA$205^A24,IF(A24='Données projet'!$A$88,'Données projet'!$B$88,BD23+BC24-BL23)))</f>
        <v>22.8</v>
      </c>
      <c r="BE24" s="14">
        <f>BD24*VLOOKUP('Données projet'!$B$11,Paramètres!$A$1:$I$89,3,0)*VLOOKUP('Données projet'!$B$11,Paramètres!$A$1:$I$89,5,0)</f>
        <v>19.918080000000003</v>
      </c>
      <c r="BF24" s="14">
        <f t="shared" si="37"/>
        <v>6.4798825087607046</v>
      </c>
      <c r="BG24" s="22">
        <f t="shared" si="7"/>
        <v>45.976451369424893</v>
      </c>
      <c r="BH24" s="62">
        <f t="shared" si="8"/>
        <v>328.30978470275818</v>
      </c>
      <c r="BI24" s="62">
        <f ca="1">AVERAGE(OFFSET($BH$3,0,0,'Données projet'!$E$11+1,1))-AVERAGE(OFFSET($H$3,0,0,'Données projet'!$E$11+1,1))</f>
        <v>195.30963433439501</v>
      </c>
      <c r="BJ24" s="62">
        <f t="shared" si="38"/>
        <v>185.00219255324504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1.7485303518433053</v>
      </c>
      <c r="BS24" s="24">
        <f t="shared" si="9"/>
        <v>1.7485303518433053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1.2</v>
      </c>
      <c r="BY24" s="13">
        <f>IF('Données projet'!$A$114&gt;35,BY23+BX24-CG23,IF(A24&lt;'Données projet'!$A$114,$BV$205^A24,IF(A24='Données projet'!$A$114,'Données projet'!$B$114,BY23+BX24-CG23)))</f>
        <v>17.409321838276906</v>
      </c>
      <c r="BZ24" s="14">
        <f>BY24*VLOOKUP('Données projet'!$B$12,Paramètres!$A$1:$I$89,3,0)*VLOOKUP('Données projet'!$B$12,Paramètres!$A$1:$I$89,5,0)</f>
        <v>16.838296081981426</v>
      </c>
      <c r="CA24" s="14">
        <f t="shared" si="39"/>
        <v>5.5861051062554639</v>
      </c>
      <c r="CB24" s="22">
        <f t="shared" si="10"/>
        <v>39.055832069512576</v>
      </c>
      <c r="CC24" s="62">
        <f t="shared" si="11"/>
        <v>321.38916540284589</v>
      </c>
      <c r="CD24" s="62">
        <f ca="1">AVERAGE(OFFSET($CC$3,0,0,'Données projet'!$E$12+1,1))-AVERAGE(OFFSET($H$3,0,0,'Données projet'!$E$12+1,1))</f>
        <v>298.18906674058809</v>
      </c>
      <c r="CE24" s="62">
        <f t="shared" si="40"/>
        <v>154.08406475869634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8.4</v>
      </c>
      <c r="N25" s="14">
        <f>IF('Données projet'!$A$36&gt;35,N24+M25-V24,IF(A25&lt;'Données projet'!$A$36,$K$205^A25,IF(A25='Données projet'!$A$36,'Données projet'!$B$36,N24+M25-V24)))</f>
        <v>147.80000000000001</v>
      </c>
      <c r="O25" s="14">
        <f>N25*VLOOKUP('Données projet'!$B$9,Paramètres!$A$1:$I$89,3,0)*VLOOKUP('Données projet'!$B$9,Paramètres!$A$1:$I$89,5,0)</f>
        <v>133.72944000000001</v>
      </c>
      <c r="P25" s="14">
        <f t="shared" si="33"/>
        <v>34.856699711744326</v>
      </c>
      <c r="Q25" s="22">
        <f t="shared" si="2"/>
        <v>293.62085999795471</v>
      </c>
      <c r="R25" s="62">
        <f t="shared" si="0"/>
        <v>577.1764155535102</v>
      </c>
      <c r="S25" s="62">
        <f ca="1">AVERAGE(OFFSET($R$3,0,0,'Données projet'!$E$9+1,1))-AVERAGE(OFFSET($H$3,0,0,'Données projet'!$E$9+1,1))</f>
        <v>302.6112905010138</v>
      </c>
      <c r="T25" s="62">
        <f t="shared" si="34"/>
        <v>423.44006663873375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0.79174117369893837</v>
      </c>
      <c r="AB25" s="23">
        <f>EXP(-LN(2)/2)*AB24+(1-EXP(-LN(2)/2))/(LN(2)/2)*V25*Y25*VLOOKUP('Données projet'!$B$9,Paramètres!$A$1:$I$89,3,0)*0.475*44/12</f>
        <v>6.3530671636025939</v>
      </c>
      <c r="AC25" s="24">
        <f t="shared" si="3"/>
        <v>7.1448083373015319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2.84</v>
      </c>
      <c r="AI25" s="14">
        <f>IF('Données projet'!$A$62&gt;35,AI24+AH25-AQ24,IF(A25&lt;'Données projet'!$A$62,$AF$205^A25,IF(A25='Données projet'!$A$62,'Données projet'!$B$62,AI24+AH25-AQ24)))</f>
        <v>42.570362355521766</v>
      </c>
      <c r="AJ25" s="14">
        <f>AI25*VLOOKUP('Données projet'!$B$10,Paramètres!$A$1:$I$89,3,0)*VLOOKUP('Données projet'!$B$10,Paramètres!$A$1:$I$89,5,0)</f>
        <v>43.166347428499073</v>
      </c>
      <c r="AK25" s="14">
        <f t="shared" si="35"/>
        <v>12.83413057776214</v>
      </c>
      <c r="AL25" s="22">
        <f t="shared" si="4"/>
        <v>97.534165860904935</v>
      </c>
      <c r="AM25" s="62">
        <f t="shared" si="5"/>
        <v>381.08972141646046</v>
      </c>
      <c r="AN25" s="62">
        <f ca="1">AVERAGE(OFFSET($AM$3,0,0,'Données projet'!$E$10+1,1))-AVERAGE(OFFSET($H$3,0,0,'Données projet'!$E$10+1,1))</f>
        <v>411.98877330238821</v>
      </c>
      <c r="AO25" s="62">
        <f t="shared" si="36"/>
        <v>256.4377087753457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7.8</v>
      </c>
      <c r="BD25" s="13">
        <f>IF('Données projet'!$A$88&gt;35,BD24+BC25-BL24,IF(A25&lt;'Données projet'!$A$88,$BA$205^A25,IF(A25='Données projet'!$A$88,'Données projet'!$B$88,BD24+BC25-BL24)))</f>
        <v>30.6</v>
      </c>
      <c r="BE25" s="14">
        <f>BD25*VLOOKUP('Données projet'!$B$11,Paramètres!$A$1:$I$89,3,0)*VLOOKUP('Données projet'!$B$11,Paramètres!$A$1:$I$89,5,0)</f>
        <v>26.732160000000004</v>
      </c>
      <c r="BF25" s="14">
        <f t="shared" si="37"/>
        <v>8.4038705306032053</v>
      </c>
      <c r="BG25" s="22">
        <f t="shared" si="7"/>
        <v>61.195253174133917</v>
      </c>
      <c r="BH25" s="62">
        <f t="shared" si="8"/>
        <v>344.75080872968948</v>
      </c>
      <c r="BI25" s="62">
        <f ca="1">AVERAGE(OFFSET($BH$3,0,0,'Données projet'!$E$11+1,1))-AVERAGE(OFFSET($H$3,0,0,'Données projet'!$E$11+1,1))</f>
        <v>195.30963433439501</v>
      </c>
      <c r="BJ25" s="62">
        <f t="shared" si="38"/>
        <v>185.00219255324504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1.2363976688989011</v>
      </c>
      <c r="BS25" s="24">
        <f t="shared" si="9"/>
        <v>1.2363976688989011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1.2</v>
      </c>
      <c r="BY25" s="13">
        <f>IF('Données projet'!$A$114&gt;35,BY24+BX25-CG24,IF(A25&lt;'Données projet'!$A$114,$BV$205^A25,IF(A25='Données projet'!$A$114,'Données projet'!$B$114,BY24+BX25-CG24)))</f>
        <v>19.946500129940819</v>
      </c>
      <c r="BZ25" s="14">
        <f>BY25*VLOOKUP('Données projet'!$B$12,Paramètres!$A$1:$I$89,3,0)*VLOOKUP('Données projet'!$B$12,Paramètres!$A$1:$I$89,5,0)</f>
        <v>19.292254925678762</v>
      </c>
      <c r="CA25" s="14">
        <f t="shared" si="39"/>
        <v>6.2996508020651527</v>
      </c>
      <c r="CB25" s="22">
        <f t="shared" si="10"/>
        <v>44.572569142487318</v>
      </c>
      <c r="CC25" s="62">
        <f t="shared" si="11"/>
        <v>328.12812469804288</v>
      </c>
      <c r="CD25" s="62">
        <f ca="1">AVERAGE(OFFSET($CC$3,0,0,'Données projet'!$E$12+1,1))-AVERAGE(OFFSET($H$3,0,0,'Données projet'!$E$12+1,1))</f>
        <v>298.18906674058809</v>
      </c>
      <c r="CE25" s="62">
        <f t="shared" si="40"/>
        <v>154.08406475869634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8.4</v>
      </c>
      <c r="N26" s="14">
        <f>IF('Données projet'!$A$36&gt;35,N25+M26-V25,IF(A26&lt;'Données projet'!$A$36,$K$205^A26,IF(A26='Données projet'!$A$36,'Données projet'!$B$36,N25+M26-V25)))</f>
        <v>156.20000000000002</v>
      </c>
      <c r="O26" s="14">
        <f>N26*VLOOKUP('Données projet'!$B$9,Paramètres!$A$1:$I$89,3,0)*VLOOKUP('Données projet'!$B$9,Paramètres!$A$1:$I$89,5,0)</f>
        <v>141.32976000000002</v>
      </c>
      <c r="P26" s="14">
        <f t="shared" si="33"/>
        <v>36.601467030988793</v>
      </c>
      <c r="Q26" s="22">
        <f t="shared" si="2"/>
        <v>309.89688707897216</v>
      </c>
      <c r="R26" s="62">
        <f t="shared" si="0"/>
        <v>594.67466485674993</v>
      </c>
      <c r="S26" s="62">
        <f ca="1">AVERAGE(OFFSET($R$3,0,0,'Données projet'!$E$9+1,1))-AVERAGE(OFFSET($H$3,0,0,'Données projet'!$E$9+1,1))</f>
        <v>302.6112905010138</v>
      </c>
      <c r="T26" s="62">
        <f t="shared" si="34"/>
        <v>423.44006663873375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0.77009096966828217</v>
      </c>
      <c r="AB26" s="23">
        <f>EXP(-LN(2)/2)*AB25+(1-EXP(-LN(2)/2))/(LN(2)/2)*V26*Y26*VLOOKUP('Données projet'!$B$9,Paramètres!$A$1:$I$89,3,0)*0.475*44/12</f>
        <v>4.4922968727169801</v>
      </c>
      <c r="AC26" s="24">
        <f t="shared" si="3"/>
        <v>5.2623878423852624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2.84</v>
      </c>
      <c r="AI26" s="14">
        <f>IF('Données projet'!$A$62&gt;35,AI25+AH26-AQ25,IF(A26&lt;'Données projet'!$A$62,$AF$205^A26,IF(A26='Données projet'!$A$62,'Données projet'!$B$62,AI25+AH26-AQ25)))</f>
        <v>50.484455997861858</v>
      </c>
      <c r="AJ26" s="14">
        <f>AI26*VLOOKUP('Données projet'!$B$10,Paramètres!$A$1:$I$89,3,0)*VLOOKUP('Données projet'!$B$10,Paramètres!$A$1:$I$89,5,0)</f>
        <v>51.19123838183193</v>
      </c>
      <c r="AK26" s="14">
        <f t="shared" si="35"/>
        <v>14.920979327781229</v>
      </c>
      <c r="AL26" s="22">
        <f t="shared" si="4"/>
        <v>115.14544584424293</v>
      </c>
      <c r="AM26" s="62">
        <f t="shared" si="5"/>
        <v>399.92322362202071</v>
      </c>
      <c r="AN26" s="62">
        <f ca="1">AVERAGE(OFFSET($AM$3,0,0,'Données projet'!$E$10+1,1))-AVERAGE(OFFSET($H$3,0,0,'Données projet'!$E$10+1,1))</f>
        <v>411.98877330238821</v>
      </c>
      <c r="AO26" s="62">
        <f t="shared" si="36"/>
        <v>256.4377087753457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7.8</v>
      </c>
      <c r="BD26" s="13">
        <f>IF('Données projet'!$A$88&gt;35,BD25+BC26-BL25,IF(A26&lt;'Données projet'!$A$88,$BA$205^A26,IF(A26='Données projet'!$A$88,'Données projet'!$B$88,BD25+BC26-BL25)))</f>
        <v>38.4</v>
      </c>
      <c r="BE26" s="14">
        <f>BD26*VLOOKUP('Données projet'!$B$11,Paramètres!$A$1:$I$89,3,0)*VLOOKUP('Données projet'!$B$11,Paramètres!$A$1:$I$89,5,0)</f>
        <v>33.546240000000004</v>
      </c>
      <c r="BF26" s="14">
        <f t="shared" si="37"/>
        <v>10.270958406379922</v>
      </c>
      <c r="BG26" s="22">
        <f t="shared" si="7"/>
        <v>76.314953891111699</v>
      </c>
      <c r="BH26" s="62">
        <f t="shared" si="8"/>
        <v>361.09273166888948</v>
      </c>
      <c r="BI26" s="62">
        <f ca="1">AVERAGE(OFFSET($BH$3,0,0,'Données projet'!$E$11+1,1))-AVERAGE(OFFSET($H$3,0,0,'Données projet'!$E$11+1,1))</f>
        <v>195.30963433439501</v>
      </c>
      <c r="BJ26" s="62">
        <f t="shared" si="38"/>
        <v>185.00219255324504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0.87426517592165276</v>
      </c>
      <c r="BS26" s="24">
        <f t="shared" si="9"/>
        <v>0.87426517592165276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1.2</v>
      </c>
      <c r="BY26" s="13">
        <f>IF('Données projet'!$A$114&gt;35,BY25+BX26-CG25,IF(A26&lt;'Données projet'!$A$114,$BV$205^A26,IF(A26='Données projet'!$A$114,'Données projet'!$B$114,BY25+BX26-CG25)))</f>
        <v>22.853438584779923</v>
      </c>
      <c r="BZ26" s="14">
        <f>BY26*VLOOKUP('Données projet'!$B$12,Paramètres!$A$1:$I$89,3,0)*VLOOKUP('Données projet'!$B$12,Paramètres!$A$1:$I$89,5,0)</f>
        <v>22.103845799199142</v>
      </c>
      <c r="CA26" s="14">
        <f t="shared" si="39"/>
        <v>7.1043418398123555</v>
      </c>
      <c r="CB26" s="22">
        <f t="shared" si="10"/>
        <v>50.870926804611692</v>
      </c>
      <c r="CC26" s="62">
        <f t="shared" si="11"/>
        <v>335.64870458238948</v>
      </c>
      <c r="CD26" s="62">
        <f ca="1">AVERAGE(OFFSET($CC$3,0,0,'Données projet'!$E$12+1,1))-AVERAGE(OFFSET($H$3,0,0,'Données projet'!$E$12+1,1))</f>
        <v>298.18906674058809</v>
      </c>
      <c r="CE26" s="62">
        <f t="shared" si="40"/>
        <v>154.08406475869634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8.4</v>
      </c>
      <c r="N27" s="14">
        <f>IF('Données projet'!$A$36&gt;35,N26+M27-V26,IF(A27&lt;'Données projet'!$A$36,$K$205^A27,IF(A27='Données projet'!$A$36,'Données projet'!$B$36,N26+M27-V26)))</f>
        <v>164.60000000000002</v>
      </c>
      <c r="O27" s="14">
        <f>N27*VLOOKUP('Données projet'!$B$9,Paramètres!$A$1:$I$89,3,0)*VLOOKUP('Données projet'!$B$9,Paramètres!$A$1:$I$89,5,0)</f>
        <v>148.93008</v>
      </c>
      <c r="P27" s="14">
        <f t="shared" si="33"/>
        <v>38.335341256889777</v>
      </c>
      <c r="Q27" s="22">
        <f t="shared" si="2"/>
        <v>326.1539420224164</v>
      </c>
      <c r="R27" s="62">
        <f t="shared" si="0"/>
        <v>612.15394202241646</v>
      </c>
      <c r="S27" s="62">
        <f ca="1">AVERAGE(OFFSET($R$3,0,0,'Données projet'!$E$9+1,1))-AVERAGE(OFFSET($H$3,0,0,'Données projet'!$E$9+1,1))</f>
        <v>302.6112905010138</v>
      </c>
      <c r="T27" s="62">
        <f t="shared" si="34"/>
        <v>423.44006663873375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0.74903279160537894</v>
      </c>
      <c r="AB27" s="23">
        <f>EXP(-LN(2)/2)*AB26+(1-EXP(-LN(2)/2))/(LN(2)/2)*V27*Y27*VLOOKUP('Données projet'!$B$9,Paramètres!$A$1:$I$89,3,0)*0.475*44/12</f>
        <v>3.1765335818012974</v>
      </c>
      <c r="AC27" s="24">
        <f t="shared" si="3"/>
        <v>3.9255663734066761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2.84</v>
      </c>
      <c r="AI27" s="14">
        <f>IF('Données projet'!$A$62&gt;35,AI26+AH27-AQ26,IF(A27&lt;'Données projet'!$A$62,$AF$205^A27,IF(A27='Données projet'!$A$62,'Données projet'!$B$62,AI26+AH27-AQ26)))</f>
        <v>59.869828593776646</v>
      </c>
      <c r="AJ27" s="14">
        <f>AI27*VLOOKUP('Données projet'!$B$10,Paramètres!$A$1:$I$89,3,0)*VLOOKUP('Données projet'!$B$10,Paramètres!$A$1:$I$89,5,0)</f>
        <v>60.708006194089528</v>
      </c>
      <c r="AK27" s="14">
        <f t="shared" si="35"/>
        <v>17.347152793180882</v>
      </c>
      <c r="AL27" s="22">
        <f t="shared" si="4"/>
        <v>135.94606856949596</v>
      </c>
      <c r="AM27" s="62">
        <f t="shared" si="5"/>
        <v>421.94606856949599</v>
      </c>
      <c r="AN27" s="62">
        <f ca="1">AVERAGE(OFFSET($AM$3,0,0,'Données projet'!$E$10+1,1))-AVERAGE(OFFSET($H$3,0,0,'Données projet'!$E$10+1,1))</f>
        <v>411.98877330238821</v>
      </c>
      <c r="AO27" s="62">
        <f t="shared" si="36"/>
        <v>256.4377087753457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7.8</v>
      </c>
      <c r="BD27" s="13">
        <f>IF('Données projet'!$A$88&gt;35,BD26+BC27-BL26,IF(A27&lt;'Données projet'!$A$88,$BA$205^A27,IF(A27='Données projet'!$A$88,'Données projet'!$B$88,BD26+BC27-BL26)))</f>
        <v>46.199999999999996</v>
      </c>
      <c r="BE27" s="14">
        <f>BD27*VLOOKUP('Données projet'!$B$11,Paramètres!$A$1:$I$89,3,0)*VLOOKUP('Données projet'!$B$11,Paramètres!$A$1:$I$89,5,0)</f>
        <v>40.360320000000002</v>
      </c>
      <c r="BF27" s="14">
        <f t="shared" si="37"/>
        <v>12.09409986057485</v>
      </c>
      <c r="BG27" s="22">
        <f t="shared" si="7"/>
        <v>91.358114590501202</v>
      </c>
      <c r="BH27" s="62">
        <f t="shared" si="8"/>
        <v>377.3581145905012</v>
      </c>
      <c r="BI27" s="62">
        <f ca="1">AVERAGE(OFFSET($BH$3,0,0,'Données projet'!$E$11+1,1))-AVERAGE(OFFSET($H$3,0,0,'Données projet'!$E$11+1,1))</f>
        <v>195.30963433439501</v>
      </c>
      <c r="BJ27" s="62">
        <f t="shared" si="38"/>
        <v>185.00219255324504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0.61819883444945067</v>
      </c>
      <c r="BS27" s="24">
        <f t="shared" si="9"/>
        <v>0.61819883444945067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1.2</v>
      </c>
      <c r="BY27" s="13">
        <f>IF('Données projet'!$A$114&gt;35,BY26+BX27-CG26,IF(A27&lt;'Données projet'!$A$114,$BV$205^A27,IF(A27='Données projet'!$A$114,'Données projet'!$B$114,BY26+BX27-CG26)))</f>
        <v>26.184024853780567</v>
      </c>
      <c r="BZ27" s="14">
        <f>BY27*VLOOKUP('Données projet'!$B$12,Paramètres!$A$1:$I$89,3,0)*VLOOKUP('Données projet'!$B$12,Paramètres!$A$1:$I$89,5,0)</f>
        <v>25.325188838576565</v>
      </c>
      <c r="CA27" s="14">
        <f t="shared" si="39"/>
        <v>8.0118207441534324</v>
      </c>
      <c r="CB27" s="22">
        <f t="shared" si="10"/>
        <v>58.061958356588072</v>
      </c>
      <c r="CC27" s="62">
        <f t="shared" si="11"/>
        <v>344.06195835658809</v>
      </c>
      <c r="CD27" s="62">
        <f ca="1">AVERAGE(OFFSET($CC$3,0,0,'Données projet'!$E$12+1,1))-AVERAGE(OFFSET($H$3,0,0,'Données projet'!$E$12+1,1))</f>
        <v>298.18906674058809</v>
      </c>
      <c r="CE27" s="62">
        <f t="shared" si="40"/>
        <v>154.08406475869634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173</v>
      </c>
      <c r="L28" s="13">
        <f>VLOOKUP(A28,'Données projet'!$A$35:$I$55,9,0)</f>
        <v>8.4</v>
      </c>
      <c r="M28" s="13">
        <f t="array" ref="M28">INDEX(L:L,MIN(IF(ISNUMBER(L28:L224),ROW(L28:L224),"")))</f>
        <v>8.4</v>
      </c>
      <c r="N28" s="14">
        <f>IF('Données projet'!$A$36&gt;35,N27+M28-V27,IF(A28&lt;'Données projet'!$A$36,$K$205^A28,IF(A28='Données projet'!$A$36,'Données projet'!$B$36,N27+M28-V27)))</f>
        <v>173.00000000000003</v>
      </c>
      <c r="O28" s="14">
        <f>N28*VLOOKUP('Données projet'!$B$9,Paramètres!$A$1:$I$89,3,0)*VLOOKUP('Données projet'!$B$9,Paramètres!$A$1:$I$89,5,0)</f>
        <v>156.53040000000001</v>
      </c>
      <c r="P28" s="14">
        <f t="shared" si="33"/>
        <v>40.058941713182037</v>
      </c>
      <c r="Q28" s="22">
        <f t="shared" si="2"/>
        <v>342.39310348379212</v>
      </c>
      <c r="R28" s="62">
        <f t="shared" si="0"/>
        <v>629.61532570601435</v>
      </c>
      <c r="S28" s="62">
        <f ca="1">AVERAGE(OFFSET($R$3,0,0,'Données projet'!$E$9+1,1))-AVERAGE(OFFSET($H$3,0,0,'Données projet'!$E$9+1,1))</f>
        <v>302.6112905010138</v>
      </c>
      <c r="T28" s="62">
        <f t="shared" si="34"/>
        <v>423.44006663873375</v>
      </c>
      <c r="U28" s="16">
        <f>IF(ISNA(VLOOKUP(A28,'Données projet'!$A$35:$I$55,3,0)),0,VLOOKUP(A28,'Données projet'!$A$35:$I$55,3,0))</f>
        <v>5</v>
      </c>
      <c r="V28" s="16">
        <f>IF(ISNA(VLOOKUP(A28,'Données projet'!$A$35:$I$55,4,0)),0,VLOOKUP(A28,'Données projet'!$A$35:$I$55,4,0))</f>
        <v>11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0.06</v>
      </c>
      <c r="Y28" s="17">
        <f>IF(ISNA(VLOOKUP(A28,'Données projet'!$A$35:$I$55,7,0)),0%,VLOOKUP(A28,'Données projet'!$A$35:$I$55,7,0))</f>
        <v>0.8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1.3861027180008083</v>
      </c>
      <c r="AB28" s="23">
        <f>EXP(-LN(2)/2)*AB27+(1-EXP(-LN(2)/2))/(LN(2)/2)*V28*Y28*VLOOKUP('Données projet'!$B$9,Paramètres!$A$1:$I$89,3,0)*0.475*44/12</f>
        <v>9.7587361769060958</v>
      </c>
      <c r="AC28" s="24">
        <f t="shared" si="3"/>
        <v>11.144838894906904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71</v>
      </c>
      <c r="AG28" s="13">
        <f>VLOOKUP(A28,'Données projet'!$A$61:$I$81,9,0)</f>
        <v>2.84</v>
      </c>
      <c r="AH28" s="13">
        <f t="array" ref="AH28">INDEX(AG:AG,MIN(IF(ISNUMBER(AG28:AG224),ROW(AG28:AG224),"")))</f>
        <v>2.84</v>
      </c>
      <c r="AI28" s="14">
        <f>IF('Données projet'!$A$62&gt;35,AI27+AH28-AQ27,IF(A28&lt;'Données projet'!$A$62,$AF$205^A28,IF(A28='Données projet'!$A$62,'Données projet'!$B$62,AI27+AH28-AQ27)))</f>
        <v>71</v>
      </c>
      <c r="AJ28" s="14">
        <f>AI28*VLOOKUP('Données projet'!$B$10,Paramètres!$A$1:$I$89,3,0)*VLOOKUP('Données projet'!$B$10,Paramètres!$A$1:$I$89,5,0)</f>
        <v>71.994</v>
      </c>
      <c r="AK28" s="14">
        <f t="shared" si="35"/>
        <v>20.167825678149413</v>
      </c>
      <c r="AL28" s="22">
        <f t="shared" si="4"/>
        <v>160.51517972277688</v>
      </c>
      <c r="AM28" s="62">
        <f t="shared" si="5"/>
        <v>447.73740194499908</v>
      </c>
      <c r="AN28" s="62">
        <f ca="1">AVERAGE(OFFSET($AM$3,0,0,'Données projet'!$E$10+1,1))-AVERAGE(OFFSET($H$3,0,0,'Données projet'!$E$10+1,1))</f>
        <v>411.98877330238821</v>
      </c>
      <c r="AO28" s="62">
        <f t="shared" si="36"/>
        <v>256.4377087753457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54</v>
      </c>
      <c r="BB28" s="13">
        <f>VLOOKUP(A28,'Données projet'!$A$87:$I$107,9,0)</f>
        <v>7.8</v>
      </c>
      <c r="BC28" s="13">
        <f t="array" ref="BC28">INDEX(BB:BB,MIN(IF(ISNUMBER(BB28:BB224),ROW(BB28:BB224),"")))</f>
        <v>7.8</v>
      </c>
      <c r="BD28" s="13">
        <f>IF('Données projet'!$A$88&gt;35,BD27+BC28-BL27,IF(A28&lt;'Données projet'!$A$88,$BA$205^A28,IF(A28='Données projet'!$A$88,'Données projet'!$B$88,BD27+BC28-BL27)))</f>
        <v>53.999999999999993</v>
      </c>
      <c r="BE28" s="14">
        <f>BD28*VLOOKUP('Données projet'!$B$11,Paramètres!$A$1:$I$89,3,0)*VLOOKUP('Données projet'!$B$11,Paramètres!$A$1:$I$89,5,0)</f>
        <v>47.174399999999999</v>
      </c>
      <c r="BF28" s="14">
        <f t="shared" si="37"/>
        <v>13.881584044427933</v>
      </c>
      <c r="BG28" s="22">
        <f t="shared" si="7"/>
        <v>106.33917221071198</v>
      </c>
      <c r="BH28" s="62">
        <f t="shared" si="8"/>
        <v>393.56139443293421</v>
      </c>
      <c r="BI28" s="62">
        <f ca="1">AVERAGE(OFFSET($BH$3,0,0,'Données projet'!$E$11+1,1))-AVERAGE(OFFSET($H$3,0,0,'Données projet'!$E$11+1,1))</f>
        <v>195.30963433439501</v>
      </c>
      <c r="BJ28" s="62">
        <f t="shared" si="38"/>
        <v>185.00219255324504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14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1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11.976844164350569</v>
      </c>
      <c r="BS28" s="24">
        <f t="shared" si="9"/>
        <v>11.976844164350569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30</v>
      </c>
      <c r="BW28" s="13">
        <f>VLOOKUP(A28,'Données projet'!$A$113:$I$133,9,0)</f>
        <v>1.2</v>
      </c>
      <c r="BX28" s="13">
        <f t="array" ref="BX28">INDEX(BW:BW,MIN(IF(ISNUMBER(BW28:BW224),ROW(BW28:BW224),"")))</f>
        <v>1.2</v>
      </c>
      <c r="BY28" s="13">
        <f>IF('Données projet'!$A$114&gt;35,BY27+BX28-CG27,IF(A28&lt;'Données projet'!$A$114,$BV$205^A28,IF(A28='Données projet'!$A$114,'Données projet'!$B$114,BY27+BX28-CG27)))</f>
        <v>30</v>
      </c>
      <c r="BZ28" s="14">
        <f>BY28*VLOOKUP('Données projet'!$B$12,Paramètres!$A$1:$I$89,3,0)*VLOOKUP('Données projet'!$B$12,Paramètres!$A$1:$I$89,5,0)</f>
        <v>29.016000000000002</v>
      </c>
      <c r="CA28" s="14">
        <f t="shared" si="39"/>
        <v>9.0352172071357728</v>
      </c>
      <c r="CB28" s="22">
        <f t="shared" si="10"/>
        <v>66.272536635761469</v>
      </c>
      <c r="CC28" s="62">
        <f t="shared" si="11"/>
        <v>353.4947588579837</v>
      </c>
      <c r="CD28" s="62">
        <f ca="1">AVERAGE(OFFSET($CC$3,0,0,'Données projet'!$E$12+1,1))-AVERAGE(OFFSET($H$3,0,0,'Données projet'!$E$12+1,1))</f>
        <v>298.18906674058809</v>
      </c>
      <c r="CE28" s="62">
        <f t="shared" si="40"/>
        <v>154.08406475869634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6.8</v>
      </c>
      <c r="N29" s="14">
        <f>IF('Données projet'!$A$36&gt;35,N28+M29-V28,IF(A29&lt;'Données projet'!$A$36,$K$205^A29,IF(A29='Données projet'!$A$36,'Données projet'!$B$36,N28+M29-V28)))</f>
        <v>168.80000000000004</v>
      </c>
      <c r="O29" s="14">
        <f>N29*VLOOKUP('Données projet'!$B$9,Paramètres!$A$1:$I$89,3,0)*VLOOKUP('Données projet'!$B$9,Paramètres!$A$1:$I$89,5,0)</f>
        <v>152.73024000000001</v>
      </c>
      <c r="P29" s="14">
        <f t="shared" si="33"/>
        <v>39.198389597047516</v>
      </c>
      <c r="Q29" s="22">
        <f t="shared" si="2"/>
        <v>334.27569654819109</v>
      </c>
      <c r="R29" s="62">
        <f t="shared" si="0"/>
        <v>622.72014099263561</v>
      </c>
      <c r="S29" s="62">
        <f ca="1">AVERAGE(OFFSET($R$3,0,0,'Données projet'!$E$9+1,1))-AVERAGE(OFFSET($H$3,0,0,'Données projet'!$E$9+1,1))</f>
        <v>302.6112905010138</v>
      </c>
      <c r="T29" s="62">
        <f t="shared" si="34"/>
        <v>423.44006663873375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1.3481996662851023</v>
      </c>
      <c r="AB29" s="23">
        <f>EXP(-LN(2)/2)*AB28+(1-EXP(-LN(2)/2))/(LN(2)/2)*V29*Y29*VLOOKUP('Données projet'!$B$9,Paramètres!$A$1:$I$89,3,0)*0.475*44/12</f>
        <v>6.9004685265007843</v>
      </c>
      <c r="AC29" s="24">
        <f t="shared" si="3"/>
        <v>8.2486681927858871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70</v>
      </c>
      <c r="AJ29" s="14">
        <f>AI29*VLOOKUP('Données projet'!$B$10,Paramètres!$A$1:$I$89,3,0)*VLOOKUP('Données projet'!$B$10,Paramètres!$A$1:$I$89,5,0)</f>
        <v>70.98</v>
      </c>
      <c r="AK29" s="14">
        <f t="shared" si="35"/>
        <v>19.916628839746853</v>
      </c>
      <c r="AL29" s="22">
        <f t="shared" si="4"/>
        <v>158.31162856255909</v>
      </c>
      <c r="AM29" s="62">
        <f t="shared" si="5"/>
        <v>446.75607300700358</v>
      </c>
      <c r="AN29" s="62">
        <f ca="1">AVERAGE(OFFSET($AM$3,0,0,'Données projet'!$E$10+1,1))-AVERAGE(OFFSET($H$3,0,0,'Données projet'!$E$10+1,1))</f>
        <v>411.98877330238821</v>
      </c>
      <c r="AO29" s="62">
        <f t="shared" si="36"/>
        <v>256.4377087753457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7.2</v>
      </c>
      <c r="BD29" s="13">
        <f>IF('Données projet'!$A$88&gt;35,BD28+BC29-BL28,IF(A29&lt;'Données projet'!$A$88,$BA$205^A29,IF(A29='Données projet'!$A$88,'Données projet'!$B$88,BD28+BC29-BL28)))</f>
        <v>47.199999999999996</v>
      </c>
      <c r="BE29" s="14">
        <f>BD29*VLOOKUP('Données projet'!$B$11,Paramètres!$A$1:$I$89,3,0)*VLOOKUP('Données projet'!$B$11,Paramètres!$A$1:$I$89,5,0)</f>
        <v>41.233919999999998</v>
      </c>
      <c r="BF29" s="14">
        <f t="shared" si="37"/>
        <v>12.325116999638462</v>
      </c>
      <c r="BG29" s="22">
        <f t="shared" si="7"/>
        <v>93.28198944103697</v>
      </c>
      <c r="BH29" s="62">
        <f t="shared" si="8"/>
        <v>381.72643388548141</v>
      </c>
      <c r="BI29" s="62">
        <f ca="1">AVERAGE(OFFSET($BH$3,0,0,'Données projet'!$E$11+1,1))-AVERAGE(OFFSET($H$3,0,0,'Données projet'!$E$11+1,1))</f>
        <v>195.30963433439501</v>
      </c>
      <c r="BJ29" s="62">
        <f t="shared" si="38"/>
        <v>185.00219255324504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8.4689077258268171</v>
      </c>
      <c r="BS29" s="24">
        <f t="shared" si="9"/>
        <v>8.4689077258268171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4.8</v>
      </c>
      <c r="BY29" s="13">
        <f>IF('Données projet'!$A$114&gt;35,BY28+BX29-CG28,IF(A29&lt;'Données projet'!$A$114,$BV$205^A29,IF(A29='Données projet'!$A$114,'Données projet'!$B$114,BY28+BX29-CG28)))</f>
        <v>34.799999999999997</v>
      </c>
      <c r="BZ29" s="14">
        <f>BY29*VLOOKUP('Données projet'!$B$12,Paramètres!$A$1:$I$89,3,0)*VLOOKUP('Données projet'!$B$12,Paramètres!$A$1:$I$89,5,0)</f>
        <v>33.658559999999994</v>
      </c>
      <c r="CA29" s="14">
        <f t="shared" si="39"/>
        <v>10.301338939492439</v>
      </c>
      <c r="CB29" s="22">
        <f t="shared" si="10"/>
        <v>76.563490652949312</v>
      </c>
      <c r="CC29" s="62">
        <f t="shared" si="11"/>
        <v>365.00793509739378</v>
      </c>
      <c r="CD29" s="62">
        <f ca="1">AVERAGE(OFFSET($CC$3,0,0,'Données projet'!$E$12+1,1))-AVERAGE(OFFSET($H$3,0,0,'Données projet'!$E$12+1,1))</f>
        <v>298.18906674058809</v>
      </c>
      <c r="CE29" s="62">
        <f t="shared" si="40"/>
        <v>154.08406475869634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6.8</v>
      </c>
      <c r="N30" s="14">
        <f>IF('Données projet'!$A$36&gt;35,N29+M30-V29,IF(A30&lt;'Données projet'!$A$36,$K$205^A30,IF(A30='Données projet'!$A$36,'Données projet'!$B$36,N29+M30-V29)))</f>
        <v>175.60000000000005</v>
      </c>
      <c r="O30" s="14">
        <f>N30*VLOOKUP('Données projet'!$B$9,Paramètres!$A$1:$I$89,3,0)*VLOOKUP('Données projet'!$B$9,Paramètres!$A$1:$I$89,5,0)</f>
        <v>158.88288000000006</v>
      </c>
      <c r="P30" s="14">
        <f t="shared" si="33"/>
        <v>40.590443217000178</v>
      </c>
      <c r="Q30" s="22">
        <f t="shared" si="2"/>
        <v>347.41603793627536</v>
      </c>
      <c r="R30" s="62">
        <f t="shared" si="0"/>
        <v>637.08270460294204</v>
      </c>
      <c r="S30" s="62">
        <f ca="1">AVERAGE(OFFSET($R$3,0,0,'Données projet'!$E$9+1,1))-AVERAGE(OFFSET($H$3,0,0,'Données projet'!$E$9+1,1))</f>
        <v>302.6112905010138</v>
      </c>
      <c r="T30" s="62">
        <f t="shared" si="34"/>
        <v>423.44006663873375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1.3113330755117971</v>
      </c>
      <c r="AB30" s="23">
        <f>EXP(-LN(2)/2)*AB29+(1-EXP(-LN(2)/2))/(LN(2)/2)*V30*Y30*VLOOKUP('Données projet'!$B$9,Paramètres!$A$1:$I$89,3,0)*0.475*44/12</f>
        <v>4.8793680884530488</v>
      </c>
      <c r="AC30" s="24">
        <f t="shared" si="3"/>
        <v>6.1907011639648459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77</v>
      </c>
      <c r="AJ30" s="14">
        <f>AI30*VLOOKUP('Données projet'!$B$10,Paramètres!$A$1:$I$89,3,0)*VLOOKUP('Données projet'!$B$10,Paramètres!$A$1:$I$89,5,0)</f>
        <v>78.078000000000003</v>
      </c>
      <c r="AK30" s="14">
        <f t="shared" si="35"/>
        <v>21.666582091642084</v>
      </c>
      <c r="AL30" s="22">
        <f t="shared" si="4"/>
        <v>173.72181380960993</v>
      </c>
      <c r="AM30" s="62">
        <f t="shared" si="5"/>
        <v>463.38848047627664</v>
      </c>
      <c r="AN30" s="62">
        <f ca="1">AVERAGE(OFFSET($AM$3,0,0,'Données projet'!$E$10+1,1))-AVERAGE(OFFSET($H$3,0,0,'Données projet'!$E$10+1,1))</f>
        <v>411.98877330238821</v>
      </c>
      <c r="AO30" s="62">
        <f t="shared" si="36"/>
        <v>256.4377087753457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7.2</v>
      </c>
      <c r="BD30" s="13">
        <f>IF('Données projet'!$A$88&gt;35,BD29+BC30-BL29,IF(A30&lt;'Données projet'!$A$88,$BA$205^A30,IF(A30='Données projet'!$A$88,'Données projet'!$B$88,BD29+BC30-BL29)))</f>
        <v>54.4</v>
      </c>
      <c r="BE30" s="14">
        <f>BD30*VLOOKUP('Données projet'!$B$11,Paramètres!$A$1:$I$89,3,0)*VLOOKUP('Données projet'!$B$11,Paramètres!$A$1:$I$89,5,0)</f>
        <v>47.523840000000007</v>
      </c>
      <c r="BF30" s="14">
        <f t="shared" si="37"/>
        <v>13.972402520519896</v>
      </c>
      <c r="BG30" s="22">
        <f t="shared" si="7"/>
        <v>107.10595572323882</v>
      </c>
      <c r="BH30" s="62">
        <f t="shared" si="8"/>
        <v>396.77262238990551</v>
      </c>
      <c r="BI30" s="62">
        <f ca="1">AVERAGE(OFFSET($BH$3,0,0,'Données projet'!$E$11+1,1))-AVERAGE(OFFSET($H$3,0,0,'Données projet'!$E$11+1,1))</f>
        <v>195.30963433439501</v>
      </c>
      <c r="BJ30" s="62">
        <f t="shared" si="38"/>
        <v>185.00219255324504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5.9884220821752852</v>
      </c>
      <c r="BS30" s="24">
        <f t="shared" si="9"/>
        <v>5.9884220821752852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4.8</v>
      </c>
      <c r="BY30" s="13">
        <f>IF('Données projet'!$A$114&gt;35,BY29+BX30-CG29,IF(A30&lt;'Données projet'!$A$114,$BV$205^A30,IF(A30='Données projet'!$A$114,'Données projet'!$B$114,BY29+BX30-CG29)))</f>
        <v>39.599999999999994</v>
      </c>
      <c r="BZ30" s="14">
        <f>BY30*VLOOKUP('Données projet'!$B$12,Paramètres!$A$1:$I$89,3,0)*VLOOKUP('Données projet'!$B$12,Paramètres!$A$1:$I$89,5,0)</f>
        <v>38.301119999999997</v>
      </c>
      <c r="CA30" s="14">
        <f t="shared" si="39"/>
        <v>11.547227522927502</v>
      </c>
      <c r="CB30" s="22">
        <f t="shared" si="10"/>
        <v>86.819205269098731</v>
      </c>
      <c r="CC30" s="62">
        <f t="shared" si="11"/>
        <v>376.48587193576543</v>
      </c>
      <c r="CD30" s="62">
        <f ca="1">AVERAGE(OFFSET($CC$3,0,0,'Données projet'!$E$12+1,1))-AVERAGE(OFFSET($H$3,0,0,'Données projet'!$E$12+1,1))</f>
        <v>298.18906674058809</v>
      </c>
      <c r="CE30" s="62">
        <f t="shared" si="40"/>
        <v>154.08406475869634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6.8</v>
      </c>
      <c r="N31" s="14">
        <f>IF('Données projet'!$A$36&gt;35,N30+M31-V30,IF(A31&lt;'Données projet'!$A$36,$K$205^A31,IF(A31='Données projet'!$A$36,'Données projet'!$B$36,N30+M31-V30)))</f>
        <v>182.40000000000006</v>
      </c>
      <c r="O31" s="14">
        <f>N31*VLOOKUP('Données projet'!$B$9,Paramètres!$A$1:$I$89,3,0)*VLOOKUP('Données projet'!$B$9,Paramètres!$A$1:$I$89,5,0)</f>
        <v>165.03552000000005</v>
      </c>
      <c r="P31" s="14">
        <f t="shared" si="33"/>
        <v>41.976234598846517</v>
      </c>
      <c r="Q31" s="22">
        <f t="shared" si="2"/>
        <v>360.54547259299108</v>
      </c>
      <c r="R31" s="62">
        <f t="shared" si="0"/>
        <v>651.43436148187993</v>
      </c>
      <c r="S31" s="62">
        <f ca="1">AVERAGE(OFFSET($R$3,0,0,'Données projet'!$E$9+1,1))-AVERAGE(OFFSET($H$3,0,0,'Données projet'!$E$9+1,1))</f>
        <v>302.6112905010138</v>
      </c>
      <c r="T31" s="62">
        <f t="shared" si="34"/>
        <v>423.44006663873375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1.2754746036019178</v>
      </c>
      <c r="AB31" s="23">
        <f>EXP(-LN(2)/2)*AB30+(1-EXP(-LN(2)/2))/(LN(2)/2)*V31*Y31*VLOOKUP('Données projet'!$B$9,Paramètres!$A$1:$I$89,3,0)*0.475*44/12</f>
        <v>3.4502342632503931</v>
      </c>
      <c r="AC31" s="24">
        <f t="shared" si="3"/>
        <v>4.7257088668523108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84</v>
      </c>
      <c r="AJ31" s="14">
        <f>AI31*VLOOKUP('Données projet'!$B$10,Paramètres!$A$1:$I$89,3,0)*VLOOKUP('Données projet'!$B$10,Paramètres!$A$1:$I$89,5,0)</f>
        <v>85.176000000000002</v>
      </c>
      <c r="AK31" s="14">
        <f t="shared" si="35"/>
        <v>23.398088487656441</v>
      </c>
      <c r="AL31" s="22">
        <f t="shared" si="4"/>
        <v>189.09987078266829</v>
      </c>
      <c r="AM31" s="62">
        <f t="shared" si="5"/>
        <v>479.98875967155715</v>
      </c>
      <c r="AN31" s="62">
        <f ca="1">AVERAGE(OFFSET($AM$3,0,0,'Données projet'!$E$10+1,1))-AVERAGE(OFFSET($H$3,0,0,'Données projet'!$E$10+1,1))</f>
        <v>411.98877330238821</v>
      </c>
      <c r="AO31" s="62">
        <f t="shared" si="36"/>
        <v>256.4377087753457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7.2</v>
      </c>
      <c r="BD31" s="13">
        <f>IF('Données projet'!$A$88&gt;35,BD30+BC31-BL30,IF(A31&lt;'Données projet'!$A$88,$BA$205^A31,IF(A31='Données projet'!$A$88,'Données projet'!$B$88,BD30+BC31-BL30)))</f>
        <v>61.6</v>
      </c>
      <c r="BE31" s="14">
        <f>BD31*VLOOKUP('Données projet'!$B$11,Paramètres!$A$1:$I$89,3,0)*VLOOKUP('Données projet'!$B$11,Paramètres!$A$1:$I$89,5,0)</f>
        <v>53.813760000000002</v>
      </c>
      <c r="BF31" s="14">
        <f t="shared" si="37"/>
        <v>15.594426863248383</v>
      </c>
      <c r="BG31" s="22">
        <f t="shared" si="7"/>
        <v>120.88592545349094</v>
      </c>
      <c r="BH31" s="62">
        <f t="shared" si="8"/>
        <v>411.77481434237978</v>
      </c>
      <c r="BI31" s="62">
        <f ca="1">AVERAGE(OFFSET($BH$3,0,0,'Données projet'!$E$11+1,1))-AVERAGE(OFFSET($H$3,0,0,'Données projet'!$E$11+1,1))</f>
        <v>195.30963433439501</v>
      </c>
      <c r="BJ31" s="62">
        <f t="shared" si="38"/>
        <v>185.00219255324504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4.2344538629134085</v>
      </c>
      <c r="BS31" s="24">
        <f t="shared" si="9"/>
        <v>4.2344538629134085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4.8</v>
      </c>
      <c r="BY31" s="13">
        <f>IF('Données projet'!$A$114&gt;35,BY30+BX31-CG30,IF(A31&lt;'Données projet'!$A$114,$BV$205^A31,IF(A31='Données projet'!$A$114,'Données projet'!$B$114,BY30+BX31-CG30)))</f>
        <v>44.399999999999991</v>
      </c>
      <c r="BZ31" s="14">
        <f>BY31*VLOOKUP('Données projet'!$B$12,Paramètres!$A$1:$I$89,3,0)*VLOOKUP('Données projet'!$B$12,Paramètres!$A$1:$I$89,5,0)</f>
        <v>42.943679999999993</v>
      </c>
      <c r="CA31" s="14">
        <f t="shared" si="39"/>
        <v>12.775615987781539</v>
      </c>
      <c r="CB31" s="22">
        <f t="shared" si="10"/>
        <v>97.044440512052844</v>
      </c>
      <c r="CC31" s="62">
        <f t="shared" si="11"/>
        <v>387.93332940094172</v>
      </c>
      <c r="CD31" s="62">
        <f ca="1">AVERAGE(OFFSET($CC$3,0,0,'Données projet'!$E$12+1,1))-AVERAGE(OFFSET($H$3,0,0,'Données projet'!$E$12+1,1))</f>
        <v>298.18906674058809</v>
      </c>
      <c r="CE31" s="62">
        <f t="shared" si="40"/>
        <v>154.08406475869634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6.8</v>
      </c>
      <c r="N32" s="14">
        <f>IF('Données projet'!$A$36&gt;35,N31+M32-V31,IF(A32&lt;'Données projet'!$A$36,$K$205^A32,IF(A32='Données projet'!$A$36,'Données projet'!$B$36,N31+M32-V31)))</f>
        <v>189.20000000000007</v>
      </c>
      <c r="O32" s="14">
        <f>N32*VLOOKUP('Données projet'!$B$9,Paramètres!$A$1:$I$89,3,0)*VLOOKUP('Données projet'!$B$9,Paramètres!$A$1:$I$89,5,0)</f>
        <v>171.18816000000007</v>
      </c>
      <c r="P32" s="14">
        <f t="shared" si="33"/>
        <v>43.356023936000852</v>
      </c>
      <c r="Q32" s="22">
        <f t="shared" si="2"/>
        <v>373.66445368853493</v>
      </c>
      <c r="R32" s="62">
        <f t="shared" si="0"/>
        <v>665.77556479964608</v>
      </c>
      <c r="S32" s="62">
        <f ca="1">AVERAGE(OFFSET($R$3,0,0,'Données projet'!$E$9+1,1))-AVERAGE(OFFSET($H$3,0,0,'Données projet'!$E$9+1,1))</f>
        <v>302.6112905010138</v>
      </c>
      <c r="T32" s="62">
        <f t="shared" si="34"/>
        <v>423.44006663873375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1.2405966834921291</v>
      </c>
      <c r="AB32" s="23">
        <f>EXP(-LN(2)/2)*AB31+(1-EXP(-LN(2)/2))/(LN(2)/2)*V32*Y32*VLOOKUP('Données projet'!$B$9,Paramètres!$A$1:$I$89,3,0)*0.475*44/12</f>
        <v>2.4396840442265249</v>
      </c>
      <c r="AC32" s="24">
        <f t="shared" si="3"/>
        <v>3.680280727718654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91</v>
      </c>
      <c r="AJ32" s="14">
        <f>AI32*VLOOKUP('Données projet'!$B$10,Paramètres!$A$1:$I$89,3,0)*VLOOKUP('Données projet'!$B$10,Paramètres!$A$1:$I$89,5,0)</f>
        <v>92.274000000000001</v>
      </c>
      <c r="AK32" s="14">
        <f t="shared" si="35"/>
        <v>25.112860036087575</v>
      </c>
      <c r="AL32" s="22">
        <f t="shared" si="4"/>
        <v>204.4487812295192</v>
      </c>
      <c r="AM32" s="62">
        <f t="shared" si="5"/>
        <v>496.55989234063031</v>
      </c>
      <c r="AN32" s="62">
        <f ca="1">AVERAGE(OFFSET($AM$3,0,0,'Données projet'!$E$10+1,1))-AVERAGE(OFFSET($H$3,0,0,'Données projet'!$E$10+1,1))</f>
        <v>411.98877330238821</v>
      </c>
      <c r="AO32" s="62">
        <f t="shared" si="36"/>
        <v>256.4377087753457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7.2</v>
      </c>
      <c r="BD32" s="13">
        <f>IF('Données projet'!$A$88&gt;35,BD31+BC32-BL31,IF(A32&lt;'Données projet'!$A$88,$BA$205^A32,IF(A32='Données projet'!$A$88,'Données projet'!$B$88,BD31+BC32-BL31)))</f>
        <v>68.8</v>
      </c>
      <c r="BE32" s="14">
        <f>BD32*VLOOKUP('Données projet'!$B$11,Paramètres!$A$1:$I$89,3,0)*VLOOKUP('Données projet'!$B$11,Paramètres!$A$1:$I$89,5,0)</f>
        <v>60.103679999999997</v>
      </c>
      <c r="BF32" s="14">
        <f t="shared" si="37"/>
        <v>17.194479934863121</v>
      </c>
      <c r="BG32" s="22">
        <f t="shared" si="7"/>
        <v>134.62762855321992</v>
      </c>
      <c r="BH32" s="62">
        <f t="shared" si="8"/>
        <v>426.73873966433109</v>
      </c>
      <c r="BI32" s="62">
        <f ca="1">AVERAGE(OFFSET($BH$3,0,0,'Données projet'!$E$11+1,1))-AVERAGE(OFFSET($H$3,0,0,'Données projet'!$E$11+1,1))</f>
        <v>195.30963433439501</v>
      </c>
      <c r="BJ32" s="62">
        <f t="shared" si="38"/>
        <v>185.00219255324504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2.9942110410876426</v>
      </c>
      <c r="BS32" s="24">
        <f t="shared" si="9"/>
        <v>2.9942110410876426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4.8</v>
      </c>
      <c r="BY32" s="13">
        <f>IF('Données projet'!$A$114&gt;35,BY31+BX32-CG31,IF(A32&lt;'Données projet'!$A$114,$BV$205^A32,IF(A32='Données projet'!$A$114,'Données projet'!$B$114,BY31+BX32-CG31)))</f>
        <v>49.199999999999989</v>
      </c>
      <c r="BZ32" s="14">
        <f>BY32*VLOOKUP('Données projet'!$B$12,Paramètres!$A$1:$I$89,3,0)*VLOOKUP('Données projet'!$B$12,Paramètres!$A$1:$I$89,5,0)</f>
        <v>47.586239999999989</v>
      </c>
      <c r="CA32" s="14">
        <f t="shared" si="39"/>
        <v>13.98861191110446</v>
      </c>
      <c r="CB32" s="22">
        <f t="shared" si="10"/>
        <v>107.2428670785069</v>
      </c>
      <c r="CC32" s="62">
        <f t="shared" si="11"/>
        <v>399.35397818961803</v>
      </c>
      <c r="CD32" s="62">
        <f ca="1">AVERAGE(OFFSET($CC$3,0,0,'Données projet'!$E$12+1,1))-AVERAGE(OFFSET($H$3,0,0,'Données projet'!$E$12+1,1))</f>
        <v>298.18906674058809</v>
      </c>
      <c r="CE32" s="62">
        <f t="shared" si="40"/>
        <v>154.08406475869634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196</v>
      </c>
      <c r="L33" s="13">
        <f>VLOOKUP(A33,'Données projet'!$A$35:$I$55,9,0)</f>
        <v>6.8</v>
      </c>
      <c r="M33" s="13">
        <f t="array" ref="M33">INDEX(L:L,MIN(IF(ISNUMBER(L33:L229),ROW(L33:L229),"")))</f>
        <v>6.8</v>
      </c>
      <c r="N33" s="14">
        <f>IF('Données projet'!$A$36&gt;35,N32+M33-V32,IF(A33&lt;'Données projet'!$A$36,$K$205^A33,IF(A33='Données projet'!$A$36,'Données projet'!$B$36,N32+M33-V32)))</f>
        <v>196.00000000000009</v>
      </c>
      <c r="O33" s="14">
        <f>N33*VLOOKUP('Données projet'!$B$9,Paramètres!$A$1:$I$89,3,0)*VLOOKUP('Données projet'!$B$9,Paramètres!$A$1:$I$89,5,0)</f>
        <v>177.34080000000006</v>
      </c>
      <c r="P33" s="14">
        <f t="shared" si="33"/>
        <v>44.730051658603102</v>
      </c>
      <c r="Q33" s="22">
        <f t="shared" si="2"/>
        <v>386.77339997206712</v>
      </c>
      <c r="R33" s="62">
        <f t="shared" si="0"/>
        <v>680.10673330540044</v>
      </c>
      <c r="S33" s="62">
        <f ca="1">AVERAGE(OFFSET($R$3,0,0,'Données projet'!$E$9+1,1))-AVERAGE(OFFSET($H$3,0,0,'Données projet'!$E$9+1,1))</f>
        <v>302.6112905010138</v>
      </c>
      <c r="T33" s="62">
        <f t="shared" si="34"/>
        <v>423.44006663873375</v>
      </c>
      <c r="U33" s="16">
        <f>IF(ISNA(VLOOKUP(A33,'Données projet'!$A$35:$I$55,3,0)),0,VLOOKUP(A33,'Données projet'!$A$35:$I$55,3,0))</f>
        <v>6</v>
      </c>
      <c r="V33" s="16">
        <f>IF(ISNA(VLOOKUP(A33,'Données projet'!$A$35:$I$55,4,0)),0,VLOOKUP(A33,'Données projet'!$A$35:$I$55,4,0))</f>
        <v>9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0.12</v>
      </c>
      <c r="Y33" s="17">
        <f>IF(ISNA(VLOOKUP(A33,'Données projet'!$A$35:$I$55,7,0)),0%,VLOOKUP(A33,'Données projet'!$A$35:$I$55,7,0))</f>
        <v>0.6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2.2826671214412029</v>
      </c>
      <c r="AB33" s="23">
        <f>EXP(-LN(2)/2)*AB32+(1-EXP(-LN(2)/2))/(LN(2)/2)*V33*Y33*VLOOKUP('Données projet'!$B$9,Paramètres!$A$1:$I$89,3,0)*0.475*44/12</f>
        <v>6.3351141542339544</v>
      </c>
      <c r="AC33" s="24">
        <f t="shared" si="3"/>
        <v>8.6177812756751564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98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98</v>
      </c>
      <c r="AJ33" s="14">
        <f>AI33*VLOOKUP('Données projet'!$B$10,Paramètres!$A$1:$I$89,3,0)*VLOOKUP('Données projet'!$B$10,Paramètres!$A$1:$I$89,5,0)</f>
        <v>99.372000000000014</v>
      </c>
      <c r="AK33" s="14">
        <f t="shared" si="35"/>
        <v>26.812330397327713</v>
      </c>
      <c r="AL33" s="22">
        <f t="shared" si="4"/>
        <v>219.7710421086791</v>
      </c>
      <c r="AM33" s="62">
        <f t="shared" si="5"/>
        <v>513.10437544201238</v>
      </c>
      <c r="AN33" s="62">
        <f ca="1">AVERAGE(OFFSET($AM$3,0,0,'Données projet'!$E$10+1,1))-AVERAGE(OFFSET($H$3,0,0,'Données projet'!$E$10+1,1))</f>
        <v>411.98877330238821</v>
      </c>
      <c r="AO33" s="62">
        <f t="shared" si="36"/>
        <v>256.4377087753457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76</v>
      </c>
      <c r="BB33" s="13">
        <f>VLOOKUP(A33,'Données projet'!$A$87:$I$107,9,0)</f>
        <v>7.2</v>
      </c>
      <c r="BC33" s="13">
        <f t="array" ref="BC33">INDEX(BB:BB,MIN(IF(ISNUMBER(BB33:BB229),ROW(BB33:BB229),"")))</f>
        <v>7.2</v>
      </c>
      <c r="BD33" s="13">
        <f>IF('Données projet'!$A$88&gt;35,BD32+BC33-BL32,IF(A33&lt;'Données projet'!$A$88,$BA$205^A33,IF(A33='Données projet'!$A$88,'Données projet'!$B$88,BD32+BC33-BL32)))</f>
        <v>76</v>
      </c>
      <c r="BE33" s="14">
        <f>BD33*VLOOKUP('Données projet'!$B$11,Paramètres!$A$1:$I$89,3,0)*VLOOKUP('Données projet'!$B$11,Paramètres!$A$1:$I$89,5,0)</f>
        <v>66.393600000000006</v>
      </c>
      <c r="BF33" s="14">
        <f t="shared" si="37"/>
        <v>18.775122997078544</v>
      </c>
      <c r="BG33" s="22">
        <f t="shared" si="7"/>
        <v>148.33552588657844</v>
      </c>
      <c r="BH33" s="62">
        <f t="shared" si="8"/>
        <v>441.66885921991172</v>
      </c>
      <c r="BI33" s="62">
        <f ca="1">AVERAGE(OFFSET($BH$3,0,0,'Données projet'!$E$11+1,1))-AVERAGE(OFFSET($H$3,0,0,'Données projet'!$E$11+1,1))</f>
        <v>195.30963433439501</v>
      </c>
      <c r="BJ33" s="62">
        <f t="shared" si="38"/>
        <v>185.00219255324504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14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1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13.656938507846446</v>
      </c>
      <c r="BS33" s="24">
        <f t="shared" si="9"/>
        <v>13.656938507846446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54</v>
      </c>
      <c r="BW33" s="13">
        <f>VLOOKUP(A33,'Données projet'!$A$113:$I$133,9,0)</f>
        <v>4.8</v>
      </c>
      <c r="BX33" s="13">
        <f t="array" ref="BX33">INDEX(BW:BW,MIN(IF(ISNUMBER(BW33:BW229),ROW(BW33:BW229),"")))</f>
        <v>4.8</v>
      </c>
      <c r="BY33" s="13">
        <f>IF('Données projet'!$A$114&gt;35,BY32+BX33-CG32,IF(A33&lt;'Données projet'!$A$114,$BV$205^A33,IF(A33='Données projet'!$A$114,'Données projet'!$B$114,BY32+BX33-CG32)))</f>
        <v>53.999999999999986</v>
      </c>
      <c r="BZ33" s="14">
        <f>BY33*VLOOKUP('Données projet'!$B$12,Paramètres!$A$1:$I$89,3,0)*VLOOKUP('Données projet'!$B$12,Paramètres!$A$1:$I$89,5,0)</f>
        <v>52.228799999999985</v>
      </c>
      <c r="CA33" s="14">
        <f t="shared" si="39"/>
        <v>15.187887899730002</v>
      </c>
      <c r="CB33" s="22">
        <f t="shared" si="10"/>
        <v>117.41739809202973</v>
      </c>
      <c r="CC33" s="62">
        <f t="shared" si="11"/>
        <v>410.75073142536303</v>
      </c>
      <c r="CD33" s="62">
        <f ca="1">AVERAGE(OFFSET($CC$3,0,0,'Données projet'!$E$12+1,1))-AVERAGE(OFFSET($H$3,0,0,'Données projet'!$E$12+1,1))</f>
        <v>298.18906674058809</v>
      </c>
      <c r="CE33" s="62">
        <f t="shared" si="40"/>
        <v>154.08406475869634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5.8</v>
      </c>
      <c r="N34" s="14">
        <f>IF('Données projet'!$A$36&gt;35,N33+M34-V33,IF(A34&lt;'Données projet'!$A$36,$K$205^A34,IF(A34='Données projet'!$A$36,'Données projet'!$B$36,N33+M34-V33)))</f>
        <v>192.8000000000001</v>
      </c>
      <c r="O34" s="14">
        <f>N34*VLOOKUP('Données projet'!$B$9,Paramètres!$A$1:$I$89,3,0)*VLOOKUP('Données projet'!$B$9,Paramètres!$A$1:$I$89,5,0)</f>
        <v>174.4454400000001</v>
      </c>
      <c r="P34" s="14">
        <f t="shared" si="33"/>
        <v>44.084153549607706</v>
      </c>
      <c r="Q34" s="22">
        <f t="shared" si="2"/>
        <v>380.60570876556693</v>
      </c>
      <c r="R34" s="62">
        <f t="shared" si="0"/>
        <v>673.93904209890025</v>
      </c>
      <c r="S34" s="62">
        <f ca="1">AVERAGE(OFFSET($R$3,0,0,'Données projet'!$E$9+1,1))-AVERAGE(OFFSET($H$3,0,0,'Données projet'!$E$9+1,1))</f>
        <v>302.6112905010138</v>
      </c>
      <c r="T34" s="62">
        <f t="shared" si="34"/>
        <v>423.44006663873375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2.2202474689651464</v>
      </c>
      <c r="AB34" s="23">
        <f>EXP(-LN(2)/2)*AB33+(1-EXP(-LN(2)/2))/(LN(2)/2)*V34*Y34*VLOOKUP('Données projet'!$B$9,Paramètres!$A$1:$I$89,3,0)*0.475*44/12</f>
        <v>4.4796021780497091</v>
      </c>
      <c r="AC34" s="24">
        <f t="shared" si="3"/>
        <v>6.6998496470148554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7.8</v>
      </c>
      <c r="AI34" s="14">
        <f>IF('Données projet'!$A$62&gt;35,AI33+AH34-AQ33,IF(A34&lt;'Données projet'!$A$62,$AF$205^A34,IF(A34='Données projet'!$A$62,'Données projet'!$B$62,AI33+AH34-AQ33)))</f>
        <v>84.8</v>
      </c>
      <c r="AJ34" s="14">
        <f>AI34*VLOOKUP('Données projet'!$B$10,Paramètres!$A$1:$I$89,3,0)*VLOOKUP('Données projet'!$B$10,Paramètres!$A$1:$I$89,5,0)</f>
        <v>85.987200000000001</v>
      </c>
      <c r="AK34" s="14">
        <f t="shared" si="35"/>
        <v>23.594880218992504</v>
      </c>
      <c r="AL34" s="22">
        <f t="shared" si="4"/>
        <v>190.85545638141195</v>
      </c>
      <c r="AM34" s="62">
        <f t="shared" si="5"/>
        <v>484.18878971474527</v>
      </c>
      <c r="AN34" s="62">
        <f ca="1">AVERAGE(OFFSET($AM$3,0,0,'Données projet'!$E$10+1,1))-AVERAGE(OFFSET($H$3,0,0,'Données projet'!$E$10+1,1))</f>
        <v>411.98877330238821</v>
      </c>
      <c r="AO34" s="62">
        <f t="shared" si="36"/>
        <v>256.4377087753457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6.6</v>
      </c>
      <c r="BD34" s="13">
        <f>IF('Données projet'!$A$88&gt;35,BD33+BC34-BL33,IF(A34&lt;'Données projet'!$A$88,$BA$205^A34,IF(A34='Données projet'!$A$88,'Données projet'!$B$88,BD33+BC34-BL33)))</f>
        <v>68.599999999999994</v>
      </c>
      <c r="BE34" s="14">
        <f>BD34*VLOOKUP('Données projet'!$B$11,Paramètres!$A$1:$I$89,3,0)*VLOOKUP('Données projet'!$B$11,Paramètres!$A$1:$I$89,5,0)</f>
        <v>59.928960000000011</v>
      </c>
      <c r="BF34" s="14">
        <f t="shared" si="37"/>
        <v>17.150306633391633</v>
      </c>
      <c r="BG34" s="22">
        <f t="shared" si="7"/>
        <v>134.24638938649042</v>
      </c>
      <c r="BH34" s="62">
        <f t="shared" si="8"/>
        <v>427.57972271982374</v>
      </c>
      <c r="BI34" s="62">
        <f ca="1">AVERAGE(OFFSET($BH$3,0,0,'Données projet'!$E$11+1,1))-AVERAGE(OFFSET($H$3,0,0,'Données projet'!$E$11+1,1))</f>
        <v>195.30963433439501</v>
      </c>
      <c r="BJ34" s="62">
        <f t="shared" si="38"/>
        <v>185.00219255324504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9.6569138291459122</v>
      </c>
      <c r="BS34" s="24">
        <f t="shared" si="9"/>
        <v>9.6569138291459122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5</v>
      </c>
      <c r="BY34" s="13">
        <f>IF('Données projet'!$A$114&gt;35,BY33+BX34-CG33,IF(A34&lt;'Données projet'!$A$114,$BV$205^A34,IF(A34='Données projet'!$A$114,'Données projet'!$B$114,BY33+BX34-CG33)))</f>
        <v>58.999999999999986</v>
      </c>
      <c r="BZ34" s="14">
        <f>BY34*VLOOKUP('Données projet'!$B$12,Paramètres!$A$1:$I$89,3,0)*VLOOKUP('Données projet'!$B$12,Paramètres!$A$1:$I$89,5,0)</f>
        <v>57.064799999999991</v>
      </c>
      <c r="CA34" s="14">
        <f t="shared" si="39"/>
        <v>16.424005972947381</v>
      </c>
      <c r="CB34" s="22">
        <f t="shared" si="10"/>
        <v>127.99300373621668</v>
      </c>
      <c r="CC34" s="62">
        <f t="shared" si="11"/>
        <v>421.32633706954999</v>
      </c>
      <c r="CD34" s="62">
        <f ca="1">AVERAGE(OFFSET($CC$3,0,0,'Données projet'!$E$12+1,1))-AVERAGE(OFFSET($H$3,0,0,'Données projet'!$E$12+1,1))</f>
        <v>298.18906674058809</v>
      </c>
      <c r="CE34" s="62">
        <f t="shared" si="40"/>
        <v>154.08406475869634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5.8</v>
      </c>
      <c r="N35" s="14">
        <f>IF('Données projet'!$A$36&gt;35,N34+M35-V34,IF(A35&lt;'Données projet'!$A$36,$K$205^A35,IF(A35='Données projet'!$A$36,'Données projet'!$B$36,N34+M35-V34)))</f>
        <v>198.60000000000011</v>
      </c>
      <c r="O35" s="14">
        <f>N35*VLOOKUP('Données projet'!$B$9,Paramètres!$A$1:$I$89,3,0)*VLOOKUP('Données projet'!$B$9,Paramètres!$A$1:$I$89,5,0)</f>
        <v>179.6932800000001</v>
      </c>
      <c r="P35" s="14">
        <f t="shared" si="33"/>
        <v>45.253939845742352</v>
      </c>
      <c r="Q35" s="22">
        <f t="shared" ref="Q35:Q66" si="53">(O35+P35)*0.475*44/12</f>
        <v>391.78307456466808</v>
      </c>
      <c r="R35" s="62">
        <f t="shared" si="0"/>
        <v>685.1164078980014</v>
      </c>
      <c r="S35" s="62">
        <f ca="1">AVERAGE(OFFSET($R$3,0,0,'Données projet'!$E$9+1,1))-AVERAGE(OFFSET($H$3,0,0,'Données projet'!$E$9+1,1))</f>
        <v>302.6112905010138</v>
      </c>
      <c r="T35" s="62">
        <f t="shared" si="34"/>
        <v>423.44006663873375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2.1595346851685546</v>
      </c>
      <c r="AB35" s="23">
        <f>EXP(-LN(2)/2)*AB34+(1-EXP(-LN(2)/2))/(LN(2)/2)*V35*Y35*VLOOKUP('Données projet'!$B$9,Paramètres!$A$1:$I$89,3,0)*0.475*44/12</f>
        <v>3.1675570771169776</v>
      </c>
      <c r="AC35" s="24">
        <f t="shared" si="3"/>
        <v>5.3270917622855318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7.8</v>
      </c>
      <c r="AI35" s="14">
        <f>IF('Données projet'!$A$62&gt;35,AI34+AH35-AQ34,IF(A35&lt;'Données projet'!$A$62,$AF$205^A35,IF(A35='Données projet'!$A$62,'Données projet'!$B$62,AI34+AH35-AQ34)))</f>
        <v>92.6</v>
      </c>
      <c r="AJ35" s="14">
        <f>AI35*VLOOKUP('Données projet'!$B$10,Paramètres!$A$1:$I$89,3,0)*VLOOKUP('Données projet'!$B$10,Paramètres!$A$1:$I$89,5,0)</f>
        <v>93.8964</v>
      </c>
      <c r="AK35" s="14">
        <f t="shared" si="35"/>
        <v>25.502612364176063</v>
      </c>
      <c r="AL35" s="22">
        <f t="shared" si="4"/>
        <v>207.95327986760662</v>
      </c>
      <c r="AM35" s="62">
        <f t="shared" si="5"/>
        <v>501.28661320093994</v>
      </c>
      <c r="AN35" s="62">
        <f ca="1">AVERAGE(OFFSET($AM$3,0,0,'Données projet'!$E$10+1,1))-AVERAGE(OFFSET($H$3,0,0,'Données projet'!$E$10+1,1))</f>
        <v>411.98877330238821</v>
      </c>
      <c r="AO35" s="62">
        <f t="shared" si="36"/>
        <v>256.4377087753457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6.6</v>
      </c>
      <c r="BD35" s="13">
        <f>IF('Données projet'!$A$88&gt;35,BD34+BC35-BL34,IF(A35&lt;'Données projet'!$A$88,$BA$205^A35,IF(A35='Données projet'!$A$88,'Données projet'!$B$88,BD34+BC35-BL34)))</f>
        <v>75.199999999999989</v>
      </c>
      <c r="BE35" s="14">
        <f>BD35*VLOOKUP('Données projet'!$B$11,Paramètres!$A$1:$I$89,3,0)*VLOOKUP('Données projet'!$B$11,Paramètres!$A$1:$I$89,5,0)</f>
        <v>65.69471999999999</v>
      </c>
      <c r="BF35" s="14">
        <f t="shared" si="37"/>
        <v>18.60038718561951</v>
      </c>
      <c r="BG35" s="22">
        <f t="shared" si="7"/>
        <v>146.81397834828729</v>
      </c>
      <c r="BH35" s="62">
        <f t="shared" si="8"/>
        <v>440.14731168162064</v>
      </c>
      <c r="BI35" s="62">
        <f ca="1">AVERAGE(OFFSET($BH$3,0,0,'Données projet'!$E$11+1,1))-AVERAGE(OFFSET($H$3,0,0,'Données projet'!$E$11+1,1))</f>
        <v>195.30963433439501</v>
      </c>
      <c r="BJ35" s="62">
        <f t="shared" si="38"/>
        <v>185.00219255324504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6.8284692539232239</v>
      </c>
      <c r="BS35" s="24">
        <f t="shared" si="9"/>
        <v>6.8284692539232239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5</v>
      </c>
      <c r="BY35" s="13">
        <f>IF('Données projet'!$A$114&gt;35,BY34+BX35-CG34,IF(A35&lt;'Données projet'!$A$114,$BV$205^A35,IF(A35='Données projet'!$A$114,'Données projet'!$B$114,BY34+BX35-CG34)))</f>
        <v>63.999999999999986</v>
      </c>
      <c r="BZ35" s="14">
        <f>BY35*VLOOKUP('Données projet'!$B$12,Paramètres!$A$1:$I$89,3,0)*VLOOKUP('Données projet'!$B$12,Paramètres!$A$1:$I$89,5,0)</f>
        <v>61.90079999999999</v>
      </c>
      <c r="CA35" s="14">
        <f t="shared" si="39"/>
        <v>17.647975079256284</v>
      </c>
      <c r="CB35" s="22">
        <f t="shared" si="10"/>
        <v>138.54744992970467</v>
      </c>
      <c r="CC35" s="62">
        <f t="shared" si="11"/>
        <v>431.88078326303798</v>
      </c>
      <c r="CD35" s="62">
        <f ca="1">AVERAGE(OFFSET($CC$3,0,0,'Données projet'!$E$12+1,1))-AVERAGE(OFFSET($H$3,0,0,'Données projet'!$E$12+1,1))</f>
        <v>298.18906674058809</v>
      </c>
      <c r="CE35" s="62">
        <f t="shared" si="40"/>
        <v>154.08406475869634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5.8</v>
      </c>
      <c r="N36" s="14">
        <f>IF('Données projet'!$A$36&gt;35,N35+M36-V35,IF(A36&lt;'Données projet'!$A$36,$K$205^A36,IF(A36='Données projet'!$A$36,'Données projet'!$B$36,N35+M36-V35)))</f>
        <v>204.40000000000012</v>
      </c>
      <c r="O36" s="14">
        <f>N36*VLOOKUP('Données projet'!$B$9,Paramètres!$A$1:$I$89,3,0)*VLOOKUP('Données projet'!$B$9,Paramètres!$A$1:$I$89,5,0)</f>
        <v>184.9411200000001</v>
      </c>
      <c r="P36" s="14">
        <f t="shared" si="33"/>
        <v>46.419755730249477</v>
      </c>
      <c r="Q36" s="22">
        <f t="shared" si="53"/>
        <v>402.95352523018465</v>
      </c>
      <c r="R36" s="62">
        <f t="shared" si="0"/>
        <v>696.28685856351797</v>
      </c>
      <c r="S36" s="62">
        <f ca="1">AVERAGE(OFFSET($R$3,0,0,'Données projet'!$E$9+1,1))-AVERAGE(OFFSET($H$3,0,0,'Données projet'!$E$9+1,1))</f>
        <v>302.6112905010138</v>
      </c>
      <c r="T36" s="62">
        <f t="shared" si="34"/>
        <v>423.44006663873375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2.1004820956376271</v>
      </c>
      <c r="AB36" s="23">
        <f>EXP(-LN(2)/2)*AB35+(1-EXP(-LN(2)/2))/(LN(2)/2)*V36*Y36*VLOOKUP('Données projet'!$B$9,Paramètres!$A$1:$I$89,3,0)*0.475*44/12</f>
        <v>2.239801089024855</v>
      </c>
      <c r="AC36" s="24">
        <f t="shared" si="3"/>
        <v>4.3402831846624821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7.8</v>
      </c>
      <c r="AI36" s="14">
        <f>IF('Données projet'!$A$62&gt;35,AI35+AH36-AQ35,IF(A36&lt;'Données projet'!$A$62,$AF$205^A36,IF(A36='Données projet'!$A$62,'Données projet'!$B$62,AI35+AH36-AQ35)))</f>
        <v>100.39999999999999</v>
      </c>
      <c r="AJ36" s="14">
        <f>AI36*VLOOKUP('Données projet'!$B$10,Paramètres!$A$1:$I$89,3,0)*VLOOKUP('Données projet'!$B$10,Paramètres!$A$1:$I$89,5,0)</f>
        <v>101.80559999999998</v>
      </c>
      <c r="AK36" s="14">
        <f t="shared" si="35"/>
        <v>27.391707821525987</v>
      </c>
      <c r="AL36" s="22">
        <f t="shared" si="4"/>
        <v>225.01864445582441</v>
      </c>
      <c r="AM36" s="62">
        <f t="shared" si="5"/>
        <v>518.35197778915767</v>
      </c>
      <c r="AN36" s="62">
        <f ca="1">AVERAGE(OFFSET($AM$3,0,0,'Données projet'!$E$10+1,1))-AVERAGE(OFFSET($H$3,0,0,'Données projet'!$E$10+1,1))</f>
        <v>411.98877330238821</v>
      </c>
      <c r="AO36" s="62">
        <f t="shared" si="36"/>
        <v>256.4377087753457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6.6</v>
      </c>
      <c r="BD36" s="13">
        <f>IF('Données projet'!$A$88&gt;35,BD35+BC36-BL35,IF(A36&lt;'Données projet'!$A$88,$BA$205^A36,IF(A36='Données projet'!$A$88,'Données projet'!$B$88,BD35+BC36-BL35)))</f>
        <v>81.799999999999983</v>
      </c>
      <c r="BE36" s="14">
        <f>BD36*VLOOKUP('Données projet'!$B$11,Paramètres!$A$1:$I$89,3,0)*VLOOKUP('Données projet'!$B$11,Paramètres!$A$1:$I$89,5,0)</f>
        <v>71.46047999999999</v>
      </c>
      <c r="BF36" s="14">
        <f t="shared" si="37"/>
        <v>20.035709203981977</v>
      </c>
      <c r="BG36" s="22">
        <f t="shared" si="7"/>
        <v>159.35586286360191</v>
      </c>
      <c r="BH36" s="62">
        <f t="shared" si="8"/>
        <v>452.6891961969352</v>
      </c>
      <c r="BI36" s="62">
        <f ca="1">AVERAGE(OFFSET($BH$3,0,0,'Données projet'!$E$11+1,1))-AVERAGE(OFFSET($H$3,0,0,'Données projet'!$E$11+1,1))</f>
        <v>195.30963433439501</v>
      </c>
      <c r="BJ36" s="62">
        <f t="shared" si="38"/>
        <v>185.00219255324504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4.828456914572957</v>
      </c>
      <c r="BS36" s="24">
        <f t="shared" si="9"/>
        <v>4.828456914572957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5</v>
      </c>
      <c r="BY36" s="13">
        <f>IF('Données projet'!$A$114&gt;35,BY35+BX36-CG35,IF(A36&lt;'Données projet'!$A$114,$BV$205^A36,IF(A36='Données projet'!$A$114,'Données projet'!$B$114,BY35+BX36-CG35)))</f>
        <v>68.999999999999986</v>
      </c>
      <c r="BZ36" s="14">
        <f>BY36*VLOOKUP('Données projet'!$B$12,Paramètres!$A$1:$I$89,3,0)*VLOOKUP('Données projet'!$B$12,Paramètres!$A$1:$I$89,5,0)</f>
        <v>66.736799999999988</v>
      </c>
      <c r="CA36" s="14">
        <f t="shared" si="39"/>
        <v>18.860852268900583</v>
      </c>
      <c r="CB36" s="22">
        <f t="shared" si="10"/>
        <v>149.0825777016685</v>
      </c>
      <c r="CC36" s="62">
        <f t="shared" si="11"/>
        <v>442.41591103500184</v>
      </c>
      <c r="CD36" s="62">
        <f ca="1">AVERAGE(OFFSET($CC$3,0,0,'Données projet'!$E$12+1,1))-AVERAGE(OFFSET($H$3,0,0,'Données projet'!$E$12+1,1))</f>
        <v>298.18906674058809</v>
      </c>
      <c r="CE36" s="62">
        <f t="shared" si="40"/>
        <v>154.08406475869634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5.8</v>
      </c>
      <c r="N37" s="14">
        <f>IF('Données projet'!$A$36&gt;35,N36+M37-V36,IF(A37&lt;'Données projet'!$A$36,$K$205^A37,IF(A37='Données projet'!$A$36,'Données projet'!$B$36,N36+M37-V36)))</f>
        <v>210.20000000000013</v>
      </c>
      <c r="O37" s="14">
        <f>N37*VLOOKUP('Données projet'!$B$9,Paramètres!$A$1:$I$89,3,0)*VLOOKUP('Données projet'!$B$9,Paramètres!$A$1:$I$89,5,0)</f>
        <v>190.18896000000012</v>
      </c>
      <c r="P37" s="14">
        <f t="shared" si="33"/>
        <v>47.581726807151739</v>
      </c>
      <c r="Q37" s="22">
        <f t="shared" si="53"/>
        <v>414.1172795224561</v>
      </c>
      <c r="R37" s="62">
        <f t="shared" si="0"/>
        <v>707.45061285578936</v>
      </c>
      <c r="S37" s="62">
        <f ca="1">AVERAGE(OFFSET($R$3,0,0,'Données projet'!$E$9+1,1))-AVERAGE(OFFSET($H$3,0,0,'Données projet'!$E$9+1,1))</f>
        <v>302.6112905010138</v>
      </c>
      <c r="T37" s="62">
        <f t="shared" si="34"/>
        <v>423.44006663873375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2.0430443022728637</v>
      </c>
      <c r="AB37" s="23">
        <f>EXP(-LN(2)/2)*AB36+(1-EXP(-LN(2)/2))/(LN(2)/2)*V37*Y37*VLOOKUP('Données projet'!$B$9,Paramètres!$A$1:$I$89,3,0)*0.475*44/12</f>
        <v>1.583778538558489</v>
      </c>
      <c r="AC37" s="24">
        <f t="shared" si="3"/>
        <v>3.6268228408313528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7.8</v>
      </c>
      <c r="AI37" s="14">
        <f>IF('Données projet'!$A$62&gt;35,AI36+AH37-AQ36,IF(A37&lt;'Données projet'!$A$62,$AF$205^A37,IF(A37='Données projet'!$A$62,'Données projet'!$B$62,AI36+AH37-AQ36)))</f>
        <v>108.19999999999999</v>
      </c>
      <c r="AJ37" s="14">
        <f>AI37*VLOOKUP('Données projet'!$B$10,Paramètres!$A$1:$I$89,3,0)*VLOOKUP('Données projet'!$B$10,Paramètres!$A$1:$I$89,5,0)</f>
        <v>109.7148</v>
      </c>
      <c r="AK37" s="14">
        <f t="shared" si="35"/>
        <v>29.263779078727129</v>
      </c>
      <c r="AL37" s="22">
        <f t="shared" si="4"/>
        <v>242.05435856211645</v>
      </c>
      <c r="AM37" s="62">
        <f t="shared" si="5"/>
        <v>535.38769189544973</v>
      </c>
      <c r="AN37" s="62">
        <f ca="1">AVERAGE(OFFSET($AM$3,0,0,'Données projet'!$E$10+1,1))-AVERAGE(OFFSET($H$3,0,0,'Données projet'!$E$10+1,1))</f>
        <v>411.98877330238821</v>
      </c>
      <c r="AO37" s="62">
        <f t="shared" si="36"/>
        <v>256.4377087753457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6.6</v>
      </c>
      <c r="BD37" s="13">
        <f>IF('Données projet'!$A$88&gt;35,BD36+BC37-BL36,IF(A37&lt;'Données projet'!$A$88,$BA$205^A37,IF(A37='Données projet'!$A$88,'Données projet'!$B$88,BD36+BC37-BL36)))</f>
        <v>88.399999999999977</v>
      </c>
      <c r="BE37" s="14">
        <f>BD37*VLOOKUP('Données projet'!$B$11,Paramètres!$A$1:$I$89,3,0)*VLOOKUP('Données projet'!$B$11,Paramètres!$A$1:$I$89,5,0)</f>
        <v>77.22623999999999</v>
      </c>
      <c r="BF37" s="14">
        <f t="shared" si="37"/>
        <v>21.457598855530147</v>
      </c>
      <c r="BG37" s="22">
        <f t="shared" si="7"/>
        <v>171.87435267338165</v>
      </c>
      <c r="BH37" s="62">
        <f t="shared" si="8"/>
        <v>465.20768600671499</v>
      </c>
      <c r="BI37" s="62">
        <f ca="1">AVERAGE(OFFSET($BH$3,0,0,'Données projet'!$E$11+1,1))-AVERAGE(OFFSET($H$3,0,0,'Données projet'!$E$11+1,1))</f>
        <v>195.30963433439501</v>
      </c>
      <c r="BJ37" s="62">
        <f t="shared" si="38"/>
        <v>185.00219255324504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3.4142346269616124</v>
      </c>
      <c r="BS37" s="24">
        <f t="shared" si="9"/>
        <v>3.4142346269616124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5</v>
      </c>
      <c r="BY37" s="13">
        <f>IF('Données projet'!$A$114&gt;35,BY36+BX37-CG36,IF(A37&lt;'Données projet'!$A$114,$BV$205^A37,IF(A37='Données projet'!$A$114,'Données projet'!$B$114,BY36+BX37-CG36)))</f>
        <v>73.999999999999986</v>
      </c>
      <c r="BZ37" s="14">
        <f>BY37*VLOOKUP('Données projet'!$B$12,Paramètres!$A$1:$I$89,3,0)*VLOOKUP('Données projet'!$B$12,Paramètres!$A$1:$I$89,5,0)</f>
        <v>71.572799999999987</v>
      </c>
      <c r="CA37" s="14">
        <f t="shared" si="39"/>
        <v>20.063532712034</v>
      </c>
      <c r="CB37" s="22">
        <f t="shared" si="10"/>
        <v>159.59994614012587</v>
      </c>
      <c r="CC37" s="62">
        <f t="shared" si="11"/>
        <v>452.93327947345915</v>
      </c>
      <c r="CD37" s="62">
        <f ca="1">AVERAGE(OFFSET($CC$3,0,0,'Données projet'!$E$12+1,1))-AVERAGE(OFFSET($H$3,0,0,'Données projet'!$E$12+1,1))</f>
        <v>298.18906674058809</v>
      </c>
      <c r="CE37" s="62">
        <f t="shared" si="40"/>
        <v>154.08406475869634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216</v>
      </c>
      <c r="L38" s="13">
        <f>VLOOKUP(A38,'Données projet'!$A$35:$I$55,9,0)</f>
        <v>5.8</v>
      </c>
      <c r="M38" s="13">
        <f t="array" ref="M38">INDEX(L:L,MIN(IF(ISNUMBER(L38:L234),ROW(L38:L234),"")))</f>
        <v>5.8</v>
      </c>
      <c r="N38" s="14">
        <f>IF('Données projet'!$A$36&gt;35,N37+M38-V37,IF(A38&lt;'Données projet'!$A$36,$K$205^A38,IF(A38='Données projet'!$A$36,'Données projet'!$B$36,N37+M38-V37)))</f>
        <v>216.00000000000014</v>
      </c>
      <c r="O38" s="14">
        <f>N38*VLOOKUP('Données projet'!$B$9,Paramètres!$A$1:$I$89,3,0)*VLOOKUP('Données projet'!$B$9,Paramètres!$A$1:$I$89,5,0)</f>
        <v>195.43680000000012</v>
      </c>
      <c r="P38" s="14">
        <f t="shared" si="33"/>
        <v>48.739971354487892</v>
      </c>
      <c r="Q38" s="22">
        <f t="shared" si="53"/>
        <v>425.27454344239999</v>
      </c>
      <c r="R38" s="62">
        <f t="shared" si="0"/>
        <v>718.6078767757333</v>
      </c>
      <c r="S38" s="62">
        <f ca="1">AVERAGE(OFFSET($R$3,0,0,'Données projet'!$E$9+1,1))-AVERAGE(OFFSET($H$3,0,0,'Données projet'!$E$9+1,1))</f>
        <v>302.6112905010138</v>
      </c>
      <c r="T38" s="62">
        <f t="shared" si="34"/>
        <v>423.44006663873375</v>
      </c>
      <c r="U38" s="16">
        <f>IF(ISNA(VLOOKUP(A38,'Données projet'!$A$35:$I$55,3,0)),0,VLOOKUP(A38,'Données projet'!$A$35:$I$55,3,0))</f>
        <v>7</v>
      </c>
      <c r="V38" s="16">
        <f>IF(ISNA(VLOOKUP(A38,'Données projet'!$A$35:$I$55,4,0)),0,VLOOKUP(A38,'Données projet'!$A$35:$I$55,4,0))</f>
        <v>7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1.9871771483881819</v>
      </c>
      <c r="AB38" s="23">
        <f>EXP(-LN(2)/2)*AB37+(1-EXP(-LN(2)/2))/(LN(2)/2)*V38*Y38*VLOOKUP('Données projet'!$B$9,Paramètres!$A$1:$I$89,3,0)*0.475*44/12</f>
        <v>1.1199005445124277</v>
      </c>
      <c r="AC38" s="24">
        <f t="shared" si="3"/>
        <v>3.1070776929006096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7.8</v>
      </c>
      <c r="AH38" s="13">
        <f t="array" ref="AH38">INDEX(AG:AG,MIN(IF(ISNUMBER(AG38:AG234),ROW(AG38:AG234),"")))</f>
        <v>7.8</v>
      </c>
      <c r="AI38" s="14">
        <f>IF('Données projet'!$A$62&gt;35,AI37+AH38-AQ37,IF(A38&lt;'Données projet'!$A$62,$AF$205^A38,IF(A38='Données projet'!$A$62,'Données projet'!$B$62,AI37+AH38-AQ37)))</f>
        <v>115.99999999999999</v>
      </c>
      <c r="AJ38" s="14">
        <f>AI38*VLOOKUP('Données projet'!$B$10,Paramètres!$A$1:$I$89,3,0)*VLOOKUP('Données projet'!$B$10,Paramètres!$A$1:$I$89,5,0)</f>
        <v>117.624</v>
      </c>
      <c r="AK38" s="14">
        <f t="shared" si="35"/>
        <v>31.120192961985413</v>
      </c>
      <c r="AL38" s="22">
        <f t="shared" si="4"/>
        <v>259.06280274212457</v>
      </c>
      <c r="AM38" s="62">
        <f t="shared" si="5"/>
        <v>552.39613607545789</v>
      </c>
      <c r="AN38" s="62">
        <f ca="1">AVERAGE(OFFSET($AM$3,0,0,'Données projet'!$E$10+1,1))-AVERAGE(OFFSET($H$3,0,0,'Données projet'!$E$10+1,1))</f>
        <v>411.98877330238821</v>
      </c>
      <c r="AO38" s="62">
        <f t="shared" si="36"/>
        <v>256.4377087753457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95</v>
      </c>
      <c r="BB38" s="13">
        <f>VLOOKUP(A38,'Données projet'!$A$87:$I$107,9,0)</f>
        <v>6.6</v>
      </c>
      <c r="BC38" s="13">
        <f t="array" ref="BC38">INDEX(BB:BB,MIN(IF(ISNUMBER(BB38:BB234),ROW(BB38:BB234),"")))</f>
        <v>6.6</v>
      </c>
      <c r="BD38" s="13">
        <f>IF('Données projet'!$A$88&gt;35,BD37+BC38-BL37,IF(A38&lt;'Données projet'!$A$88,$BA$205^A38,IF(A38='Données projet'!$A$88,'Données projet'!$B$88,BD37+BC38-BL37)))</f>
        <v>94.999999999999972</v>
      </c>
      <c r="BE38" s="14">
        <f>BD38*VLOOKUP('Données projet'!$B$11,Paramètres!$A$1:$I$89,3,0)*VLOOKUP('Données projet'!$B$11,Paramètres!$A$1:$I$89,5,0)</f>
        <v>82.99199999999999</v>
      </c>
      <c r="BF38" s="14">
        <f t="shared" si="37"/>
        <v>22.867173045817303</v>
      </c>
      <c r="BG38" s="22">
        <f t="shared" si="7"/>
        <v>184.37139305479846</v>
      </c>
      <c r="BH38" s="62">
        <f t="shared" si="8"/>
        <v>477.7047263881318</v>
      </c>
      <c r="BI38" s="62">
        <f ca="1">AVERAGE(OFFSET($BH$3,0,0,'Données projet'!$E$11+1,1))-AVERAGE(OFFSET($H$3,0,0,'Données projet'!$E$11+1,1))</f>
        <v>195.30963433439501</v>
      </c>
      <c r="BJ38" s="62">
        <f t="shared" si="38"/>
        <v>185.00219255324504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14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2.4142284572864789</v>
      </c>
      <c r="BS38" s="24">
        <f t="shared" si="9"/>
        <v>2.4142284572864789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79</v>
      </c>
      <c r="BW38" s="13">
        <f>VLOOKUP(A38,'Données projet'!$A$113:$I$133,9,0)</f>
        <v>5</v>
      </c>
      <c r="BX38" s="13">
        <f t="array" ref="BX38">INDEX(BW:BW,MIN(IF(ISNUMBER(BW38:BW234),ROW(BW38:BW234),"")))</f>
        <v>5</v>
      </c>
      <c r="BY38" s="13">
        <f>IF('Données projet'!$A$114&gt;35,BY37+BX38-CG37,IF(A38&lt;'Données projet'!$A$114,$BV$205^A38,IF(A38='Données projet'!$A$114,'Données projet'!$B$114,BY37+BX38-CG37)))</f>
        <v>78.999999999999986</v>
      </c>
      <c r="BZ38" s="14">
        <f>BY38*VLOOKUP('Données projet'!$B$12,Paramètres!$A$1:$I$89,3,0)*VLOOKUP('Données projet'!$B$12,Paramètres!$A$1:$I$89,5,0)</f>
        <v>76.408799999999985</v>
      </c>
      <c r="CA38" s="14">
        <f t="shared" si="39"/>
        <v>21.256783764315173</v>
      </c>
      <c r="CB38" s="22">
        <f t="shared" si="10"/>
        <v>170.1008917228489</v>
      </c>
      <c r="CC38" s="62">
        <f t="shared" si="11"/>
        <v>463.43422505618219</v>
      </c>
      <c r="CD38" s="62">
        <f ca="1">AVERAGE(OFFSET($CC$3,0,0,'Données projet'!$E$12+1,1))-AVERAGE(OFFSET($H$3,0,0,'Données projet'!$E$12+1,1))</f>
        <v>298.18906674058809</v>
      </c>
      <c r="CE38" s="62">
        <f t="shared" si="40"/>
        <v>154.08406475869634</v>
      </c>
      <c r="CF38" s="16">
        <f>IF(ISNA(VLOOKUP(A38,'Données projet'!$A$113:$I$133,3,0)),0,VLOOKUP(A38,'Données projet'!$A$113:$I$133,3,0))</f>
        <v>3</v>
      </c>
      <c r="CG38" s="16">
        <f>IF(ISNA(VLOOKUP(A38,'Données projet'!$A$113:$I$133,4,0)),0,VLOOKUP(A38,'Données projet'!$A$113:$I$133,4,0))</f>
        <v>13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4.8</v>
      </c>
      <c r="N39" s="14">
        <f>IF('Données projet'!$A$36&gt;35,N38+M39-V38,IF(A39&lt;'Données projet'!$A$36,$K$205^A39,IF(A39='Données projet'!$A$36,'Données projet'!$B$36,N38+M39-V38)))</f>
        <v>213.80000000000015</v>
      </c>
      <c r="O39" s="14">
        <f>N39*VLOOKUP('Données projet'!$B$9,Paramètres!$A$1:$I$89,3,0)*VLOOKUP('Données projet'!$B$9,Paramètres!$A$1:$I$89,5,0)</f>
        <v>193.44624000000013</v>
      </c>
      <c r="P39" s="14">
        <f t="shared" si="33"/>
        <v>48.301068656218547</v>
      </c>
      <c r="Q39" s="22">
        <f t="shared" si="53"/>
        <v>421.04322924291415</v>
      </c>
      <c r="R39" s="62">
        <f t="shared" si="0"/>
        <v>714.37656257624747</v>
      </c>
      <c r="S39" s="62">
        <f ca="1">AVERAGE(OFFSET($R$3,0,0,'Données projet'!$E$9+1,1))-AVERAGE(OFFSET($H$3,0,0,'Données projet'!$E$9+1,1))</f>
        <v>302.6112905010138</v>
      </c>
      <c r="T39" s="62">
        <f t="shared" si="34"/>
        <v>423.44006663873375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1.9328376847644027</v>
      </c>
      <c r="AB39" s="23">
        <f>EXP(-LN(2)/2)*AB38+(1-EXP(-LN(2)/2))/(LN(2)/2)*V39*Y39*VLOOKUP('Données projet'!$B$9,Paramètres!$A$1:$I$89,3,0)*0.475*44/12</f>
        <v>0.79188926927924475</v>
      </c>
      <c r="AC39" s="24">
        <f t="shared" si="3"/>
        <v>2.7247269540436472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103.39999999999999</v>
      </c>
      <c r="AJ39" s="14">
        <f>AI39*VLOOKUP('Données projet'!$B$10,Paramètres!$A$1:$I$89,3,0)*VLOOKUP('Données projet'!$B$10,Paramètres!$A$1:$I$89,5,0)</f>
        <v>104.8476</v>
      </c>
      <c r="AK39" s="14">
        <f t="shared" si="35"/>
        <v>28.113670466115643</v>
      </c>
      <c r="AL39" s="22">
        <f t="shared" si="4"/>
        <v>231.57421272848475</v>
      </c>
      <c r="AM39" s="62">
        <f t="shared" si="5"/>
        <v>524.90754606181804</v>
      </c>
      <c r="AN39" s="62">
        <f ca="1">AVERAGE(OFFSET($AM$3,0,0,'Données projet'!$E$10+1,1))-AVERAGE(OFFSET($H$3,0,0,'Données projet'!$E$10+1,1))</f>
        <v>411.98877330238821</v>
      </c>
      <c r="AO39" s="62">
        <f t="shared" si="36"/>
        <v>256.4377087753457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5.8</v>
      </c>
      <c r="BD39" s="13">
        <f>IF('Données projet'!$A$88&gt;35,BD38+BC39-BL38,IF(A39&lt;'Données projet'!$A$88,$BA$205^A39,IF(A39='Données projet'!$A$88,'Données projet'!$B$88,BD38+BC39-BL38)))</f>
        <v>86.799999999999969</v>
      </c>
      <c r="BE39" s="14">
        <f>BD39*VLOOKUP('Données projet'!$B$11,Paramètres!$A$1:$I$89,3,0)*VLOOKUP('Données projet'!$B$11,Paramètres!$A$1:$I$89,5,0)</f>
        <v>75.828479999999985</v>
      </c>
      <c r="BF39" s="14">
        <f t="shared" si="37"/>
        <v>21.114068675464956</v>
      </c>
      <c r="BG39" s="22">
        <f t="shared" si="7"/>
        <v>168.8416056097681</v>
      </c>
      <c r="BH39" s="62">
        <f t="shared" si="8"/>
        <v>462.17493894310144</v>
      </c>
      <c r="BI39" s="62">
        <f ca="1">AVERAGE(OFFSET($BH$3,0,0,'Données projet'!$E$11+1,1))-AVERAGE(OFFSET($H$3,0,0,'Données projet'!$E$11+1,1))</f>
        <v>195.30963433439501</v>
      </c>
      <c r="BJ39" s="62">
        <f t="shared" si="38"/>
        <v>185.00219255324504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1.7071173134808066</v>
      </c>
      <c r="BS39" s="24">
        <f t="shared" si="9"/>
        <v>1.7071173134808066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5.4</v>
      </c>
      <c r="BY39" s="13">
        <f>IF('Données projet'!$A$114&gt;35,BY38+BX39-CG38,IF(A39&lt;'Données projet'!$A$114,$BV$205^A39,IF(A39='Données projet'!$A$114,'Données projet'!$B$114,BY38+BX39-CG38)))</f>
        <v>71.399999999999991</v>
      </c>
      <c r="BZ39" s="14">
        <f>BY39*VLOOKUP('Données projet'!$B$12,Paramètres!$A$1:$I$89,3,0)*VLOOKUP('Données projet'!$B$12,Paramètres!$A$1:$I$89,5,0)</f>
        <v>69.05807999999999</v>
      </c>
      <c r="CA39" s="14">
        <f t="shared" si="39"/>
        <v>19.439361528467131</v>
      </c>
      <c r="CB39" s="22">
        <f t="shared" si="10"/>
        <v>154.13304399541357</v>
      </c>
      <c r="CC39" s="62">
        <f t="shared" si="11"/>
        <v>447.46637732874689</v>
      </c>
      <c r="CD39" s="62">
        <f ca="1">AVERAGE(OFFSET($CC$3,0,0,'Données projet'!$E$12+1,1))-AVERAGE(OFFSET($H$3,0,0,'Données projet'!$E$12+1,1))</f>
        <v>298.18906674058809</v>
      </c>
      <c r="CE39" s="62">
        <f t="shared" si="40"/>
        <v>154.08406475869634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4.8</v>
      </c>
      <c r="N40" s="14">
        <f>IF('Données projet'!$A$36&gt;35,N39+M40-V39,IF(A40&lt;'Données projet'!$A$36,$K$205^A40,IF(A40='Données projet'!$A$36,'Données projet'!$B$36,N39+M40-V39)))</f>
        <v>218.60000000000016</v>
      </c>
      <c r="O40" s="14">
        <f>N40*VLOOKUP('Données projet'!$B$9,Paramètres!$A$1:$I$89,3,0)*VLOOKUP('Données projet'!$B$9,Paramètres!$A$1:$I$89,5,0)</f>
        <v>197.78928000000013</v>
      </c>
      <c r="P40" s="14">
        <f t="shared" si="33"/>
        <v>49.258004531609984</v>
      </c>
      <c r="Q40" s="22">
        <f t="shared" si="53"/>
        <v>430.2740205592209</v>
      </c>
      <c r="R40" s="62">
        <f t="shared" si="0"/>
        <v>723.60735389255422</v>
      </c>
      <c r="S40" s="62">
        <f ca="1">AVERAGE(OFFSET($R$3,0,0,'Données projet'!$E$9+1,1))-AVERAGE(OFFSET($H$3,0,0,'Données projet'!$E$9+1,1))</f>
        <v>302.6112905010138</v>
      </c>
      <c r="T40" s="62">
        <f t="shared" si="34"/>
        <v>423.44006663873375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1.8799841366310037</v>
      </c>
      <c r="AB40" s="23">
        <f>EXP(-LN(2)/2)*AB39+(1-EXP(-LN(2)/2))/(LN(2)/2)*V40*Y40*VLOOKUP('Données projet'!$B$9,Paramètres!$A$1:$I$89,3,0)*0.475*44/12</f>
        <v>0.55995027225621397</v>
      </c>
      <c r="AC40" s="24">
        <f t="shared" si="3"/>
        <v>2.4399344088872175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</v>
      </c>
      <c r="AJ40" s="14">
        <f>AI40*VLOOKUP('Données projet'!$B$10,Paramètres!$A$1:$I$89,3,0)*VLOOKUP('Données projet'!$B$10,Paramètres!$A$1:$I$89,5,0)</f>
        <v>113.3652</v>
      </c>
      <c r="AK40" s="14">
        <f t="shared" si="35"/>
        <v>30.122456058687586</v>
      </c>
      <c r="AL40" s="22">
        <f t="shared" si="4"/>
        <v>249.90766763554748</v>
      </c>
      <c r="AM40" s="62">
        <f t="shared" si="5"/>
        <v>543.24100096888083</v>
      </c>
      <c r="AN40" s="62">
        <f ca="1">AVERAGE(OFFSET($AM$3,0,0,'Données projet'!$E$10+1,1))-AVERAGE(OFFSET($H$3,0,0,'Données projet'!$E$10+1,1))</f>
        <v>411.98877330238821</v>
      </c>
      <c r="AO40" s="62">
        <f t="shared" si="36"/>
        <v>256.4377087753457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5.8</v>
      </c>
      <c r="BD40" s="13">
        <f>IF('Données projet'!$A$88&gt;35,BD39+BC40-BL39,IF(A40&lt;'Données projet'!$A$88,$BA$205^A40,IF(A40='Données projet'!$A$88,'Données projet'!$B$88,BD39+BC40-BL39)))</f>
        <v>92.599999999999966</v>
      </c>
      <c r="BE40" s="14">
        <f>BD40*VLOOKUP('Données projet'!$B$11,Paramètres!$A$1:$I$89,3,0)*VLOOKUP('Données projet'!$B$11,Paramètres!$A$1:$I$89,5,0)</f>
        <v>80.895359999999982</v>
      </c>
      <c r="BF40" s="14">
        <f t="shared" si="37"/>
        <v>22.355962294793134</v>
      </c>
      <c r="BG40" s="22">
        <f t="shared" si="7"/>
        <v>179.829386330098</v>
      </c>
      <c r="BH40" s="62">
        <f t="shared" si="8"/>
        <v>473.16271966343129</v>
      </c>
      <c r="BI40" s="62">
        <f ca="1">AVERAGE(OFFSET($BH$3,0,0,'Données projet'!$E$11+1,1))-AVERAGE(OFFSET($H$3,0,0,'Données projet'!$E$11+1,1))</f>
        <v>195.30963433439501</v>
      </c>
      <c r="BJ40" s="62">
        <f t="shared" si="38"/>
        <v>185.00219255324504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1.2071142286432397</v>
      </c>
      <c r="BS40" s="24">
        <f t="shared" si="9"/>
        <v>1.2071142286432397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5.4</v>
      </c>
      <c r="BY40" s="13">
        <f>IF('Données projet'!$A$114&gt;35,BY39+BX40-CG39,IF(A40&lt;'Données projet'!$A$114,$BV$205^A40,IF(A40='Données projet'!$A$114,'Données projet'!$B$114,BY39+BX40-CG39)))</f>
        <v>76.8</v>
      </c>
      <c r="BZ40" s="14">
        <f>BY40*VLOOKUP('Données projet'!$B$12,Paramètres!$A$1:$I$89,3,0)*VLOOKUP('Données projet'!$B$12,Paramètres!$A$1:$I$89,5,0)</f>
        <v>74.280960000000007</v>
      </c>
      <c r="CA40" s="14">
        <f t="shared" si="39"/>
        <v>20.732870299230971</v>
      </c>
      <c r="CB40" s="22">
        <f t="shared" si="10"/>
        <v>165.48242110449394</v>
      </c>
      <c r="CC40" s="62">
        <f t="shared" si="11"/>
        <v>458.81575443782725</v>
      </c>
      <c r="CD40" s="62">
        <f ca="1">AVERAGE(OFFSET($CC$3,0,0,'Données projet'!$E$12+1,1))-AVERAGE(OFFSET($H$3,0,0,'Données projet'!$E$12+1,1))</f>
        <v>298.18906674058809</v>
      </c>
      <c r="CE40" s="62">
        <f t="shared" si="40"/>
        <v>154.08406475869634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4.8</v>
      </c>
      <c r="N41" s="14">
        <f>IF('Données projet'!$A$36&gt;35,N40+M41-V40,IF(A41&lt;'Données projet'!$A$36,$K$205^A41,IF(A41='Données projet'!$A$36,'Données projet'!$B$36,N40+M41-V40)))</f>
        <v>223.40000000000018</v>
      </c>
      <c r="O41" s="14">
        <f>N41*VLOOKUP('Données projet'!$B$9,Paramètres!$A$1:$I$89,3,0)*VLOOKUP('Données projet'!$B$9,Paramètres!$A$1:$I$89,5,0)</f>
        <v>202.13232000000013</v>
      </c>
      <c r="P41" s="14">
        <f t="shared" si="33"/>
        <v>50.21249748895967</v>
      </c>
      <c r="Q41" s="22">
        <f t="shared" si="53"/>
        <v>439.50055712660497</v>
      </c>
      <c r="R41" s="62">
        <f t="shared" si="0"/>
        <v>732.83389045993829</v>
      </c>
      <c r="S41" s="62">
        <f ca="1">AVERAGE(OFFSET($R$3,0,0,'Données projet'!$E$9+1,1))-AVERAGE(OFFSET($H$3,0,0,'Données projet'!$E$9+1,1))</f>
        <v>302.6112905010138</v>
      </c>
      <c r="T41" s="62">
        <f t="shared" si="34"/>
        <v>423.44006663873375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1.8285758715507598</v>
      </c>
      <c r="AB41" s="23">
        <f>EXP(-LN(2)/2)*AB40+(1-EXP(-LN(2)/2))/(LN(2)/2)*V41*Y41*VLOOKUP('Données projet'!$B$9,Paramètres!$A$1:$I$89,3,0)*0.475*44/12</f>
        <v>0.39594463463962243</v>
      </c>
      <c r="AC41" s="24">
        <f t="shared" si="3"/>
        <v>2.2245205061903821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</v>
      </c>
      <c r="AJ41" s="14">
        <f>AI41*VLOOKUP('Données projet'!$B$10,Paramètres!$A$1:$I$89,3,0)*VLOOKUP('Données projet'!$B$10,Paramètres!$A$1:$I$89,5,0)</f>
        <v>121.88280000000002</v>
      </c>
      <c r="AK41" s="14">
        <f t="shared" si="35"/>
        <v>32.113732800054677</v>
      </c>
      <c r="AL41" s="22">
        <f t="shared" si="4"/>
        <v>268.21062796009522</v>
      </c>
      <c r="AM41" s="62">
        <f t="shared" si="5"/>
        <v>561.54396129342854</v>
      </c>
      <c r="AN41" s="62">
        <f ca="1">AVERAGE(OFFSET($AM$3,0,0,'Données projet'!$E$10+1,1))-AVERAGE(OFFSET($H$3,0,0,'Données projet'!$E$10+1,1))</f>
        <v>411.98877330238821</v>
      </c>
      <c r="AO41" s="62">
        <f t="shared" si="36"/>
        <v>256.4377087753457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5.8</v>
      </c>
      <c r="BD41" s="13">
        <f>IF('Données projet'!$A$88&gt;35,BD40+BC41-BL40,IF(A41&lt;'Données projet'!$A$88,$BA$205^A41,IF(A41='Données projet'!$A$88,'Données projet'!$B$88,BD40+BC41-BL40)))</f>
        <v>98.399999999999963</v>
      </c>
      <c r="BE41" s="14">
        <f>BD41*VLOOKUP('Données projet'!$B$11,Paramètres!$A$1:$I$89,3,0)*VLOOKUP('Données projet'!$B$11,Paramètres!$A$1:$I$89,5,0)</f>
        <v>85.96223999999998</v>
      </c>
      <c r="BF41" s="14">
        <f t="shared" si="37"/>
        <v>23.588828321049387</v>
      </c>
      <c r="BG41" s="22">
        <f t="shared" si="7"/>
        <v>190.80144399249431</v>
      </c>
      <c r="BH41" s="62">
        <f t="shared" si="8"/>
        <v>484.1347773258276</v>
      </c>
      <c r="BI41" s="62">
        <f ca="1">AVERAGE(OFFSET($BH$3,0,0,'Données projet'!$E$11+1,1))-AVERAGE(OFFSET($H$3,0,0,'Données projet'!$E$11+1,1))</f>
        <v>195.30963433439501</v>
      </c>
      <c r="BJ41" s="62">
        <f t="shared" si="38"/>
        <v>185.00219255324504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0.85355865674040343</v>
      </c>
      <c r="BS41" s="24">
        <f t="shared" si="9"/>
        <v>0.85355865674040343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5.4</v>
      </c>
      <c r="BY41" s="13">
        <f>IF('Données projet'!$A$114&gt;35,BY40+BX41-CG40,IF(A41&lt;'Données projet'!$A$114,$BV$205^A41,IF(A41='Données projet'!$A$114,'Données projet'!$B$114,BY40+BX41-CG40)))</f>
        <v>82.2</v>
      </c>
      <c r="BZ41" s="14">
        <f>BY41*VLOOKUP('Données projet'!$B$12,Paramètres!$A$1:$I$89,3,0)*VLOOKUP('Données projet'!$B$12,Paramètres!$A$1:$I$89,5,0)</f>
        <v>79.503839999999997</v>
      </c>
      <c r="CA41" s="14">
        <f t="shared" si="39"/>
        <v>22.015826538921051</v>
      </c>
      <c r="CB41" s="22">
        <f t="shared" si="10"/>
        <v>176.81341922195415</v>
      </c>
      <c r="CC41" s="62">
        <f t="shared" si="11"/>
        <v>470.14675255528743</v>
      </c>
      <c r="CD41" s="62">
        <f ca="1">AVERAGE(OFFSET($CC$3,0,0,'Données projet'!$E$12+1,1))-AVERAGE(OFFSET($H$3,0,0,'Données projet'!$E$12+1,1))</f>
        <v>298.18906674058809</v>
      </c>
      <c r="CE41" s="62">
        <f t="shared" si="40"/>
        <v>154.08406475869634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4.8</v>
      </c>
      <c r="N42" s="14">
        <f>IF('Données projet'!$A$36&gt;35,N41+M42-V41,IF(A42&lt;'Données projet'!$A$36,$K$205^A42,IF(A42='Données projet'!$A$36,'Données projet'!$B$36,N41+M42-V41)))</f>
        <v>228.20000000000019</v>
      </c>
      <c r="O42" s="14">
        <f>N42*VLOOKUP('Données projet'!$B$9,Paramètres!$A$1:$I$89,3,0)*VLOOKUP('Données projet'!$B$9,Paramètres!$A$1:$I$89,5,0)</f>
        <v>206.47536000000017</v>
      </c>
      <c r="P42" s="14">
        <f t="shared" si="33"/>
        <v>51.164606062687312</v>
      </c>
      <c r="Q42" s="22">
        <f t="shared" si="53"/>
        <v>448.72294089251392</v>
      </c>
      <c r="R42" s="62">
        <f t="shared" si="0"/>
        <v>742.05627422584723</v>
      </c>
      <c r="S42" s="62">
        <f ca="1">AVERAGE(OFFSET($R$3,0,0,'Données projet'!$E$9+1,1))-AVERAGE(OFFSET($H$3,0,0,'Données projet'!$E$9+1,1))</f>
        <v>302.6112905010138</v>
      </c>
      <c r="T42" s="62">
        <f t="shared" si="34"/>
        <v>423.44006663873375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1.7785733681825786</v>
      </c>
      <c r="AB42" s="23">
        <f>EXP(-LN(2)/2)*AB41+(1-EXP(-LN(2)/2))/(LN(2)/2)*V42*Y42*VLOOKUP('Données projet'!$B$9,Paramètres!$A$1:$I$89,3,0)*0.475*44/12</f>
        <v>0.27997513612810704</v>
      </c>
      <c r="AC42" s="24">
        <f t="shared" si="3"/>
        <v>2.0585485043106857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</v>
      </c>
      <c r="AJ42" s="14">
        <f>AI42*VLOOKUP('Données projet'!$B$10,Paramètres!$A$1:$I$89,3,0)*VLOOKUP('Données projet'!$B$10,Paramètres!$A$1:$I$89,5,0)</f>
        <v>130.40040000000002</v>
      </c>
      <c r="AK42" s="14">
        <f t="shared" si="35"/>
        <v>34.088863450406919</v>
      </c>
      <c r="AL42" s="22">
        <f t="shared" si="4"/>
        <v>286.48546717612544</v>
      </c>
      <c r="AM42" s="62">
        <f t="shared" si="5"/>
        <v>579.8188005094587</v>
      </c>
      <c r="AN42" s="62">
        <f ca="1">AVERAGE(OFFSET($AM$3,0,0,'Données projet'!$E$10+1,1))-AVERAGE(OFFSET($H$3,0,0,'Données projet'!$E$10+1,1))</f>
        <v>411.98877330238821</v>
      </c>
      <c r="AO42" s="62">
        <f t="shared" si="36"/>
        <v>256.4377087753457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5.8</v>
      </c>
      <c r="BD42" s="13">
        <f>IF('Données projet'!$A$88&gt;35,BD41+BC42-BL41,IF(A42&lt;'Données projet'!$A$88,$BA$205^A42,IF(A42='Données projet'!$A$88,'Données projet'!$B$88,BD41+BC42-BL41)))</f>
        <v>104.19999999999996</v>
      </c>
      <c r="BE42" s="14">
        <f>BD42*VLOOKUP('Données projet'!$B$11,Paramètres!$A$1:$I$89,3,0)*VLOOKUP('Données projet'!$B$11,Paramètres!$A$1:$I$89,5,0)</f>
        <v>91.029119999999978</v>
      </c>
      <c r="BF42" s="14">
        <f t="shared" si="37"/>
        <v>24.813259479575787</v>
      </c>
      <c r="BG42" s="22">
        <f t="shared" si="7"/>
        <v>201.75881092692779</v>
      </c>
      <c r="BH42" s="62">
        <f t="shared" si="8"/>
        <v>495.09214426026108</v>
      </c>
      <c r="BI42" s="62">
        <f ca="1">AVERAGE(OFFSET($BH$3,0,0,'Données projet'!$E$11+1,1))-AVERAGE(OFFSET($H$3,0,0,'Données projet'!$E$11+1,1))</f>
        <v>195.30963433439501</v>
      </c>
      <c r="BJ42" s="62">
        <f t="shared" si="38"/>
        <v>185.00219255324504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0.60355711432161996</v>
      </c>
      <c r="BS42" s="24">
        <f t="shared" si="9"/>
        <v>0.60355711432161996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5.4</v>
      </c>
      <c r="BY42" s="13">
        <f>IF('Données projet'!$A$114&gt;35,BY41+BX42-CG41,IF(A42&lt;'Données projet'!$A$114,$BV$205^A42,IF(A42='Données projet'!$A$114,'Données projet'!$B$114,BY41+BX42-CG41)))</f>
        <v>87.600000000000009</v>
      </c>
      <c r="BZ42" s="14">
        <f>BY42*VLOOKUP('Données projet'!$B$12,Paramètres!$A$1:$I$89,3,0)*VLOOKUP('Données projet'!$B$12,Paramètres!$A$1:$I$89,5,0)</f>
        <v>84.726720000000014</v>
      </c>
      <c r="CA42" s="14">
        <f t="shared" si="39"/>
        <v>23.289002367177517</v>
      </c>
      <c r="CB42" s="22">
        <f t="shared" si="10"/>
        <v>188.1273831228342</v>
      </c>
      <c r="CC42" s="62">
        <f t="shared" si="11"/>
        <v>481.46071645616752</v>
      </c>
      <c r="CD42" s="62">
        <f ca="1">AVERAGE(OFFSET($CC$3,0,0,'Données projet'!$E$12+1,1))-AVERAGE(OFFSET($H$3,0,0,'Données projet'!$E$12+1,1))</f>
        <v>298.18906674058809</v>
      </c>
      <c r="CE42" s="62">
        <f t="shared" si="40"/>
        <v>154.08406475869634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233</v>
      </c>
      <c r="L43" s="13">
        <f>VLOOKUP(A43,'Données projet'!$A$35:$I$55,9,0)</f>
        <v>4.8</v>
      </c>
      <c r="M43" s="13">
        <f t="array" ref="M43">INDEX(L:L,MIN(IF(ISNUMBER(L43:L239),ROW(L43:L239),"")))</f>
        <v>4.8</v>
      </c>
      <c r="N43" s="14">
        <f>IF('Données projet'!$A$36&gt;35,N42+M43-V42,IF(A43&lt;'Données projet'!$A$36,$K$205^A43,IF(A43='Données projet'!$A$36,'Données projet'!$B$36,N42+M43-V42)))</f>
        <v>233.0000000000002</v>
      </c>
      <c r="O43" s="14">
        <f>N43*VLOOKUP('Données projet'!$B$9,Paramètres!$A$1:$I$89,3,0)*VLOOKUP('Données projet'!$B$9,Paramètres!$A$1:$I$89,5,0)</f>
        <v>210.81840000000017</v>
      </c>
      <c r="P43" s="14">
        <f t="shared" si="33"/>
        <v>52.114386184062248</v>
      </c>
      <c r="Q43" s="22">
        <f t="shared" si="53"/>
        <v>457.94126927057533</v>
      </c>
      <c r="R43" s="62">
        <f t="shared" si="0"/>
        <v>751.27460260390865</v>
      </c>
      <c r="S43" s="62">
        <f ca="1">AVERAGE(OFFSET($R$3,0,0,'Données projet'!$E$9+1,1))-AVERAGE(OFFSET($H$3,0,0,'Données projet'!$E$9+1,1))</f>
        <v>302.6112905010138</v>
      </c>
      <c r="T43" s="62">
        <f t="shared" si="34"/>
        <v>423.44006663873375</v>
      </c>
      <c r="U43" s="16">
        <f>IF(ISNA(VLOOKUP(A43,'Données projet'!$A$35:$I$55,3,0)),0,VLOOKUP(A43,'Données projet'!$A$35:$I$55,3,0))</f>
        <v>8</v>
      </c>
      <c r="V43" s="16">
        <f>IF(ISNA(VLOOKUP(A43,'Données projet'!$A$35:$I$55,4,0)),0,VLOOKUP(A43,'Données projet'!$A$35:$I$55,4,0))</f>
        <v>6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1.7299381858985174</v>
      </c>
      <c r="AB43" s="23">
        <f>EXP(-LN(2)/2)*AB42+(1-EXP(-LN(2)/2))/(LN(2)/2)*V43*Y43*VLOOKUP('Données projet'!$B$9,Paramètres!$A$1:$I$89,3,0)*0.475*44/12</f>
        <v>0.19797231731981124</v>
      </c>
      <c r="AC43" s="24">
        <f t="shared" si="3"/>
        <v>1.9279105032183286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</v>
      </c>
      <c r="AJ43" s="14">
        <f>AI43*VLOOKUP('Données projet'!$B$10,Paramètres!$A$1:$I$89,3,0)*VLOOKUP('Données projet'!$B$10,Paramètres!$A$1:$I$89,5,0)</f>
        <v>138.91800000000001</v>
      </c>
      <c r="AK43" s="14">
        <f t="shared" si="35"/>
        <v>36.049022673886341</v>
      </c>
      <c r="AL43" s="22">
        <f t="shared" si="4"/>
        <v>304.73423115701871</v>
      </c>
      <c r="AM43" s="62">
        <f t="shared" si="5"/>
        <v>598.06756449035197</v>
      </c>
      <c r="AN43" s="62">
        <f ca="1">AVERAGE(OFFSET($AM$3,0,0,'Données projet'!$E$10+1,1))-AVERAGE(OFFSET($H$3,0,0,'Données projet'!$E$10+1,1))</f>
        <v>411.98877330238821</v>
      </c>
      <c r="AO43" s="62">
        <f t="shared" si="36"/>
        <v>256.4377087753457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110</v>
      </c>
      <c r="BB43" s="13">
        <f>VLOOKUP(A43,'Données projet'!$A$87:$I$107,9,0)</f>
        <v>5.8</v>
      </c>
      <c r="BC43" s="13">
        <f t="array" ref="BC43">INDEX(BB:BB,MIN(IF(ISNUMBER(BB43:BB239),ROW(BB43:BB239),"")))</f>
        <v>5.8</v>
      </c>
      <c r="BD43" s="13">
        <f>IF('Données projet'!$A$88&gt;35,BD42+BC43-BL42,IF(A43&lt;'Données projet'!$A$88,$BA$205^A43,IF(A43='Données projet'!$A$88,'Données projet'!$B$88,BD42+BC43-BL42)))</f>
        <v>109.99999999999996</v>
      </c>
      <c r="BE43" s="14">
        <f>BD43*VLOOKUP('Données projet'!$B$11,Paramètres!$A$1:$I$89,3,0)*VLOOKUP('Données projet'!$B$11,Paramètres!$A$1:$I$89,5,0)</f>
        <v>96.095999999999975</v>
      </c>
      <c r="BF43" s="14">
        <f t="shared" si="37"/>
        <v>26.029778784173352</v>
      </c>
      <c r="BG43" s="22">
        <f t="shared" si="7"/>
        <v>212.70239804910184</v>
      </c>
      <c r="BH43" s="62">
        <f t="shared" si="8"/>
        <v>506.03573138243519</v>
      </c>
      <c r="BI43" s="62">
        <f ca="1">AVERAGE(OFFSET($BH$3,0,0,'Données projet'!$E$11+1,1))-AVERAGE(OFFSET($H$3,0,0,'Données projet'!$E$11+1,1))</f>
        <v>195.30963433439501</v>
      </c>
      <c r="BJ43" s="62">
        <f t="shared" si="38"/>
        <v>185.00219255324504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14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0.42677932837020183</v>
      </c>
      <c r="BS43" s="24">
        <f t="shared" si="9"/>
        <v>0.42677932837020183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93</v>
      </c>
      <c r="BW43" s="13">
        <f>VLOOKUP(A43,'Données projet'!$A$113:$I$133,9,0)</f>
        <v>5.4</v>
      </c>
      <c r="BX43" s="13">
        <f t="array" ref="BX43">INDEX(BW:BW,MIN(IF(ISNUMBER(BW43:BW239),ROW(BW43:BW239),"")))</f>
        <v>5.4</v>
      </c>
      <c r="BY43" s="13">
        <f>IF('Données projet'!$A$114&gt;35,BY42+BX43-CG42,IF(A43&lt;'Données projet'!$A$114,$BV$205^A43,IF(A43='Données projet'!$A$114,'Données projet'!$B$114,BY42+BX43-CG42)))</f>
        <v>93.000000000000014</v>
      </c>
      <c r="BZ43" s="14">
        <f>BY43*VLOOKUP('Données projet'!$B$12,Paramètres!$A$1:$I$89,3,0)*VLOOKUP('Données projet'!$B$12,Paramètres!$A$1:$I$89,5,0)</f>
        <v>89.949600000000018</v>
      </c>
      <c r="CA43" s="14">
        <f t="shared" si="39"/>
        <v>24.553069331291834</v>
      </c>
      <c r="CB43" s="22">
        <f t="shared" si="10"/>
        <v>199.42548241866663</v>
      </c>
      <c r="CC43" s="62">
        <f t="shared" si="11"/>
        <v>492.75881575199992</v>
      </c>
      <c r="CD43" s="62">
        <f ca="1">AVERAGE(OFFSET($CC$3,0,0,'Données projet'!$E$12+1,1))-AVERAGE(OFFSET($H$3,0,0,'Données projet'!$E$12+1,1))</f>
        <v>298.18906674058809</v>
      </c>
      <c r="CE43" s="62">
        <f t="shared" si="40"/>
        <v>154.08406475869634</v>
      </c>
      <c r="CF43" s="16">
        <f>IF(ISNA(VLOOKUP(A43,'Données projet'!$A$113:$I$133,3,0)),0,VLOOKUP(A43,'Données projet'!$A$113:$I$133,3,0))</f>
        <v>4</v>
      </c>
      <c r="CG43" s="16">
        <f>IF(ISNA(VLOOKUP(A43,'Données projet'!$A$113:$I$133,4,0)),0,VLOOKUP(A43,'Données projet'!$A$113:$I$133,4,0))</f>
        <v>14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5</v>
      </c>
      <c r="N44" s="14">
        <f>IF('Données projet'!$A$36&gt;35,N43+M44-V43,IF(A44&lt;'Données projet'!$A$36,$K$205^A44,IF(A44='Données projet'!$A$36,'Données projet'!$B$36,N43+M44-V43)))</f>
        <v>232.0000000000002</v>
      </c>
      <c r="O44" s="14">
        <f>N44*VLOOKUP('Données projet'!$B$9,Paramètres!$A$1:$I$89,3,0)*VLOOKUP('Données projet'!$B$9,Paramètres!$A$1:$I$89,5,0)</f>
        <v>209.9136000000002</v>
      </c>
      <c r="P44" s="14">
        <f t="shared" si="33"/>
        <v>51.916704672341361</v>
      </c>
      <c r="Q44" s="22">
        <f t="shared" si="53"/>
        <v>456.02111397099492</v>
      </c>
      <c r="R44" s="62">
        <f t="shared" si="0"/>
        <v>749.35444730432823</v>
      </c>
      <c r="S44" s="62">
        <f ca="1">AVERAGE(OFFSET($R$3,0,0,'Données projet'!$E$9+1,1))-AVERAGE(OFFSET($H$3,0,0,'Données projet'!$E$9+1,1))</f>
        <v>302.6112905010138</v>
      </c>
      <c r="T44" s="62">
        <f t="shared" si="34"/>
        <v>423.44006663873375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1.6826329352316272</v>
      </c>
      <c r="AB44" s="23">
        <f>EXP(-LN(2)/2)*AB43+(1-EXP(-LN(2)/2))/(LN(2)/2)*V44*Y44*VLOOKUP('Données projet'!$B$9,Paramètres!$A$1:$I$89,3,0)*0.475*44/12</f>
        <v>0.13998756806405352</v>
      </c>
      <c r="AC44" s="24">
        <f t="shared" si="3"/>
        <v>1.8226205032956806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</v>
      </c>
      <c r="AJ44" s="14">
        <f>AI44*VLOOKUP('Données projet'!$B$10,Paramètres!$A$1:$I$89,3,0)*VLOOKUP('Données projet'!$B$10,Paramètres!$A$1:$I$89,5,0)</f>
        <v>126.1416</v>
      </c>
      <c r="AK44" s="14">
        <f t="shared" si="35"/>
        <v>33.10323903126482</v>
      </c>
      <c r="AL44" s="22">
        <f t="shared" si="4"/>
        <v>277.35142797945286</v>
      </c>
      <c r="AM44" s="62">
        <f t="shared" si="5"/>
        <v>570.68476131278612</v>
      </c>
      <c r="AN44" s="62">
        <f ca="1">AVERAGE(OFFSET($AM$3,0,0,'Données projet'!$E$10+1,1))-AVERAGE(OFFSET($H$3,0,0,'Données projet'!$E$10+1,1))</f>
        <v>411.98877330238821</v>
      </c>
      <c r="AO44" s="62">
        <f t="shared" si="36"/>
        <v>256.4377087753457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4.8</v>
      </c>
      <c r="BD44" s="13">
        <f>IF('Données projet'!$A$88&gt;35,BD43+BC44-BL43,IF(A44&lt;'Données projet'!$A$88,$BA$205^A44,IF(A44='Données projet'!$A$88,'Données projet'!$B$88,BD43+BC44-BL43)))</f>
        <v>100.79999999999995</v>
      </c>
      <c r="BE44" s="14">
        <f>BD44*VLOOKUP('Données projet'!$B$11,Paramètres!$A$1:$I$89,3,0)*VLOOKUP('Données projet'!$B$11,Paramètres!$A$1:$I$89,5,0)</f>
        <v>88.058879999999974</v>
      </c>
      <c r="BF44" s="14">
        <f t="shared" si="37"/>
        <v>24.096481170231179</v>
      </c>
      <c r="BG44" s="22">
        <f t="shared" si="7"/>
        <v>195.33725403815257</v>
      </c>
      <c r="BH44" s="62">
        <f t="shared" si="8"/>
        <v>488.67058737148591</v>
      </c>
      <c r="BI44" s="62">
        <f ca="1">AVERAGE(OFFSET($BH$3,0,0,'Données projet'!$E$11+1,1))-AVERAGE(OFFSET($H$3,0,0,'Données projet'!$E$11+1,1))</f>
        <v>195.30963433439501</v>
      </c>
      <c r="BJ44" s="62">
        <f t="shared" si="38"/>
        <v>185.00219255324504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0.30177855716081003</v>
      </c>
      <c r="BS44" s="24">
        <f t="shared" si="9"/>
        <v>0.30177855716081003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5.6</v>
      </c>
      <c r="BY44" s="13">
        <f>IF('Données projet'!$A$114&gt;35,BY43+BX44-CG43,IF(A44&lt;'Données projet'!$A$114,$BV$205^A44,IF(A44='Données projet'!$A$114,'Données projet'!$B$114,BY43+BX44-CG43)))</f>
        <v>84.600000000000009</v>
      </c>
      <c r="BZ44" s="14">
        <f>BY44*VLOOKUP('Données projet'!$B$12,Paramètres!$A$1:$I$89,3,0)*VLOOKUP('Données projet'!$B$12,Paramètres!$A$1:$I$89,5,0)</f>
        <v>81.825120000000013</v>
      </c>
      <c r="CA44" s="14">
        <f t="shared" si="39"/>
        <v>22.58284790619167</v>
      </c>
      <c r="CB44" s="22">
        <f t="shared" si="10"/>
        <v>181.84387743661719</v>
      </c>
      <c r="CC44" s="62">
        <f t="shared" si="11"/>
        <v>475.17721076995053</v>
      </c>
      <c r="CD44" s="62">
        <f ca="1">AVERAGE(OFFSET($CC$3,0,0,'Données projet'!$E$12+1,1))-AVERAGE(OFFSET($H$3,0,0,'Données projet'!$E$12+1,1))</f>
        <v>298.18906674058809</v>
      </c>
      <c r="CE44" s="62">
        <f t="shared" si="40"/>
        <v>154.08406475869634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5</v>
      </c>
      <c r="N45" s="14">
        <f>IF('Données projet'!$A$36&gt;35,N44+M45-V44,IF(A45&lt;'Données projet'!$A$36,$K$205^A45,IF(A45='Données projet'!$A$36,'Données projet'!$B$36,N44+M45-V44)))</f>
        <v>237.0000000000002</v>
      </c>
      <c r="O45" s="14">
        <f>N45*VLOOKUP('Données projet'!$B$9,Paramètres!$A$1:$I$89,3,0)*VLOOKUP('Données projet'!$B$9,Paramètres!$A$1:$I$89,5,0)</f>
        <v>214.43760000000015</v>
      </c>
      <c r="P45" s="14">
        <f t="shared" si="33"/>
        <v>52.904129603372425</v>
      </c>
      <c r="Q45" s="22">
        <f t="shared" si="53"/>
        <v>465.6201790592072</v>
      </c>
      <c r="R45" s="62">
        <f t="shared" si="0"/>
        <v>758.95351239254046</v>
      </c>
      <c r="S45" s="62">
        <f ca="1">AVERAGE(OFFSET($R$3,0,0,'Données projet'!$E$9+1,1))-AVERAGE(OFFSET($H$3,0,0,'Données projet'!$E$9+1,1))</f>
        <v>302.6112905010138</v>
      </c>
      <c r="T45" s="62">
        <f t="shared" si="34"/>
        <v>423.44006663873375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1.6366212491318979</v>
      </c>
      <c r="AB45" s="23">
        <f>EXP(-LN(2)/2)*AB44+(1-EXP(-LN(2)/2))/(LN(2)/2)*V45*Y45*VLOOKUP('Données projet'!$B$9,Paramètres!$A$1:$I$89,3,0)*0.475*44/12</f>
        <v>9.8986158659905621E-2</v>
      </c>
      <c r="AC45" s="24">
        <f t="shared" si="3"/>
        <v>1.7356074077918036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132.80000000000001</v>
      </c>
      <c r="AJ45" s="14">
        <f>AI45*VLOOKUP('Données projet'!$B$10,Paramètres!$A$1:$I$89,3,0)*VLOOKUP('Données projet'!$B$10,Paramètres!$A$1:$I$89,5,0)</f>
        <v>134.65920000000003</v>
      </c>
      <c r="AK45" s="14">
        <f t="shared" si="35"/>
        <v>35.07074737441733</v>
      </c>
      <c r="AL45" s="22">
        <f t="shared" si="4"/>
        <v>295.61299167711019</v>
      </c>
      <c r="AM45" s="62">
        <f t="shared" si="5"/>
        <v>588.9463250104435</v>
      </c>
      <c r="AN45" s="62">
        <f ca="1">AVERAGE(OFFSET($AM$3,0,0,'Données projet'!$E$10+1,1))-AVERAGE(OFFSET($H$3,0,0,'Données projet'!$E$10+1,1))</f>
        <v>411.98877330238821</v>
      </c>
      <c r="AO45" s="62">
        <f t="shared" si="36"/>
        <v>256.4377087753457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4.8</v>
      </c>
      <c r="BD45" s="13">
        <f>IF('Données projet'!$A$88&gt;35,BD44+BC45-BL44,IF(A45&lt;'Données projet'!$A$88,$BA$205^A45,IF(A45='Données projet'!$A$88,'Données projet'!$B$88,BD44+BC45-BL44)))</f>
        <v>105.59999999999995</v>
      </c>
      <c r="BE45" s="14">
        <f>BD45*VLOOKUP('Données projet'!$B$11,Paramètres!$A$1:$I$89,3,0)*VLOOKUP('Données projet'!$B$11,Paramètres!$A$1:$I$89,5,0)</f>
        <v>92.252159999999975</v>
      </c>
      <c r="BF45" s="14">
        <f t="shared" si="37"/>
        <v>25.107607958259965</v>
      </c>
      <c r="BG45" s="22">
        <f t="shared" si="7"/>
        <v>204.40159586063604</v>
      </c>
      <c r="BH45" s="62">
        <f t="shared" si="8"/>
        <v>497.73492919396938</v>
      </c>
      <c r="BI45" s="62">
        <f ca="1">AVERAGE(OFFSET($BH$3,0,0,'Données projet'!$E$11+1,1))-AVERAGE(OFFSET($H$3,0,0,'Données projet'!$E$11+1,1))</f>
        <v>195.30963433439501</v>
      </c>
      <c r="BJ45" s="62">
        <f t="shared" si="38"/>
        <v>185.00219255324504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0.21338966418510094</v>
      </c>
      <c r="BS45" s="24">
        <f t="shared" si="9"/>
        <v>0.21338966418510094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5.6</v>
      </c>
      <c r="BY45" s="13">
        <f>IF('Données projet'!$A$114&gt;35,BY44+BX45-CG44,IF(A45&lt;'Données projet'!$A$114,$BV$205^A45,IF(A45='Données projet'!$A$114,'Données projet'!$B$114,BY44+BX45-CG44)))</f>
        <v>90.2</v>
      </c>
      <c r="BZ45" s="14">
        <f>BY45*VLOOKUP('Données projet'!$B$12,Paramètres!$A$1:$I$89,3,0)*VLOOKUP('Données projet'!$B$12,Paramètres!$A$1:$I$89,5,0)</f>
        <v>87.241439999999997</v>
      </c>
      <c r="CA45" s="14">
        <f t="shared" si="39"/>
        <v>23.898726182438701</v>
      </c>
      <c r="CB45" s="22">
        <f t="shared" si="10"/>
        <v>193.56912276774736</v>
      </c>
      <c r="CC45" s="62">
        <f t="shared" si="11"/>
        <v>486.9024561010807</v>
      </c>
      <c r="CD45" s="62">
        <f ca="1">AVERAGE(OFFSET($CC$3,0,0,'Données projet'!$E$12+1,1))-AVERAGE(OFFSET($H$3,0,0,'Données projet'!$E$12+1,1))</f>
        <v>298.18906674058809</v>
      </c>
      <c r="CE45" s="62">
        <f t="shared" si="40"/>
        <v>154.08406475869634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5</v>
      </c>
      <c r="N46" s="14">
        <f>IF('Données projet'!$A$36&gt;35,N45+M46-V45,IF(A46&lt;'Données projet'!$A$36,$K$205^A46,IF(A46='Données projet'!$A$36,'Données projet'!$B$36,N45+M46-V45)))</f>
        <v>242.0000000000002</v>
      </c>
      <c r="O46" s="14">
        <f>N46*VLOOKUP('Données projet'!$B$9,Paramètres!$A$1:$I$89,3,0)*VLOOKUP('Données projet'!$B$9,Paramètres!$A$1:$I$89,5,0)</f>
        <v>218.96160000000017</v>
      </c>
      <c r="P46" s="14">
        <f t="shared" si="33"/>
        <v>53.889132503707479</v>
      </c>
      <c r="Q46" s="22">
        <f t="shared" si="53"/>
        <v>475.2150257772908</v>
      </c>
      <c r="R46" s="62">
        <f t="shared" si="0"/>
        <v>768.54835911062412</v>
      </c>
      <c r="S46" s="62">
        <f ca="1">AVERAGE(OFFSET($R$3,0,0,'Données projet'!$E$9+1,1))-AVERAGE(OFFSET($H$3,0,0,'Données projet'!$E$9+1,1))</f>
        <v>302.6112905010138</v>
      </c>
      <c r="T46" s="62">
        <f t="shared" si="34"/>
        <v>423.44006663873375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1.5918677550082152</v>
      </c>
      <c r="AB46" s="23">
        <f>EXP(-LN(2)/2)*AB45+(1-EXP(-LN(2)/2))/(LN(2)/2)*V46*Y46*VLOOKUP('Données projet'!$B$9,Paramètres!$A$1:$I$89,3,0)*0.475*44/12</f>
        <v>6.999378403202676E-2</v>
      </c>
      <c r="AC46" s="24">
        <f t="shared" si="3"/>
        <v>1.661861539040242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141.20000000000002</v>
      </c>
      <c r="AJ46" s="14">
        <f>AI46*VLOOKUP('Données projet'!$B$10,Paramètres!$A$1:$I$89,3,0)*VLOOKUP('Données projet'!$B$10,Paramètres!$A$1:$I$89,5,0)</f>
        <v>143.17680000000004</v>
      </c>
      <c r="AK46" s="14">
        <f t="shared" si="35"/>
        <v>37.023812674521515</v>
      </c>
      <c r="AL46" s="22">
        <f t="shared" si="4"/>
        <v>313.84940040812506</v>
      </c>
      <c r="AM46" s="62">
        <f t="shared" si="5"/>
        <v>607.18273374145838</v>
      </c>
      <c r="AN46" s="62">
        <f ca="1">AVERAGE(OFFSET($AM$3,0,0,'Données projet'!$E$10+1,1))-AVERAGE(OFFSET($H$3,0,0,'Données projet'!$E$10+1,1))</f>
        <v>411.98877330238821</v>
      </c>
      <c r="AO46" s="62">
        <f t="shared" si="36"/>
        <v>256.4377087753457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4.8</v>
      </c>
      <c r="BD46" s="13">
        <f>IF('Données projet'!$A$88&gt;35,BD45+BC46-BL45,IF(A46&lt;'Données projet'!$A$88,$BA$205^A46,IF(A46='Données projet'!$A$88,'Données projet'!$B$88,BD45+BC46-BL45)))</f>
        <v>110.39999999999995</v>
      </c>
      <c r="BE46" s="14">
        <f>BD46*VLOOKUP('Données projet'!$B$11,Paramètres!$A$1:$I$89,3,0)*VLOOKUP('Données projet'!$B$11,Paramètres!$A$1:$I$89,5,0)</f>
        <v>96.445439999999962</v>
      </c>
      <c r="BF46" s="14">
        <f t="shared" si="37"/>
        <v>26.113397153228323</v>
      </c>
      <c r="BG46" s="22">
        <f t="shared" si="7"/>
        <v>213.45664137520589</v>
      </c>
      <c r="BH46" s="62">
        <f t="shared" si="8"/>
        <v>506.78997470853921</v>
      </c>
      <c r="BI46" s="62">
        <f ca="1">AVERAGE(OFFSET($BH$3,0,0,'Données projet'!$E$11+1,1))-AVERAGE(OFFSET($H$3,0,0,'Données projet'!$E$11+1,1))</f>
        <v>195.30963433439501</v>
      </c>
      <c r="BJ46" s="62">
        <f t="shared" si="38"/>
        <v>185.00219255324504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0.15088927858040505</v>
      </c>
      <c r="BS46" s="24">
        <f t="shared" si="9"/>
        <v>0.15088927858040505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5.6</v>
      </c>
      <c r="BY46" s="13">
        <f>IF('Données projet'!$A$114&gt;35,BY45+BX46-CG45,IF(A46&lt;'Données projet'!$A$114,$BV$205^A46,IF(A46='Données projet'!$A$114,'Données projet'!$B$114,BY45+BX46-CG45)))</f>
        <v>95.8</v>
      </c>
      <c r="BZ46" s="14">
        <f>BY46*VLOOKUP('Données projet'!$B$12,Paramètres!$A$1:$I$89,3,0)*VLOOKUP('Données projet'!$B$12,Paramètres!$A$1:$I$89,5,0)</f>
        <v>92.65776000000001</v>
      </c>
      <c r="CA46" s="14">
        <f t="shared" si="39"/>
        <v>25.205122972074609</v>
      </c>
      <c r="CB46" s="22">
        <f t="shared" si="10"/>
        <v>205.2778545096966</v>
      </c>
      <c r="CC46" s="62">
        <f t="shared" si="11"/>
        <v>498.61118784302994</v>
      </c>
      <c r="CD46" s="62">
        <f ca="1">AVERAGE(OFFSET($CC$3,0,0,'Données projet'!$E$12+1,1))-AVERAGE(OFFSET($H$3,0,0,'Données projet'!$E$12+1,1))</f>
        <v>298.18906674058809</v>
      </c>
      <c r="CE46" s="62">
        <f t="shared" si="40"/>
        <v>154.08406475869634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5</v>
      </c>
      <c r="N47" s="14">
        <f>IF('Données projet'!$A$36&gt;35,N46+M47-V46,IF(A47&lt;'Données projet'!$A$36,$K$205^A47,IF(A47='Données projet'!$A$36,'Données projet'!$B$36,N46+M47-V46)))</f>
        <v>247.0000000000002</v>
      </c>
      <c r="O47" s="14">
        <f>N47*VLOOKUP('Données projet'!$B$9,Paramètres!$A$1:$I$89,3,0)*VLOOKUP('Données projet'!$B$9,Paramètres!$A$1:$I$89,5,0)</f>
        <v>223.48560000000018</v>
      </c>
      <c r="P47" s="14">
        <f t="shared" si="33"/>
        <v>54.87176918107798</v>
      </c>
      <c r="Q47" s="22">
        <f t="shared" si="53"/>
        <v>484.80575132371115</v>
      </c>
      <c r="R47" s="62">
        <f t="shared" si="0"/>
        <v>778.13908465704446</v>
      </c>
      <c r="S47" s="62">
        <f ca="1">AVERAGE(OFFSET($R$3,0,0,'Données projet'!$E$9+1,1))-AVERAGE(OFFSET($H$3,0,0,'Données projet'!$E$9+1,1))</f>
        <v>302.6112905010138</v>
      </c>
      <c r="T47" s="62">
        <f t="shared" si="34"/>
        <v>423.44006663873375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1.5483380475348285</v>
      </c>
      <c r="AB47" s="23">
        <f>EXP(-LN(2)/2)*AB46+(1-EXP(-LN(2)/2))/(LN(2)/2)*V47*Y47*VLOOKUP('Données projet'!$B$9,Paramètres!$A$1:$I$89,3,0)*0.475*44/12</f>
        <v>4.949307932995281E-2</v>
      </c>
      <c r="AC47" s="24">
        <f t="shared" si="3"/>
        <v>1.5978311268647813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149.60000000000002</v>
      </c>
      <c r="AJ47" s="14">
        <f>AI47*VLOOKUP('Données projet'!$B$10,Paramètres!$A$1:$I$89,3,0)*VLOOKUP('Données projet'!$B$10,Paramètres!$A$1:$I$89,5,0)</f>
        <v>151.69440000000003</v>
      </c>
      <c r="AK47" s="14">
        <f t="shared" si="35"/>
        <v>38.963392010880654</v>
      </c>
      <c r="AL47" s="22">
        <f t="shared" si="4"/>
        <v>332.06232108561716</v>
      </c>
      <c r="AM47" s="62">
        <f t="shared" si="5"/>
        <v>625.39565441895047</v>
      </c>
      <c r="AN47" s="62">
        <f ca="1">AVERAGE(OFFSET($AM$3,0,0,'Données projet'!$E$10+1,1))-AVERAGE(OFFSET($H$3,0,0,'Données projet'!$E$10+1,1))</f>
        <v>411.98877330238821</v>
      </c>
      <c r="AO47" s="62">
        <f t="shared" si="36"/>
        <v>256.4377087753457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4.8</v>
      </c>
      <c r="BD47" s="13">
        <f>IF('Données projet'!$A$88&gt;35,BD46+BC47-BL46,IF(A47&lt;'Données projet'!$A$88,$BA$205^A47,IF(A47='Données projet'!$A$88,'Données projet'!$B$88,BD46+BC47-BL46)))</f>
        <v>115.19999999999995</v>
      </c>
      <c r="BE47" s="14">
        <f>BD47*VLOOKUP('Données projet'!$B$11,Paramètres!$A$1:$I$89,3,0)*VLOOKUP('Données projet'!$B$11,Paramètres!$A$1:$I$89,5,0)</f>
        <v>100.63871999999996</v>
      </c>
      <c r="BF47" s="14">
        <f t="shared" si="37"/>
        <v>27.114107349094599</v>
      </c>
      <c r="BG47" s="22">
        <f t="shared" si="7"/>
        <v>222.50284096633968</v>
      </c>
      <c r="BH47" s="62">
        <f t="shared" si="8"/>
        <v>515.83617429967296</v>
      </c>
      <c r="BI47" s="62">
        <f ca="1">AVERAGE(OFFSET($BH$3,0,0,'Données projet'!$E$11+1,1))-AVERAGE(OFFSET($H$3,0,0,'Données projet'!$E$11+1,1))</f>
        <v>195.30963433439501</v>
      </c>
      <c r="BJ47" s="62">
        <f t="shared" si="38"/>
        <v>185.00219255324504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0.10669483209255048</v>
      </c>
      <c r="BS47" s="24">
        <f t="shared" si="9"/>
        <v>0.10669483209255048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5.6</v>
      </c>
      <c r="BY47" s="13">
        <f>IF('Données projet'!$A$114&gt;35,BY46+BX47-CG46,IF(A47&lt;'Données projet'!$A$114,$BV$205^A47,IF(A47='Données projet'!$A$114,'Données projet'!$B$114,BY46+BX47-CG46)))</f>
        <v>101.39999999999999</v>
      </c>
      <c r="BZ47" s="14">
        <f>BY47*VLOOKUP('Données projet'!$B$12,Paramètres!$A$1:$I$89,3,0)*VLOOKUP('Données projet'!$B$12,Paramètres!$A$1:$I$89,5,0)</f>
        <v>98.074079999999995</v>
      </c>
      <c r="CA47" s="14">
        <f t="shared" si="39"/>
        <v>26.502655653208453</v>
      </c>
      <c r="CB47" s="22">
        <f t="shared" si="10"/>
        <v>216.97114792933803</v>
      </c>
      <c r="CC47" s="62">
        <f t="shared" si="11"/>
        <v>510.30448126267135</v>
      </c>
      <c r="CD47" s="62">
        <f ca="1">AVERAGE(OFFSET($CC$3,0,0,'Données projet'!$E$12+1,1))-AVERAGE(OFFSET($H$3,0,0,'Données projet'!$E$12+1,1))</f>
        <v>298.18906674058809</v>
      </c>
      <c r="CE47" s="62">
        <f t="shared" si="40"/>
        <v>154.08406475869634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252</v>
      </c>
      <c r="L48" s="13">
        <f>VLOOKUP(A48,'Données projet'!$A$35:$I$55,9,0)</f>
        <v>5</v>
      </c>
      <c r="M48" s="13">
        <f t="array" ref="M48">INDEX(L:L,MIN(IF(ISNUMBER(L48:L244),ROW(L48:L244),"")))</f>
        <v>5</v>
      </c>
      <c r="N48" s="14">
        <f>IF('Données projet'!$A$36&gt;35,N47+M48-V47,IF(A48&lt;'Données projet'!$A$36,$K$205^A48,IF(A48='Données projet'!$A$36,'Données projet'!$B$36,N47+M48-V47)))</f>
        <v>252.0000000000002</v>
      </c>
      <c r="O48" s="14">
        <f>N48*VLOOKUP('Données projet'!$B$9,Paramètres!$A$1:$I$89,3,0)*VLOOKUP('Données projet'!$B$9,Paramètres!$A$1:$I$89,5,0)</f>
        <v>228.00960000000018</v>
      </c>
      <c r="P48" s="14">
        <f t="shared" si="33"/>
        <v>55.852093054619878</v>
      </c>
      <c r="Q48" s="22">
        <f t="shared" si="53"/>
        <v>494.39244873679655</v>
      </c>
      <c r="R48" s="62">
        <f t="shared" si="0"/>
        <v>787.72578207012987</v>
      </c>
      <c r="S48" s="62">
        <f ca="1">AVERAGE(OFFSET($R$3,0,0,'Données projet'!$E$9+1,1))-AVERAGE(OFFSET($H$3,0,0,'Données projet'!$E$9+1,1))</f>
        <v>302.6112905010138</v>
      </c>
      <c r="T48" s="62">
        <f t="shared" si="34"/>
        <v>423.44006663873375</v>
      </c>
      <c r="U48" s="16">
        <f>IF(ISNA(VLOOKUP(A48,'Données projet'!$A$35:$I$55,3,0)),0,VLOOKUP(A48,'Données projet'!$A$35:$I$55,3,0))</f>
        <v>9</v>
      </c>
      <c r="V48" s="16">
        <f>IF(ISNA(VLOOKUP(A48,'Données projet'!$A$35:$I$55,4,0)),0,VLOOKUP(A48,'Données projet'!$A$35:$I$55,4,0))</f>
        <v>252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1.5059986622014294</v>
      </c>
      <c r="AB48" s="23">
        <f>EXP(-LN(2)/2)*AB47+(1-EXP(-LN(2)/2))/(LN(2)/2)*V48*Y48*VLOOKUP('Données projet'!$B$9,Paramètres!$A$1:$I$89,3,0)*0.475*44/12</f>
        <v>3.499689201601338E-2</v>
      </c>
      <c r="AC48" s="24">
        <f t="shared" si="3"/>
        <v>1.5409955542174427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158.00000000000003</v>
      </c>
      <c r="AJ48" s="14">
        <f>AI48*VLOOKUP('Données projet'!$B$10,Paramètres!$A$1:$I$89,3,0)*VLOOKUP('Données projet'!$B$10,Paramètres!$A$1:$I$89,5,0)</f>
        <v>160.21200000000005</v>
      </c>
      <c r="AK48" s="14">
        <f t="shared" si="35"/>
        <v>40.890328912852695</v>
      </c>
      <c r="AL48" s="22">
        <f t="shared" si="4"/>
        <v>350.25322285655176</v>
      </c>
      <c r="AM48" s="62">
        <f t="shared" si="5"/>
        <v>643.58655618988507</v>
      </c>
      <c r="AN48" s="62">
        <f ca="1">AVERAGE(OFFSET($AM$3,0,0,'Données projet'!$E$10+1,1))-AVERAGE(OFFSET($H$3,0,0,'Données projet'!$E$10+1,1))</f>
        <v>411.98877330238821</v>
      </c>
      <c r="AO48" s="62">
        <f t="shared" si="36"/>
        <v>256.4377087753457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120</v>
      </c>
      <c r="BB48" s="13">
        <f>VLOOKUP(A48,'Données projet'!$A$87:$I$107,9,0)</f>
        <v>4.8</v>
      </c>
      <c r="BC48" s="13">
        <f t="array" ref="BC48">INDEX(BB:BB,MIN(IF(ISNUMBER(BB48:BB244),ROW(BB48:BB244),"")))</f>
        <v>4.8</v>
      </c>
      <c r="BD48" s="13">
        <f>IF('Données projet'!$A$88&gt;35,BD47+BC48-BL47,IF(A48&lt;'Données projet'!$A$88,$BA$205^A48,IF(A48='Données projet'!$A$88,'Données projet'!$B$88,BD47+BC48-BL47)))</f>
        <v>119.99999999999994</v>
      </c>
      <c r="BE48" s="14">
        <f>BD48*VLOOKUP('Données projet'!$B$11,Paramètres!$A$1:$I$89,3,0)*VLOOKUP('Données projet'!$B$11,Paramètres!$A$1:$I$89,5,0)</f>
        <v>104.83199999999997</v>
      </c>
      <c r="BF48" s="14">
        <f t="shared" si="37"/>
        <v>28.109974371137692</v>
      </c>
      <c r="BG48" s="22">
        <f t="shared" si="7"/>
        <v>231.54060536306474</v>
      </c>
      <c r="BH48" s="62">
        <f t="shared" si="8"/>
        <v>524.873938696398</v>
      </c>
      <c r="BI48" s="62">
        <f ca="1">AVERAGE(OFFSET($BH$3,0,0,'Données projet'!$E$11+1,1))-AVERAGE(OFFSET($H$3,0,0,'Données projet'!$E$11+1,1))</f>
        <v>195.30963433439501</v>
      </c>
      <c r="BJ48" s="62">
        <f t="shared" si="38"/>
        <v>185.00219255324504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14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7.5444639290202523E-2</v>
      </c>
      <c r="BS48" s="24">
        <f t="shared" si="9"/>
        <v>7.5444639290202523E-2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107</v>
      </c>
      <c r="BW48" s="13">
        <f>VLOOKUP(A48,'Données projet'!$A$113:$I$133,9,0)</f>
        <v>5.6</v>
      </c>
      <c r="BX48" s="13">
        <f t="array" ref="BX48">INDEX(BW:BW,MIN(IF(ISNUMBER(BW48:BW244),ROW(BW48:BW244),"")))</f>
        <v>5.6</v>
      </c>
      <c r="BY48" s="13">
        <f>IF('Données projet'!$A$114&gt;35,BY47+BX48-CG47,IF(A48&lt;'Données projet'!$A$114,$BV$205^A48,IF(A48='Données projet'!$A$114,'Données projet'!$B$114,BY47+BX48-CG47)))</f>
        <v>106.99999999999999</v>
      </c>
      <c r="BZ48" s="14">
        <f>BY48*VLOOKUP('Données projet'!$B$12,Paramètres!$A$1:$I$89,3,0)*VLOOKUP('Données projet'!$B$12,Paramètres!$A$1:$I$89,5,0)</f>
        <v>103.49039999999998</v>
      </c>
      <c r="CA48" s="14">
        <f t="shared" si="39"/>
        <v>27.791869560921153</v>
      </c>
      <c r="CB48" s="22">
        <f t="shared" si="10"/>
        <v>228.64995281860425</v>
      </c>
      <c r="CC48" s="62">
        <f t="shared" si="11"/>
        <v>521.98328615193759</v>
      </c>
      <c r="CD48" s="62">
        <f ca="1">AVERAGE(OFFSET($CC$3,0,0,'Données projet'!$E$12+1,1))-AVERAGE(OFFSET($H$3,0,0,'Données projet'!$E$12+1,1))</f>
        <v>298.18906674058809</v>
      </c>
      <c r="CE48" s="62">
        <f t="shared" si="40"/>
        <v>154.08406475869634</v>
      </c>
      <c r="CF48" s="16">
        <f>IF(ISNA(VLOOKUP(A48,'Données projet'!$A$113:$I$133,3,0)),0,VLOOKUP(A48,'Données projet'!$A$113:$I$133,3,0))</f>
        <v>5</v>
      </c>
      <c r="CG48" s="16">
        <f>IF(ISNA(VLOOKUP(A48,'Données projet'!$A$113:$I$133,4,0)),0,VLOOKUP(A48,'Données projet'!$A$113:$I$133,4,0))</f>
        <v>14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1.9895196601282805E-13</v>
      </c>
      <c r="O49" s="14">
        <f>N49*VLOOKUP('Données projet'!$B$9,Paramètres!$A$1:$I$89,3,0)*VLOOKUP('Données projet'!$B$9,Paramètres!$A$1:$I$89,5,0)</f>
        <v>1.8001173884840681E-13</v>
      </c>
      <c r="P49" s="14">
        <f t="shared" si="33"/>
        <v>2.5254331426407198E-12</v>
      </c>
      <c r="Q49" s="22">
        <f t="shared" si="53"/>
        <v>4.7119831685935622E-12</v>
      </c>
      <c r="R49" s="62">
        <f t="shared" si="0"/>
        <v>293.33333333333803</v>
      </c>
      <c r="S49" s="62">
        <f ca="1">AVERAGE(OFFSET($R$3,0,0,'Données projet'!$E$9+1,1))-AVERAGE(OFFSET($H$3,0,0,'Données projet'!$E$9+1,1))</f>
        <v>302.6112905010138</v>
      </c>
      <c r="T49" s="62">
        <f t="shared" si="34"/>
        <v>423.44006663873375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1.4648170495865036</v>
      </c>
      <c r="AB49" s="23">
        <f>EXP(-LN(2)/2)*AB48+(1-EXP(-LN(2)/2))/(LN(2)/2)*V49*Y49*VLOOKUP('Données projet'!$B$9,Paramètres!$A$1:$I$89,3,0)*0.475*44/12</f>
        <v>2.4746539664976405E-2</v>
      </c>
      <c r="AC49" s="24">
        <f t="shared" si="3"/>
        <v>1.48956358925148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8.4</v>
      </c>
      <c r="AI49" s="14">
        <f>IF('Données projet'!$A$62&gt;35,AI48+AH49-AQ48,IF(A49&lt;'Données projet'!$A$62,$AF$205^A49,IF(A49='Données projet'!$A$62,'Données projet'!$B$62,AI48+AH49-AQ48)))</f>
        <v>145.40000000000003</v>
      </c>
      <c r="AJ49" s="14">
        <f>AI49*VLOOKUP('Données projet'!$B$10,Paramètres!$A$1:$I$89,3,0)*VLOOKUP('Données projet'!$B$10,Paramètres!$A$1:$I$89,5,0)</f>
        <v>147.43560000000002</v>
      </c>
      <c r="AK49" s="14">
        <f t="shared" si="35"/>
        <v>37.99523294834102</v>
      </c>
      <c r="AL49" s="22">
        <f t="shared" si="4"/>
        <v>322.95870071836066</v>
      </c>
      <c r="AM49" s="62">
        <f t="shared" si="5"/>
        <v>616.29203405169392</v>
      </c>
      <c r="AN49" s="62">
        <f ca="1">AVERAGE(OFFSET($AM$3,0,0,'Données projet'!$E$10+1,1))-AVERAGE(OFFSET($H$3,0,0,'Données projet'!$E$10+1,1))</f>
        <v>411.98877330238821</v>
      </c>
      <c r="AO49" s="62">
        <f t="shared" si="36"/>
        <v>256.4377087753457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4.2</v>
      </c>
      <c r="BD49" s="13">
        <f>IF('Données projet'!$A$88&gt;35,BD48+BC49-BL48,IF(A49&lt;'Données projet'!$A$88,$BA$205^A49,IF(A49='Données projet'!$A$88,'Données projet'!$B$88,BD48+BC49-BL48)))</f>
        <v>110.19999999999995</v>
      </c>
      <c r="BE49" s="14">
        <f>BD49*VLOOKUP('Données projet'!$B$11,Paramètres!$A$1:$I$89,3,0)*VLOOKUP('Données projet'!$B$11,Paramètres!$A$1:$I$89,5,0)</f>
        <v>96.270719999999969</v>
      </c>
      <c r="BF49" s="14">
        <f t="shared" si="37"/>
        <v>26.071592384845928</v>
      </c>
      <c r="BG49" s="22">
        <f t="shared" si="7"/>
        <v>213.07952740360659</v>
      </c>
      <c r="BH49" s="62">
        <f t="shared" si="8"/>
        <v>506.41286073693993</v>
      </c>
      <c r="BI49" s="62">
        <f ca="1">AVERAGE(OFFSET($BH$3,0,0,'Données projet'!$E$11+1,1))-AVERAGE(OFFSET($H$3,0,0,'Données projet'!$E$11+1,1))</f>
        <v>195.30963433439501</v>
      </c>
      <c r="BJ49" s="62">
        <f t="shared" si="38"/>
        <v>185.00219255324504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5.3347416046275242E-2</v>
      </c>
      <c r="BS49" s="24">
        <f t="shared" si="9"/>
        <v>5.3347416046275242E-2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5.6</v>
      </c>
      <c r="BY49" s="13">
        <f>IF('Données projet'!$A$114&gt;35,BY48+BX49-CG48,IF(A49&lt;'Données projet'!$A$114,$BV$205^A49,IF(A49='Données projet'!$A$114,'Données projet'!$B$114,BY48+BX49-CG48)))</f>
        <v>98.59999999999998</v>
      </c>
      <c r="BZ49" s="14">
        <f>BY49*VLOOKUP('Données projet'!$B$12,Paramètres!$A$1:$I$89,3,0)*VLOOKUP('Données projet'!$B$12,Paramètres!$A$1:$I$89,5,0)</f>
        <v>95.365919999999974</v>
      </c>
      <c r="CA49" s="14">
        <f t="shared" si="39"/>
        <v>25.854961705219438</v>
      </c>
      <c r="CB49" s="22">
        <f t="shared" si="10"/>
        <v>211.12636896992379</v>
      </c>
      <c r="CC49" s="62">
        <f t="shared" si="11"/>
        <v>504.45970230325713</v>
      </c>
      <c r="CD49" s="62">
        <f ca="1">AVERAGE(OFFSET($CC$3,0,0,'Données projet'!$E$12+1,1))-AVERAGE(OFFSET($H$3,0,0,'Données projet'!$E$12+1,1))</f>
        <v>298.18906674058809</v>
      </c>
      <c r="CE49" s="62">
        <f t="shared" si="40"/>
        <v>154.08406475869634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1.9895196601282805E-13</v>
      </c>
      <c r="O50" s="14">
        <f>N50*VLOOKUP('Données projet'!$B$9,Paramètres!$A$1:$I$89,3,0)*VLOOKUP('Données projet'!$B$9,Paramètres!$A$1:$I$89,5,0)</f>
        <v>1.8001173884840681E-13</v>
      </c>
      <c r="P50" s="14">
        <f t="shared" si="33"/>
        <v>2.5254331426407198E-12</v>
      </c>
      <c r="Q50" s="22">
        <f t="shared" si="53"/>
        <v>4.7119831685935622E-12</v>
      </c>
      <c r="R50" s="62">
        <f t="shared" si="0"/>
        <v>293.33333333333803</v>
      </c>
      <c r="S50" s="62">
        <f ca="1">AVERAGE(OFFSET($R$3,0,0,'Données projet'!$E$9+1,1))-AVERAGE(OFFSET($H$3,0,0,'Données projet'!$E$9+1,1))</f>
        <v>302.6112905010138</v>
      </c>
      <c r="T50" s="62">
        <f t="shared" si="34"/>
        <v>423.44006663873375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1.4247615503341799</v>
      </c>
      <c r="AB50" s="23">
        <f>EXP(-LN(2)/2)*AB49+(1-EXP(-LN(2)/2))/(LN(2)/2)*V50*Y50*VLOOKUP('Données projet'!$B$9,Paramètres!$A$1:$I$89,3,0)*0.475*44/12</f>
        <v>1.749844600800669E-2</v>
      </c>
      <c r="AC50" s="24">
        <f t="shared" si="3"/>
        <v>1.4422599963421867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8.4</v>
      </c>
      <c r="AI50" s="14">
        <f>IF('Données projet'!$A$62&gt;35,AI49+AH50-AQ49,IF(A50&lt;'Données projet'!$A$62,$AF$205^A50,IF(A50='Données projet'!$A$62,'Données projet'!$B$62,AI49+AH50-AQ49)))</f>
        <v>153.80000000000004</v>
      </c>
      <c r="AJ50" s="14">
        <f>AI50*VLOOKUP('Données projet'!$B$10,Paramètres!$A$1:$I$89,3,0)*VLOOKUP('Données projet'!$B$10,Paramètres!$A$1:$I$89,5,0)</f>
        <v>155.95320000000004</v>
      </c>
      <c r="AK50" s="14">
        <f t="shared" si="35"/>
        <v>39.928391937903875</v>
      </c>
      <c r="AL50" s="22">
        <f t="shared" si="4"/>
        <v>341.16043929184929</v>
      </c>
      <c r="AM50" s="62">
        <f t="shared" si="5"/>
        <v>634.4937726251826</v>
      </c>
      <c r="AN50" s="62">
        <f ca="1">AVERAGE(OFFSET($AM$3,0,0,'Données projet'!$E$10+1,1))-AVERAGE(OFFSET($H$3,0,0,'Données projet'!$E$10+1,1))</f>
        <v>411.98877330238821</v>
      </c>
      <c r="AO50" s="62">
        <f t="shared" si="36"/>
        <v>256.4377087753457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4.2</v>
      </c>
      <c r="BD50" s="13">
        <f>IF('Données projet'!$A$88&gt;35,BD49+BC50-BL49,IF(A50&lt;'Données projet'!$A$88,$BA$205^A50,IF(A50='Données projet'!$A$88,'Données projet'!$B$88,BD49+BC50-BL49)))</f>
        <v>114.39999999999995</v>
      </c>
      <c r="BE50" s="14">
        <f>BD50*VLOOKUP('Données projet'!$B$11,Paramètres!$A$1:$I$89,3,0)*VLOOKUP('Données projet'!$B$11,Paramètres!$A$1:$I$89,5,0)</f>
        <v>99.939839999999975</v>
      </c>
      <c r="BF50" s="14">
        <f t="shared" si="37"/>
        <v>26.947664756006503</v>
      </c>
      <c r="BG50" s="22">
        <f t="shared" si="7"/>
        <v>220.99573745004457</v>
      </c>
      <c r="BH50" s="62">
        <f t="shared" si="8"/>
        <v>514.32907078337792</v>
      </c>
      <c r="BI50" s="62">
        <f ca="1">AVERAGE(OFFSET($BH$3,0,0,'Données projet'!$E$11+1,1))-AVERAGE(OFFSET($H$3,0,0,'Données projet'!$E$11+1,1))</f>
        <v>195.30963433439501</v>
      </c>
      <c r="BJ50" s="62">
        <f t="shared" si="38"/>
        <v>185.00219255324504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3.7722319645101261E-2</v>
      </c>
      <c r="BS50" s="24">
        <f t="shared" si="9"/>
        <v>3.7722319645101261E-2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5.6</v>
      </c>
      <c r="BY50" s="13">
        <f>IF('Données projet'!$A$114&gt;35,BY49+BX50-CG49,IF(A50&lt;'Données projet'!$A$114,$BV$205^A50,IF(A50='Données projet'!$A$114,'Données projet'!$B$114,BY49+BX50-CG49)))</f>
        <v>104.19999999999997</v>
      </c>
      <c r="BZ50" s="14">
        <f>BY50*VLOOKUP('Données projet'!$B$12,Paramètres!$A$1:$I$89,3,0)*VLOOKUP('Données projet'!$B$12,Paramètres!$A$1:$I$89,5,0)</f>
        <v>100.78223999999997</v>
      </c>
      <c r="CA50" s="14">
        <f t="shared" si="39"/>
        <v>27.148270845500655</v>
      </c>
      <c r="CB50" s="22">
        <f t="shared" si="10"/>
        <v>222.81230638924691</v>
      </c>
      <c r="CC50" s="62">
        <f t="shared" si="11"/>
        <v>516.1456397225802</v>
      </c>
      <c r="CD50" s="62">
        <f ca="1">AVERAGE(OFFSET($CC$3,0,0,'Données projet'!$E$12+1,1))-AVERAGE(OFFSET($H$3,0,0,'Données projet'!$E$12+1,1))</f>
        <v>298.18906674058809</v>
      </c>
      <c r="CE50" s="62">
        <f t="shared" si="40"/>
        <v>154.08406475869634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1.9895196601282805E-13</v>
      </c>
      <c r="O51" s="14">
        <f>N51*VLOOKUP('Données projet'!$B$9,Paramètres!$A$1:$I$89,3,0)*VLOOKUP('Données projet'!$B$9,Paramètres!$A$1:$I$89,5,0)</f>
        <v>1.8001173884840681E-13</v>
      </c>
      <c r="P51" s="14">
        <f t="shared" si="33"/>
        <v>2.5254331426407198E-12</v>
      </c>
      <c r="Q51" s="22">
        <f t="shared" si="53"/>
        <v>4.7119831685935622E-12</v>
      </c>
      <c r="R51" s="62">
        <f t="shared" si="0"/>
        <v>293.33333333333803</v>
      </c>
      <c r="S51" s="62">
        <f ca="1">AVERAGE(OFFSET($R$3,0,0,'Données projet'!$E$9+1,1))-AVERAGE(OFFSET($H$3,0,0,'Données projet'!$E$9+1,1))</f>
        <v>302.6112905010138</v>
      </c>
      <c r="T51" s="62">
        <f t="shared" si="34"/>
        <v>423.44006663873375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1.3858013708153383</v>
      </c>
      <c r="AB51" s="23">
        <f>EXP(-LN(2)/2)*AB50+(1-EXP(-LN(2)/2))/(LN(2)/2)*V51*Y51*VLOOKUP('Données projet'!$B$9,Paramètres!$A$1:$I$89,3,0)*0.475*44/12</f>
        <v>1.2373269832488203E-2</v>
      </c>
      <c r="AC51" s="24">
        <f t="shared" si="3"/>
        <v>1.3981746406478264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8.4</v>
      </c>
      <c r="AI51" s="14">
        <f>IF('Données projet'!$A$62&gt;35,AI50+AH51-AQ50,IF(A51&lt;'Données projet'!$A$62,$AF$205^A51,IF(A51='Données projet'!$A$62,'Données projet'!$B$62,AI50+AH51-AQ50)))</f>
        <v>162.20000000000005</v>
      </c>
      <c r="AJ51" s="14">
        <f>AI51*VLOOKUP('Données projet'!$B$10,Paramètres!$A$1:$I$89,3,0)*VLOOKUP('Données projet'!$B$10,Paramètres!$A$1:$I$89,5,0)</f>
        <v>164.47080000000005</v>
      </c>
      <c r="AK51" s="14">
        <f t="shared" si="35"/>
        <v>41.849293714451377</v>
      </c>
      <c r="AL51" s="22">
        <f t="shared" si="4"/>
        <v>359.34082988600289</v>
      </c>
      <c r="AM51" s="62">
        <f t="shared" si="5"/>
        <v>652.67416321933615</v>
      </c>
      <c r="AN51" s="62">
        <f ca="1">AVERAGE(OFFSET($AM$3,0,0,'Données projet'!$E$10+1,1))-AVERAGE(OFFSET($H$3,0,0,'Données projet'!$E$10+1,1))</f>
        <v>411.98877330238821</v>
      </c>
      <c r="AO51" s="62">
        <f t="shared" si="36"/>
        <v>256.4377087753457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4.2</v>
      </c>
      <c r="BD51" s="13">
        <f>IF('Données projet'!$A$88&gt;35,BD50+BC51-BL50,IF(A51&lt;'Données projet'!$A$88,$BA$205^A51,IF(A51='Données projet'!$A$88,'Données projet'!$B$88,BD50+BC51-BL50)))</f>
        <v>118.59999999999995</v>
      </c>
      <c r="BE51" s="14">
        <f>BD51*VLOOKUP('Données projet'!$B$11,Paramètres!$A$1:$I$89,3,0)*VLOOKUP('Données projet'!$B$11,Paramètres!$A$1:$I$89,5,0)</f>
        <v>103.60895999999998</v>
      </c>
      <c r="BF51" s="14">
        <f t="shared" si="37"/>
        <v>27.820000397643376</v>
      </c>
      <c r="BG51" s="22">
        <f t="shared" si="7"/>
        <v>228.90543935922884</v>
      </c>
      <c r="BH51" s="62">
        <f t="shared" si="8"/>
        <v>522.23877269256218</v>
      </c>
      <c r="BI51" s="62">
        <f ca="1">AVERAGE(OFFSET($BH$3,0,0,'Données projet'!$E$11+1,1))-AVERAGE(OFFSET($H$3,0,0,'Données projet'!$E$11+1,1))</f>
        <v>195.30963433439501</v>
      </c>
      <c r="BJ51" s="62">
        <f t="shared" si="38"/>
        <v>185.00219255324504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2.6673708023137621E-2</v>
      </c>
      <c r="BS51" s="24">
        <f t="shared" si="9"/>
        <v>2.6673708023137621E-2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5.6</v>
      </c>
      <c r="BY51" s="13">
        <f>IF('Données projet'!$A$114&gt;35,BY50+BX51-CG50,IF(A51&lt;'Données projet'!$A$114,$BV$205^A51,IF(A51='Données projet'!$A$114,'Données projet'!$B$114,BY50+BX51-CG50)))</f>
        <v>109.79999999999997</v>
      </c>
      <c r="BZ51" s="14">
        <f>BY51*VLOOKUP('Données projet'!$B$12,Paramètres!$A$1:$I$89,3,0)*VLOOKUP('Données projet'!$B$12,Paramètres!$A$1:$I$89,5,0)</f>
        <v>106.19855999999997</v>
      </c>
      <c r="CA51" s="14">
        <f t="shared" si="39"/>
        <v>28.433510633203252</v>
      </c>
      <c r="CB51" s="22">
        <f t="shared" si="10"/>
        <v>234.48418968616227</v>
      </c>
      <c r="CC51" s="62">
        <f t="shared" si="11"/>
        <v>527.81752301949564</v>
      </c>
      <c r="CD51" s="62">
        <f ca="1">AVERAGE(OFFSET($CC$3,0,0,'Données projet'!$E$12+1,1))-AVERAGE(OFFSET($H$3,0,0,'Données projet'!$E$12+1,1))</f>
        <v>298.18906674058809</v>
      </c>
      <c r="CE51" s="62">
        <f t="shared" si="40"/>
        <v>154.08406475869634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1.9895196601282805E-13</v>
      </c>
      <c r="O52" s="14">
        <f>N52*VLOOKUP('Données projet'!$B$9,Paramètres!$A$1:$I$89,3,0)*VLOOKUP('Données projet'!$B$9,Paramètres!$A$1:$I$89,5,0)</f>
        <v>1.8001173884840681E-13</v>
      </c>
      <c r="P52" s="14">
        <f t="shared" si="33"/>
        <v>2.5254331426407198E-12</v>
      </c>
      <c r="Q52" s="22">
        <f t="shared" si="53"/>
        <v>4.7119831685935622E-12</v>
      </c>
      <c r="R52" s="62">
        <f t="shared" si="0"/>
        <v>293.33333333333803</v>
      </c>
      <c r="S52" s="62">
        <f ca="1">AVERAGE(OFFSET($R$3,0,0,'Données projet'!$E$9+1,1))-AVERAGE(OFFSET($H$3,0,0,'Données projet'!$E$9+1,1))</f>
        <v>302.6112905010138</v>
      </c>
      <c r="T52" s="62">
        <f t="shared" si="34"/>
        <v>423.44006663873375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1.3479065594542661</v>
      </c>
      <c r="AB52" s="23">
        <f>EXP(-LN(2)/2)*AB51+(1-EXP(-LN(2)/2))/(LN(2)/2)*V52*Y52*VLOOKUP('Données projet'!$B$9,Paramètres!$A$1:$I$89,3,0)*0.475*44/12</f>
        <v>8.7492230040033449E-3</v>
      </c>
      <c r="AC52" s="24">
        <f t="shared" si="3"/>
        <v>1.3566557824582695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8.4</v>
      </c>
      <c r="AI52" s="14">
        <f>IF('Données projet'!$A$62&gt;35,AI51+AH52-AQ51,IF(A52&lt;'Données projet'!$A$62,$AF$205^A52,IF(A52='Données projet'!$A$62,'Données projet'!$B$62,AI51+AH52-AQ51)))</f>
        <v>170.60000000000005</v>
      </c>
      <c r="AJ52" s="14">
        <f>AI52*VLOOKUP('Données projet'!$B$10,Paramètres!$A$1:$I$89,3,0)*VLOOKUP('Données projet'!$B$10,Paramètres!$A$1:$I$89,5,0)</f>
        <v>172.98840000000007</v>
      </c>
      <c r="AK52" s="14">
        <f t="shared" si="35"/>
        <v>43.758645457754092</v>
      </c>
      <c r="AL52" s="22">
        <f t="shared" si="4"/>
        <v>377.50110417225511</v>
      </c>
      <c r="AM52" s="62">
        <f t="shared" si="5"/>
        <v>670.83443750558843</v>
      </c>
      <c r="AN52" s="62">
        <f ca="1">AVERAGE(OFFSET($AM$3,0,0,'Données projet'!$E$10+1,1))-AVERAGE(OFFSET($H$3,0,0,'Données projet'!$E$10+1,1))</f>
        <v>411.98877330238821</v>
      </c>
      <c r="AO52" s="62">
        <f t="shared" si="36"/>
        <v>256.4377087753457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4.2</v>
      </c>
      <c r="BD52" s="13">
        <f>IF('Données projet'!$A$88&gt;35,BD51+BC52-BL51,IF(A52&lt;'Données projet'!$A$88,$BA$205^A52,IF(A52='Données projet'!$A$88,'Données projet'!$B$88,BD51+BC52-BL51)))</f>
        <v>122.79999999999995</v>
      </c>
      <c r="BE52" s="14">
        <f>BD52*VLOOKUP('Données projet'!$B$11,Paramètres!$A$1:$I$89,3,0)*VLOOKUP('Données projet'!$B$11,Paramètres!$A$1:$I$89,5,0)</f>
        <v>107.27807999999999</v>
      </c>
      <c r="BF52" s="14">
        <f t="shared" si="37"/>
        <v>28.688746800886673</v>
      </c>
      <c r="BG52" s="22">
        <f t="shared" si="7"/>
        <v>236.80889001154424</v>
      </c>
      <c r="BH52" s="62">
        <f t="shared" si="8"/>
        <v>530.14222334487749</v>
      </c>
      <c r="BI52" s="62">
        <f ca="1">AVERAGE(OFFSET($BH$3,0,0,'Données projet'!$E$11+1,1))-AVERAGE(OFFSET($H$3,0,0,'Données projet'!$E$11+1,1))</f>
        <v>195.30963433439501</v>
      </c>
      <c r="BJ52" s="62">
        <f t="shared" si="38"/>
        <v>185.00219255324504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1.8861159822550631E-2</v>
      </c>
      <c r="BS52" s="24">
        <f t="shared" si="9"/>
        <v>1.8861159822550631E-2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5.6</v>
      </c>
      <c r="BY52" s="13">
        <f>IF('Données projet'!$A$114&gt;35,BY51+BX52-CG51,IF(A52&lt;'Données projet'!$A$114,$BV$205^A52,IF(A52='Données projet'!$A$114,'Données projet'!$B$114,BY51+BX52-CG51)))</f>
        <v>115.39999999999996</v>
      </c>
      <c r="BZ52" s="14">
        <f>BY52*VLOOKUP('Données projet'!$B$12,Paramètres!$A$1:$I$89,3,0)*VLOOKUP('Données projet'!$B$12,Paramètres!$A$1:$I$89,5,0)</f>
        <v>111.61487999999996</v>
      </c>
      <c r="CA52" s="14">
        <f t="shared" si="39"/>
        <v>29.711139570849625</v>
      </c>
      <c r="CB52" s="22">
        <f t="shared" si="10"/>
        <v>246.14281741922969</v>
      </c>
      <c r="CC52" s="62">
        <f t="shared" si="11"/>
        <v>539.47615075256294</v>
      </c>
      <c r="CD52" s="62">
        <f ca="1">AVERAGE(OFFSET($CC$3,0,0,'Données projet'!$E$12+1,1))-AVERAGE(OFFSET($H$3,0,0,'Données projet'!$E$12+1,1))</f>
        <v>298.18906674058809</v>
      </c>
      <c r="CE52" s="62">
        <f t="shared" si="40"/>
        <v>154.08406475869634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1.9895196601282805E-13</v>
      </c>
      <c r="O53" s="14">
        <f>N53*VLOOKUP('Données projet'!$B$9,Paramètres!$A$1:$I$89,3,0)*VLOOKUP('Données projet'!$B$9,Paramètres!$A$1:$I$89,5,0)</f>
        <v>1.8001173884840681E-13</v>
      </c>
      <c r="P53" s="14">
        <f t="shared" si="33"/>
        <v>2.5254331426407198E-12</v>
      </c>
      <c r="Q53" s="22">
        <f t="shared" si="53"/>
        <v>4.7119831685935622E-12</v>
      </c>
      <c r="R53" s="62">
        <f t="shared" si="0"/>
        <v>293.33333333333803</v>
      </c>
      <c r="S53" s="62">
        <f ca="1">AVERAGE(OFFSET($R$3,0,0,'Données projet'!$E$9+1,1))-AVERAGE(OFFSET($H$3,0,0,'Données projet'!$E$9+1,1))</f>
        <v>302.6112905010138</v>
      </c>
      <c r="T53" s="62">
        <f t="shared" si="34"/>
        <v>423.44006663873375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1.3110479837026638</v>
      </c>
      <c r="AB53" s="23">
        <f>EXP(-LN(2)/2)*AB52+(1-EXP(-LN(2)/2))/(LN(2)/2)*V53*Y53*VLOOKUP('Données projet'!$B$9,Paramètres!$A$1:$I$89,3,0)*0.475*44/12</f>
        <v>6.1866349162441013E-3</v>
      </c>
      <c r="AC53" s="24">
        <f t="shared" si="3"/>
        <v>1.3172346186189079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179</v>
      </c>
      <c r="AG53" s="13">
        <f>VLOOKUP(A53,'Données projet'!$A$61:$I$81,9,0)</f>
        <v>8.4</v>
      </c>
      <c r="AH53" s="13">
        <f t="array" ref="AH53">INDEX(AG:AG,MIN(IF(ISNUMBER(AG53:AG249),ROW(AG53:AG249),"")))</f>
        <v>8.4</v>
      </c>
      <c r="AI53" s="14">
        <f>IF('Données projet'!$A$62&gt;35,AI52+AH53-AQ52,IF(A53&lt;'Données projet'!$A$62,$AF$205^A53,IF(A53='Données projet'!$A$62,'Données projet'!$B$62,AI52+AH53-AQ52)))</f>
        <v>179.00000000000006</v>
      </c>
      <c r="AJ53" s="14">
        <f>AI53*VLOOKUP('Données projet'!$B$10,Paramètres!$A$1:$I$89,3,0)*VLOOKUP('Données projet'!$B$10,Paramètres!$A$1:$I$89,5,0)</f>
        <v>181.50600000000006</v>
      </c>
      <c r="AK53" s="14">
        <f t="shared" si="35"/>
        <v>45.657080773122978</v>
      </c>
      <c r="AL53" s="22">
        <f t="shared" si="4"/>
        <v>395.64236567985591</v>
      </c>
      <c r="AM53" s="62">
        <f t="shared" si="5"/>
        <v>688.97569901318923</v>
      </c>
      <c r="AN53" s="62">
        <f ca="1">AVERAGE(OFFSET($AM$3,0,0,'Données projet'!$E$10+1,1))-AVERAGE(OFFSET($H$3,0,0,'Données projet'!$E$10+1,1))</f>
        <v>411.98877330238821</v>
      </c>
      <c r="AO53" s="62">
        <f t="shared" si="36"/>
        <v>256.4377087753457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127</v>
      </c>
      <c r="BB53" s="13">
        <f>VLOOKUP(A53,'Données projet'!$A$87:$I$107,9,0)</f>
        <v>4.2</v>
      </c>
      <c r="BC53" s="13">
        <f t="array" ref="BC53">INDEX(BB:BB,MIN(IF(ISNUMBER(BB53:BB249),ROW(BB53:BB249),"")))</f>
        <v>4.2</v>
      </c>
      <c r="BD53" s="13">
        <f>IF('Données projet'!$A$88&gt;35,BD52+BC53-BL52,IF(A53&lt;'Données projet'!$A$88,$BA$205^A53,IF(A53='Données projet'!$A$88,'Données projet'!$B$88,BD52+BC53-BL52)))</f>
        <v>126.99999999999996</v>
      </c>
      <c r="BE53" s="14">
        <f>BD53*VLOOKUP('Données projet'!$B$11,Paramètres!$A$1:$I$89,3,0)*VLOOKUP('Données projet'!$B$11,Paramètres!$A$1:$I$89,5,0)</f>
        <v>110.94719999999997</v>
      </c>
      <c r="BF53" s="14">
        <f t="shared" si="37"/>
        <v>29.554040795615606</v>
      </c>
      <c r="BG53" s="22">
        <f t="shared" si="7"/>
        <v>244.70632771903044</v>
      </c>
      <c r="BH53" s="62">
        <f t="shared" si="8"/>
        <v>538.03966105236373</v>
      </c>
      <c r="BI53" s="62">
        <f ca="1">AVERAGE(OFFSET($BH$3,0,0,'Données projet'!$E$11+1,1))-AVERAGE(OFFSET($H$3,0,0,'Données projet'!$E$11+1,1))</f>
        <v>195.30963433439501</v>
      </c>
      <c r="BJ53" s="62">
        <f t="shared" si="38"/>
        <v>185.00219255324504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11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1.3336854011568811E-2</v>
      </c>
      <c r="BS53" s="24">
        <f t="shared" si="9"/>
        <v>1.3336854011568811E-2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121</v>
      </c>
      <c r="BW53" s="13">
        <f>VLOOKUP(A53,'Données projet'!$A$113:$I$133,9,0)</f>
        <v>5.6</v>
      </c>
      <c r="BX53" s="13">
        <f t="array" ref="BX53">INDEX(BW:BW,MIN(IF(ISNUMBER(BW53:BW249),ROW(BW53:BW249),"")))</f>
        <v>5.6</v>
      </c>
      <c r="BY53" s="13">
        <f>IF('Données projet'!$A$114&gt;35,BY52+BX53-CG52,IF(A53&lt;'Données projet'!$A$114,$BV$205^A53,IF(A53='Données projet'!$A$114,'Données projet'!$B$114,BY52+BX53-CG52)))</f>
        <v>120.99999999999996</v>
      </c>
      <c r="BZ53" s="14">
        <f>BY53*VLOOKUP('Données projet'!$B$12,Paramètres!$A$1:$I$89,3,0)*VLOOKUP('Données projet'!$B$12,Paramètres!$A$1:$I$89,5,0)</f>
        <v>117.03119999999996</v>
      </c>
      <c r="CA53" s="14">
        <f t="shared" si="39"/>
        <v>30.981569147428527</v>
      </c>
      <c r="CB53" s="22">
        <f t="shared" si="10"/>
        <v>257.78890626510457</v>
      </c>
      <c r="CC53" s="62">
        <f t="shared" si="11"/>
        <v>551.12223959843789</v>
      </c>
      <c r="CD53" s="62">
        <f ca="1">AVERAGE(OFFSET($CC$3,0,0,'Données projet'!$E$12+1,1))-AVERAGE(OFFSET($H$3,0,0,'Données projet'!$E$12+1,1))</f>
        <v>298.18906674058809</v>
      </c>
      <c r="CE53" s="62">
        <f t="shared" si="40"/>
        <v>154.08406475869634</v>
      </c>
      <c r="CF53" s="16">
        <f>IF(ISNA(VLOOKUP(A53,'Données projet'!$A$113:$I$133,3,0)),0,VLOOKUP(A53,'Données projet'!$A$113:$I$133,3,0))</f>
        <v>6</v>
      </c>
      <c r="CG53" s="16">
        <f>IF(ISNA(VLOOKUP(A53,'Données projet'!$A$113:$I$133,4,0)),0,VLOOKUP(A53,'Données projet'!$A$113:$I$133,4,0))</f>
        <v>14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1.9895196601282805E-13</v>
      </c>
      <c r="O54" s="14">
        <f>N54*VLOOKUP('Données projet'!$B$9,Paramètres!$A$1:$I$89,3,0)*VLOOKUP('Données projet'!$B$9,Paramètres!$A$1:$I$89,5,0)</f>
        <v>1.8001173884840681E-13</v>
      </c>
      <c r="P54" s="14">
        <f t="shared" si="33"/>
        <v>2.5254331426407198E-12</v>
      </c>
      <c r="Q54" s="22">
        <f t="shared" si="53"/>
        <v>4.7119831685935622E-12</v>
      </c>
      <c r="R54" s="62">
        <f t="shared" si="0"/>
        <v>293.33333333333803</v>
      </c>
      <c r="S54" s="62">
        <f ca="1">AVERAGE(OFFSET($R$3,0,0,'Données projet'!$E$9+1,1))-AVERAGE(OFFSET($H$3,0,0,'Données projet'!$E$9+1,1))</f>
        <v>302.6112905010138</v>
      </c>
      <c r="T54" s="62">
        <f t="shared" si="34"/>
        <v>423.44006663873375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1.2751973076432974</v>
      </c>
      <c r="AB54" s="23">
        <f>EXP(-LN(2)/2)*AB53+(1-EXP(-LN(2)/2))/(LN(2)/2)*V54*Y54*VLOOKUP('Données projet'!$B$9,Paramètres!$A$1:$I$89,3,0)*0.475*44/12</f>
        <v>4.3746115020016725E-3</v>
      </c>
      <c r="AC54" s="24">
        <f t="shared" si="3"/>
        <v>1.279571919145299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166.00000000000006</v>
      </c>
      <c r="AJ54" s="14">
        <f>AI54*VLOOKUP('Données projet'!$B$10,Paramètres!$A$1:$I$89,3,0)*VLOOKUP('Données projet'!$B$10,Paramètres!$A$1:$I$89,5,0)</f>
        <v>168.32400000000007</v>
      </c>
      <c r="AK54" s="14">
        <f t="shared" si="35"/>
        <v>42.71443916408608</v>
      </c>
      <c r="AL54" s="22">
        <f t="shared" si="4"/>
        <v>367.55861487745005</v>
      </c>
      <c r="AM54" s="62">
        <f t="shared" si="5"/>
        <v>660.89194821078331</v>
      </c>
      <c r="AN54" s="62">
        <f ca="1">AVERAGE(OFFSET($AM$3,0,0,'Données projet'!$E$10+1,1))-AVERAGE(OFFSET($H$3,0,0,'Données projet'!$E$10+1,1))</f>
        <v>411.98877330238821</v>
      </c>
      <c r="AO54" s="62">
        <f t="shared" si="36"/>
        <v>256.4377087753457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3.6</v>
      </c>
      <c r="BD54" s="13">
        <f>IF('Données projet'!$A$88&gt;35,BD53+BC54-BL53,IF(A54&lt;'Données projet'!$A$88,$BA$205^A54,IF(A54='Données projet'!$A$88,'Données projet'!$B$88,BD53+BC54-BL53)))</f>
        <v>119.59999999999997</v>
      </c>
      <c r="BE54" s="14">
        <f>BD54*VLOOKUP('Données projet'!$B$11,Paramètres!$A$1:$I$89,3,0)*VLOOKUP('Données projet'!$B$11,Paramètres!$A$1:$I$89,5,0)</f>
        <v>104.48255999999998</v>
      </c>
      <c r="BF54" s="14">
        <f t="shared" si="37"/>
        <v>28.02716504477474</v>
      </c>
      <c r="BG54" s="22">
        <f t="shared" si="7"/>
        <v>230.78777111964928</v>
      </c>
      <c r="BH54" s="62">
        <f t="shared" si="8"/>
        <v>524.12110445298254</v>
      </c>
      <c r="BI54" s="62">
        <f ca="1">AVERAGE(OFFSET($BH$3,0,0,'Données projet'!$E$11+1,1))-AVERAGE(OFFSET($H$3,0,0,'Données projet'!$E$11+1,1))</f>
        <v>195.30963433439501</v>
      </c>
      <c r="BJ54" s="62">
        <f t="shared" si="38"/>
        <v>185.00219255324504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9.4305799112753153E-3</v>
      </c>
      <c r="BS54" s="24">
        <f t="shared" si="9"/>
        <v>9.4305799112753153E-3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5.6</v>
      </c>
      <c r="BY54" s="13">
        <f>IF('Données projet'!$A$114&gt;35,BY53+BX54-CG53,IF(A54&lt;'Données projet'!$A$114,$BV$205^A54,IF(A54='Données projet'!$A$114,'Données projet'!$B$114,BY53+BX54-CG53)))</f>
        <v>112.59999999999995</v>
      </c>
      <c r="BZ54" s="14">
        <f>BY54*VLOOKUP('Données projet'!$B$12,Paramètres!$A$1:$I$89,3,0)*VLOOKUP('Données projet'!$B$12,Paramètres!$A$1:$I$89,5,0)</f>
        <v>108.90671999999995</v>
      </c>
      <c r="CA54" s="14">
        <f t="shared" si="39"/>
        <v>29.073249724487347</v>
      </c>
      <c r="CB54" s="22">
        <f t="shared" si="10"/>
        <v>240.31511393681535</v>
      </c>
      <c r="CC54" s="62">
        <f t="shared" si="11"/>
        <v>533.64844727014861</v>
      </c>
      <c r="CD54" s="62">
        <f ca="1">AVERAGE(OFFSET($CC$3,0,0,'Données projet'!$E$12+1,1))-AVERAGE(OFFSET($H$3,0,0,'Données projet'!$E$12+1,1))</f>
        <v>298.18906674058809</v>
      </c>
      <c r="CE54" s="62">
        <f t="shared" si="40"/>
        <v>154.08406475869634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1.9895196601282805E-13</v>
      </c>
      <c r="O55" s="14">
        <f>N55*VLOOKUP('Données projet'!$B$9,Paramètres!$A$1:$I$89,3,0)*VLOOKUP('Données projet'!$B$9,Paramètres!$A$1:$I$89,5,0)</f>
        <v>1.8001173884840681E-13</v>
      </c>
      <c r="P55" s="14">
        <f t="shared" si="33"/>
        <v>2.5254331426407198E-12</v>
      </c>
      <c r="Q55" s="22">
        <f t="shared" si="53"/>
        <v>4.7119831685935622E-12</v>
      </c>
      <c r="R55" s="62">
        <f t="shared" si="0"/>
        <v>293.33333333333803</v>
      </c>
      <c r="S55" s="62">
        <f ca="1">AVERAGE(OFFSET($R$3,0,0,'Données projet'!$E$9+1,1))-AVERAGE(OFFSET($H$3,0,0,'Données projet'!$E$9+1,1))</f>
        <v>302.6112905010138</v>
      </c>
      <c r="T55" s="62">
        <f t="shared" si="34"/>
        <v>423.44006663873375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1.2403269702060795</v>
      </c>
      <c r="AB55" s="23">
        <f>EXP(-LN(2)/2)*AB54+(1-EXP(-LN(2)/2))/(LN(2)/2)*V55*Y55*VLOOKUP('Données projet'!$B$9,Paramètres!$A$1:$I$89,3,0)*0.475*44/12</f>
        <v>3.0933174581220507E-3</v>
      </c>
      <c r="AC55" s="24">
        <f t="shared" si="3"/>
        <v>1.2434202876642015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174.00000000000006</v>
      </c>
      <c r="AJ55" s="14">
        <f>AI55*VLOOKUP('Données projet'!$B$10,Paramètres!$A$1:$I$89,3,0)*VLOOKUP('Données projet'!$B$10,Paramètres!$A$1:$I$89,5,0)</f>
        <v>176.43600000000006</v>
      </c>
      <c r="AK55" s="14">
        <f t="shared" si="35"/>
        <v>44.528341291050616</v>
      </c>
      <c r="AL55" s="22">
        <f t="shared" si="4"/>
        <v>384.84622774857991</v>
      </c>
      <c r="AM55" s="62">
        <f t="shared" si="5"/>
        <v>678.17956108191322</v>
      </c>
      <c r="AN55" s="62">
        <f ca="1">AVERAGE(OFFSET($AM$3,0,0,'Données projet'!$E$10+1,1))-AVERAGE(OFFSET($H$3,0,0,'Données projet'!$E$10+1,1))</f>
        <v>411.98877330238821</v>
      </c>
      <c r="AO55" s="62">
        <f t="shared" si="36"/>
        <v>256.4377087753457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3.6</v>
      </c>
      <c r="BD55" s="13">
        <f>IF('Données projet'!$A$88&gt;35,BD54+BC55-BL54,IF(A55&lt;'Données projet'!$A$88,$BA$205^A55,IF(A55='Données projet'!$A$88,'Données projet'!$B$88,BD54+BC55-BL54)))</f>
        <v>123.19999999999996</v>
      </c>
      <c r="BE55" s="14">
        <f>BD55*VLOOKUP('Données projet'!$B$11,Paramètres!$A$1:$I$89,3,0)*VLOOKUP('Données projet'!$B$11,Paramètres!$A$1:$I$89,5,0)</f>
        <v>107.62751999999999</v>
      </c>
      <c r="BF55" s="14">
        <f t="shared" si="37"/>
        <v>28.771302425776422</v>
      </c>
      <c r="BG55" s="22">
        <f t="shared" si="7"/>
        <v>237.56128239156058</v>
      </c>
      <c r="BH55" s="62">
        <f t="shared" si="8"/>
        <v>530.89461572489392</v>
      </c>
      <c r="BI55" s="62">
        <f ca="1">AVERAGE(OFFSET($BH$3,0,0,'Données projet'!$E$11+1,1))-AVERAGE(OFFSET($H$3,0,0,'Données projet'!$E$11+1,1))</f>
        <v>195.30963433439501</v>
      </c>
      <c r="BJ55" s="62">
        <f t="shared" si="38"/>
        <v>185.00219255324504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6.6684270057844053E-3</v>
      </c>
      <c r="BS55" s="24">
        <f t="shared" si="9"/>
        <v>6.6684270057844053E-3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5.6</v>
      </c>
      <c r="BY55" s="13">
        <f>IF('Données projet'!$A$114&gt;35,BY54+BX55-CG54,IF(A55&lt;'Données projet'!$A$114,$BV$205^A55,IF(A55='Données projet'!$A$114,'Données projet'!$B$114,BY54+BX55-CG54)))</f>
        <v>118.19999999999995</v>
      </c>
      <c r="BZ55" s="14">
        <f>BY55*VLOOKUP('Données projet'!$B$12,Paramètres!$A$1:$I$89,3,0)*VLOOKUP('Données projet'!$B$12,Paramètres!$A$1:$I$89,5,0)</f>
        <v>114.32303999999995</v>
      </c>
      <c r="CA55" s="14">
        <f t="shared" si="39"/>
        <v>30.347230203330305</v>
      </c>
      <c r="CB55" s="22">
        <f t="shared" si="10"/>
        <v>251.96738727080017</v>
      </c>
      <c r="CC55" s="62">
        <f t="shared" si="11"/>
        <v>545.30072060413352</v>
      </c>
      <c r="CD55" s="62">
        <f ca="1">AVERAGE(OFFSET($CC$3,0,0,'Données projet'!$E$12+1,1))-AVERAGE(OFFSET($H$3,0,0,'Données projet'!$E$12+1,1))</f>
        <v>298.18906674058809</v>
      </c>
      <c r="CE55" s="62">
        <f t="shared" si="40"/>
        <v>154.08406475869634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1.9895196601282805E-13</v>
      </c>
      <c r="O56" s="14">
        <f>N56*VLOOKUP('Données projet'!$B$9,Paramètres!$A$1:$I$89,3,0)*VLOOKUP('Données projet'!$B$9,Paramètres!$A$1:$I$89,5,0)</f>
        <v>1.8001173884840681E-13</v>
      </c>
      <c r="P56" s="14">
        <f t="shared" si="33"/>
        <v>2.5254331426407198E-12</v>
      </c>
      <c r="Q56" s="22">
        <f t="shared" si="53"/>
        <v>4.7119831685935622E-12</v>
      </c>
      <c r="R56" s="62">
        <f t="shared" si="0"/>
        <v>293.33333333333803</v>
      </c>
      <c r="S56" s="62">
        <f ca="1">AVERAGE(OFFSET($R$3,0,0,'Données projet'!$E$9+1,1))-AVERAGE(OFFSET($H$3,0,0,'Données projet'!$E$9+1,1))</f>
        <v>302.6112905010138</v>
      </c>
      <c r="T56" s="62">
        <f t="shared" si="34"/>
        <v>423.44006663873375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1.2064101639798337</v>
      </c>
      <c r="AB56" s="23">
        <f>EXP(-LN(2)/2)*AB55+(1-EXP(-LN(2)/2))/(LN(2)/2)*V56*Y56*VLOOKUP('Données projet'!$B$9,Paramètres!$A$1:$I$89,3,0)*0.475*44/12</f>
        <v>2.1873057510008362E-3</v>
      </c>
      <c r="AC56" s="24">
        <f t="shared" si="3"/>
        <v>1.2085974697308346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182.00000000000006</v>
      </c>
      <c r="AJ56" s="14">
        <f>AI56*VLOOKUP('Données projet'!$B$10,Paramètres!$A$1:$I$89,3,0)*VLOOKUP('Données projet'!$B$10,Paramètres!$A$1:$I$89,5,0)</f>
        <v>184.54800000000006</v>
      </c>
      <c r="AK56" s="14">
        <f t="shared" si="35"/>
        <v>46.332558240871698</v>
      </c>
      <c r="AL56" s="22">
        <f t="shared" si="4"/>
        <v>402.11697226951833</v>
      </c>
      <c r="AM56" s="62">
        <f t="shared" si="5"/>
        <v>695.45030560285159</v>
      </c>
      <c r="AN56" s="62">
        <f ca="1">AVERAGE(OFFSET($AM$3,0,0,'Données projet'!$E$10+1,1))-AVERAGE(OFFSET($H$3,0,0,'Données projet'!$E$10+1,1))</f>
        <v>411.98877330238821</v>
      </c>
      <c r="AO56" s="62">
        <f t="shared" si="36"/>
        <v>256.4377087753457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3.6</v>
      </c>
      <c r="BD56" s="13">
        <f>IF('Données projet'!$A$88&gt;35,BD55+BC56-BL55,IF(A56&lt;'Données projet'!$A$88,$BA$205^A56,IF(A56='Données projet'!$A$88,'Données projet'!$B$88,BD55+BC56-BL55)))</f>
        <v>126.79999999999995</v>
      </c>
      <c r="BE56" s="14">
        <f>BD56*VLOOKUP('Données projet'!$B$11,Paramètres!$A$1:$I$89,3,0)*VLOOKUP('Données projet'!$B$11,Paramètres!$A$1:$I$89,5,0)</f>
        <v>110.77247999999997</v>
      </c>
      <c r="BF56" s="14">
        <f t="shared" si="37"/>
        <v>29.512912692801613</v>
      </c>
      <c r="BG56" s="22">
        <f t="shared" si="7"/>
        <v>244.3303922732961</v>
      </c>
      <c r="BH56" s="62">
        <f t="shared" si="8"/>
        <v>537.66372560662944</v>
      </c>
      <c r="BI56" s="62">
        <f ca="1">AVERAGE(OFFSET($BH$3,0,0,'Données projet'!$E$11+1,1))-AVERAGE(OFFSET($H$3,0,0,'Données projet'!$E$11+1,1))</f>
        <v>195.30963433439501</v>
      </c>
      <c r="BJ56" s="62">
        <f t="shared" si="38"/>
        <v>185.00219255324504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4.7152899556376577E-3</v>
      </c>
      <c r="BS56" s="24">
        <f t="shared" si="9"/>
        <v>4.7152899556376577E-3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5.6</v>
      </c>
      <c r="BY56" s="13">
        <f>IF('Données projet'!$A$114&gt;35,BY55+BX56-CG55,IF(A56&lt;'Données projet'!$A$114,$BV$205^A56,IF(A56='Données projet'!$A$114,'Données projet'!$B$114,BY55+BX56-CG55)))</f>
        <v>123.79999999999994</v>
      </c>
      <c r="BZ56" s="14">
        <f>BY56*VLOOKUP('Données projet'!$B$12,Paramètres!$A$1:$I$89,3,0)*VLOOKUP('Données projet'!$B$12,Paramètres!$A$1:$I$89,5,0)</f>
        <v>119.73935999999993</v>
      </c>
      <c r="CA56" s="14">
        <f t="shared" si="39"/>
        <v>31.614201603611228</v>
      </c>
      <c r="CB56" s="22">
        <f t="shared" si="10"/>
        <v>263.60745312628939</v>
      </c>
      <c r="CC56" s="62">
        <f t="shared" si="11"/>
        <v>556.9407864596227</v>
      </c>
      <c r="CD56" s="62">
        <f ca="1">AVERAGE(OFFSET($CC$3,0,0,'Données projet'!$E$12+1,1))-AVERAGE(OFFSET($H$3,0,0,'Données projet'!$E$12+1,1))</f>
        <v>298.18906674058809</v>
      </c>
      <c r="CE56" s="62">
        <f t="shared" si="40"/>
        <v>154.08406475869634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1.9895196601282805E-13</v>
      </c>
      <c r="O57" s="14">
        <f>N57*VLOOKUP('Données projet'!$B$9,Paramètres!$A$1:$I$89,3,0)*VLOOKUP('Données projet'!$B$9,Paramètres!$A$1:$I$89,5,0)</f>
        <v>1.8001173884840681E-13</v>
      </c>
      <c r="P57" s="14">
        <f t="shared" si="33"/>
        <v>2.5254331426407198E-12</v>
      </c>
      <c r="Q57" s="22">
        <f t="shared" si="53"/>
        <v>4.7119831685935622E-12</v>
      </c>
      <c r="R57" s="62">
        <f t="shared" si="0"/>
        <v>293.33333333333803</v>
      </c>
      <c r="S57" s="62">
        <f ca="1">AVERAGE(OFFSET($R$3,0,0,'Données projet'!$E$9+1,1))-AVERAGE(OFFSET($H$3,0,0,'Données projet'!$E$9+1,1))</f>
        <v>302.6112905010138</v>
      </c>
      <c r="T57" s="62">
        <f t="shared" si="34"/>
        <v>423.44006663873375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1.1734208146034519</v>
      </c>
      <c r="AB57" s="23">
        <f>EXP(-LN(2)/2)*AB56+(1-EXP(-LN(2)/2))/(LN(2)/2)*V57*Y57*VLOOKUP('Données projet'!$B$9,Paramètres!$A$1:$I$89,3,0)*0.475*44/12</f>
        <v>1.5466587290610253E-3</v>
      </c>
      <c r="AC57" s="24">
        <f t="shared" si="3"/>
        <v>1.1749674733325131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190.00000000000006</v>
      </c>
      <c r="AJ57" s="14">
        <f>AI57*VLOOKUP('Données projet'!$B$10,Paramètres!$A$1:$I$89,3,0)*VLOOKUP('Données projet'!$B$10,Paramètres!$A$1:$I$89,5,0)</f>
        <v>192.66000000000008</v>
      </c>
      <c r="AK57" s="14">
        <f t="shared" si="35"/>
        <v>48.127564387788738</v>
      </c>
      <c r="AL57" s="22">
        <f t="shared" si="4"/>
        <v>419.3716746420655</v>
      </c>
      <c r="AM57" s="62">
        <f t="shared" si="5"/>
        <v>712.70500797539876</v>
      </c>
      <c r="AN57" s="62">
        <f ca="1">AVERAGE(OFFSET($AM$3,0,0,'Données projet'!$E$10+1,1))-AVERAGE(OFFSET($H$3,0,0,'Données projet'!$E$10+1,1))</f>
        <v>411.98877330238821</v>
      </c>
      <c r="AO57" s="62">
        <f t="shared" si="36"/>
        <v>256.4377087753457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3.6</v>
      </c>
      <c r="BD57" s="13">
        <f>IF('Données projet'!$A$88&gt;35,BD56+BC57-BL56,IF(A57&lt;'Données projet'!$A$88,$BA$205^A57,IF(A57='Données projet'!$A$88,'Données projet'!$B$88,BD56+BC57-BL56)))</f>
        <v>130.39999999999995</v>
      </c>
      <c r="BE57" s="14">
        <f>BD57*VLOOKUP('Données projet'!$B$11,Paramètres!$A$1:$I$89,3,0)*VLOOKUP('Données projet'!$B$11,Paramètres!$A$1:$I$89,5,0)</f>
        <v>113.91743999999996</v>
      </c>
      <c r="BF57" s="14">
        <f t="shared" si="37"/>
        <v>30.252075834566813</v>
      </c>
      <c r="BG57" s="22">
        <f t="shared" si="7"/>
        <v>251.0952400785371</v>
      </c>
      <c r="BH57" s="62">
        <f t="shared" si="8"/>
        <v>544.42857341187039</v>
      </c>
      <c r="BI57" s="62">
        <f ca="1">AVERAGE(OFFSET($BH$3,0,0,'Données projet'!$E$11+1,1))-AVERAGE(OFFSET($H$3,0,0,'Données projet'!$E$11+1,1))</f>
        <v>195.30963433439501</v>
      </c>
      <c r="BJ57" s="62">
        <f t="shared" si="38"/>
        <v>185.00219255324504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3.3342135028922026E-3</v>
      </c>
      <c r="BS57" s="24">
        <f t="shared" si="9"/>
        <v>3.3342135028922026E-3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5.6</v>
      </c>
      <c r="BY57" s="13">
        <f>IF('Données projet'!$A$114&gt;35,BY56+BX57-CG56,IF(A57&lt;'Données projet'!$A$114,$BV$205^A57,IF(A57='Données projet'!$A$114,'Données projet'!$B$114,BY56+BX57-CG56)))</f>
        <v>129.39999999999995</v>
      </c>
      <c r="BZ57" s="14">
        <f>BY57*VLOOKUP('Données projet'!$B$12,Paramètres!$A$1:$I$89,3,0)*VLOOKUP('Données projet'!$B$12,Paramètres!$A$1:$I$89,5,0)</f>
        <v>125.15567999999995</v>
      </c>
      <c r="CA57" s="14">
        <f t="shared" si="39"/>
        <v>32.874517196353331</v>
      </c>
      <c r="CB57" s="22">
        <f t="shared" si="10"/>
        <v>275.23592678364861</v>
      </c>
      <c r="CC57" s="62">
        <f t="shared" si="11"/>
        <v>568.56926011698192</v>
      </c>
      <c r="CD57" s="62">
        <f ca="1">AVERAGE(OFFSET($CC$3,0,0,'Données projet'!$E$12+1,1))-AVERAGE(OFFSET($H$3,0,0,'Données projet'!$E$12+1,1))</f>
        <v>298.18906674058809</v>
      </c>
      <c r="CE57" s="62">
        <f t="shared" si="40"/>
        <v>154.08406475869634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1.9895196601282805E-13</v>
      </c>
      <c r="O58" s="14">
        <f>N58*VLOOKUP('Données projet'!$B$9,Paramètres!$A$1:$I$89,3,0)*VLOOKUP('Données projet'!$B$9,Paramètres!$A$1:$I$89,5,0)</f>
        <v>1.8001173884840681E-13</v>
      </c>
      <c r="P58" s="14">
        <f t="shared" si="33"/>
        <v>2.5254331426407198E-12</v>
      </c>
      <c r="Q58" s="22">
        <f t="shared" si="53"/>
        <v>4.7119831685935622E-12</v>
      </c>
      <c r="R58" s="62">
        <f t="shared" si="0"/>
        <v>293.33333333333803</v>
      </c>
      <c r="S58" s="62">
        <f ca="1">AVERAGE(OFFSET($R$3,0,0,'Données projet'!$E$9+1,1))-AVERAGE(OFFSET($H$3,0,0,'Données projet'!$E$9+1,1))</f>
        <v>302.6112905010138</v>
      </c>
      <c r="T58" s="62">
        <f t="shared" si="34"/>
        <v>423.44006663873375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1.1413335607206019</v>
      </c>
      <c r="AB58" s="23">
        <f>EXP(-LN(2)/2)*AB57+(1-EXP(-LN(2)/2))/(LN(2)/2)*V58*Y58*VLOOKUP('Données projet'!$B$9,Paramètres!$A$1:$I$89,3,0)*0.475*44/12</f>
        <v>1.0936528755004181E-3</v>
      </c>
      <c r="AC58" s="24">
        <f t="shared" si="3"/>
        <v>1.1424272135961022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198.00000000000006</v>
      </c>
      <c r="AJ58" s="14">
        <f>AI58*VLOOKUP('Données projet'!$B$10,Paramètres!$A$1:$I$89,3,0)*VLOOKUP('Données projet'!$B$10,Paramètres!$A$1:$I$89,5,0)</f>
        <v>200.77200000000008</v>
      </c>
      <c r="AK58" s="14">
        <f t="shared" si="35"/>
        <v>49.913791898945412</v>
      </c>
      <c r="AL58" s="22">
        <f t="shared" si="4"/>
        <v>436.61108755732999</v>
      </c>
      <c r="AM58" s="62">
        <f t="shared" si="5"/>
        <v>729.94442089066331</v>
      </c>
      <c r="AN58" s="62">
        <f ca="1">AVERAGE(OFFSET($AM$3,0,0,'Données projet'!$E$10+1,1))-AVERAGE(OFFSET($H$3,0,0,'Données projet'!$E$10+1,1))</f>
        <v>411.98877330238821</v>
      </c>
      <c r="AO58" s="62">
        <f t="shared" si="36"/>
        <v>256.4377087753457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134</v>
      </c>
      <c r="BB58" s="13">
        <f>VLOOKUP(A58,'Données projet'!$A$87:$I$107,9,0)</f>
        <v>3.6</v>
      </c>
      <c r="BC58" s="13">
        <f t="array" ref="BC58">INDEX(BB:BB,MIN(IF(ISNUMBER(BB58:BB254),ROW(BB58:BB254),"")))</f>
        <v>3.6</v>
      </c>
      <c r="BD58" s="13">
        <f>IF('Données projet'!$A$88&gt;35,BD57+BC58-BL57,IF(A58&lt;'Données projet'!$A$88,$BA$205^A58,IF(A58='Données projet'!$A$88,'Données projet'!$B$88,BD57+BC58-BL57)))</f>
        <v>133.99999999999994</v>
      </c>
      <c r="BE58" s="14">
        <f>BD58*VLOOKUP('Données projet'!$B$11,Paramètres!$A$1:$I$89,3,0)*VLOOKUP('Données projet'!$B$11,Paramètres!$A$1:$I$89,5,0)</f>
        <v>117.06239999999997</v>
      </c>
      <c r="BF58" s="14">
        <f t="shared" si="37"/>
        <v>30.988867171899123</v>
      </c>
      <c r="BG58" s="22">
        <f t="shared" si="7"/>
        <v>257.85595699105755</v>
      </c>
      <c r="BH58" s="62">
        <f t="shared" si="8"/>
        <v>551.18929032439087</v>
      </c>
      <c r="BI58" s="62">
        <f ca="1">AVERAGE(OFFSET($BH$3,0,0,'Données projet'!$E$11+1,1))-AVERAGE(OFFSET($H$3,0,0,'Données projet'!$E$11+1,1))</f>
        <v>195.30963433439501</v>
      </c>
      <c r="BJ58" s="62">
        <f t="shared" si="38"/>
        <v>185.00219255324504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9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2.3576449778188288E-3</v>
      </c>
      <c r="BS58" s="24">
        <f t="shared" si="9"/>
        <v>2.3576449778188288E-3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135</v>
      </c>
      <c r="BW58" s="13">
        <f>VLOOKUP(A58,'Données projet'!$A$113:$I$133,9,0)</f>
        <v>5.6</v>
      </c>
      <c r="BX58" s="13">
        <f t="array" ref="BX58">INDEX(BW:BW,MIN(IF(ISNUMBER(BW58:BW254),ROW(BW58:BW254),"")))</f>
        <v>5.6</v>
      </c>
      <c r="BY58" s="13">
        <f>IF('Données projet'!$A$114&gt;35,BY57+BX58-CG57,IF(A58&lt;'Données projet'!$A$114,$BV$205^A58,IF(A58='Données projet'!$A$114,'Données projet'!$B$114,BY57+BX58-CG57)))</f>
        <v>134.99999999999994</v>
      </c>
      <c r="BZ58" s="14">
        <f>BY58*VLOOKUP('Données projet'!$B$12,Paramètres!$A$1:$I$89,3,0)*VLOOKUP('Données projet'!$B$12,Paramètres!$A$1:$I$89,5,0)</f>
        <v>130.57199999999995</v>
      </c>
      <c r="CA58" s="14">
        <f t="shared" si="39"/>
        <v>34.12849794659828</v>
      </c>
      <c r="CB58" s="22">
        <f t="shared" si="10"/>
        <v>286.85336725699193</v>
      </c>
      <c r="CC58" s="62">
        <f t="shared" si="11"/>
        <v>580.18670059032524</v>
      </c>
      <c r="CD58" s="62">
        <f ca="1">AVERAGE(OFFSET($CC$3,0,0,'Données projet'!$E$12+1,1))-AVERAGE(OFFSET($H$3,0,0,'Données projet'!$E$12+1,1))</f>
        <v>298.18906674058809</v>
      </c>
      <c r="CE58" s="62">
        <f t="shared" si="40"/>
        <v>154.08406475869634</v>
      </c>
      <c r="CF58" s="16">
        <f>IF(ISNA(VLOOKUP(A58,'Données projet'!$A$113:$I$133,3,0)),0,VLOOKUP(A58,'Données projet'!$A$113:$I$133,3,0))</f>
        <v>7</v>
      </c>
      <c r="CG58" s="16">
        <f>IF(ISNA(VLOOKUP(A58,'Données projet'!$A$113:$I$133,4,0)),0,VLOOKUP(A58,'Données projet'!$A$113:$I$133,4,0))</f>
        <v>14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1.9895196601282805E-13</v>
      </c>
      <c r="O59" s="14">
        <f>N59*VLOOKUP('Données projet'!$B$9,Paramètres!$A$1:$I$89,3,0)*VLOOKUP('Données projet'!$B$9,Paramètres!$A$1:$I$89,5,0)</f>
        <v>1.8001173884840681E-13</v>
      </c>
      <c r="P59" s="14">
        <f t="shared" si="33"/>
        <v>2.5254331426407198E-12</v>
      </c>
      <c r="Q59" s="22">
        <f t="shared" si="53"/>
        <v>4.7119831685935622E-12</v>
      </c>
      <c r="R59" s="62">
        <f t="shared" si="0"/>
        <v>293.33333333333803</v>
      </c>
      <c r="S59" s="62">
        <f ca="1">AVERAGE(OFFSET($R$3,0,0,'Données projet'!$E$9+1,1))-AVERAGE(OFFSET($H$3,0,0,'Données projet'!$E$9+1,1))</f>
        <v>302.6112905010138</v>
      </c>
      <c r="T59" s="62">
        <f t="shared" si="34"/>
        <v>423.44006663873375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1.1101237344825736</v>
      </c>
      <c r="AB59" s="23">
        <f>EXP(-LN(2)/2)*AB58+(1-EXP(-LN(2)/2))/(LN(2)/2)*V59*Y59*VLOOKUP('Données projet'!$B$9,Paramètres!$A$1:$I$89,3,0)*0.475*44/12</f>
        <v>7.7332936453051266E-4</v>
      </c>
      <c r="AC59" s="24">
        <f t="shared" si="3"/>
        <v>1.1108970638471041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7.4</v>
      </c>
      <c r="AI59" s="14">
        <f>IF('Données projet'!$A$62&gt;35,AI58+AH59-AQ58,IF(A59&lt;'Données projet'!$A$62,$AF$205^A59,IF(A59='Données projet'!$A$62,'Données projet'!$B$62,AI58+AH59-AQ58)))</f>
        <v>184.40000000000006</v>
      </c>
      <c r="AJ59" s="14">
        <f>AI59*VLOOKUP('Données projet'!$B$10,Paramètres!$A$1:$I$89,3,0)*VLOOKUP('Données projet'!$B$10,Paramètres!$A$1:$I$89,5,0)</f>
        <v>186.98160000000007</v>
      </c>
      <c r="AK59" s="14">
        <f t="shared" si="35"/>
        <v>46.872006790472248</v>
      </c>
      <c r="AL59" s="22">
        <f t="shared" si="4"/>
        <v>407.29503182673926</v>
      </c>
      <c r="AM59" s="62">
        <f t="shared" si="5"/>
        <v>700.62836516007258</v>
      </c>
      <c r="AN59" s="62">
        <f ca="1">AVERAGE(OFFSET($AM$3,0,0,'Données projet'!$E$10+1,1))-AVERAGE(OFFSET($H$3,0,0,'Données projet'!$E$10+1,1))</f>
        <v>411.98877330238821</v>
      </c>
      <c r="AO59" s="62">
        <f t="shared" si="36"/>
        <v>256.4377087753457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3</v>
      </c>
      <c r="BD59" s="13">
        <f>IF('Données projet'!$A$88&gt;35,BD58+BC59-BL58,IF(A59&lt;'Données projet'!$A$88,$BA$205^A59,IF(A59='Données projet'!$A$88,'Données projet'!$B$88,BD58+BC59-BL58)))</f>
        <v>127.99999999999994</v>
      </c>
      <c r="BE59" s="14">
        <f>BD59*VLOOKUP('Données projet'!$B$11,Paramètres!$A$1:$I$89,3,0)*VLOOKUP('Données projet'!$B$11,Paramètres!$A$1:$I$89,5,0)</f>
        <v>111.82079999999998</v>
      </c>
      <c r="BF59" s="14">
        <f t="shared" si="37"/>
        <v>29.759568497877257</v>
      </c>
      <c r="BG59" s="22">
        <f t="shared" si="7"/>
        <v>246.58580846713619</v>
      </c>
      <c r="BH59" s="62">
        <f t="shared" si="8"/>
        <v>539.91914180046956</v>
      </c>
      <c r="BI59" s="62">
        <f ca="1">AVERAGE(OFFSET($BH$3,0,0,'Données projet'!$E$11+1,1))-AVERAGE(OFFSET($H$3,0,0,'Données projet'!$E$11+1,1))</f>
        <v>195.30963433439501</v>
      </c>
      <c r="BJ59" s="62">
        <f t="shared" si="38"/>
        <v>185.00219255324504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1.6671067514461013E-3</v>
      </c>
      <c r="BS59" s="24">
        <f t="shared" si="9"/>
        <v>1.6671067514461013E-3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5.6</v>
      </c>
      <c r="BY59" s="13">
        <f>IF('Données projet'!$A$114&gt;35,BY58+BX59-CG58,IF(A59&lt;'Données projet'!$A$114,$BV$205^A59,IF(A59='Données projet'!$A$114,'Données projet'!$B$114,BY58+BX59-CG58)))</f>
        <v>126.59999999999994</v>
      </c>
      <c r="BZ59" s="14">
        <f>BY59*VLOOKUP('Données projet'!$B$12,Paramètres!$A$1:$I$89,3,0)*VLOOKUP('Données projet'!$B$12,Paramètres!$A$1:$I$89,5,0)</f>
        <v>122.44751999999994</v>
      </c>
      <c r="CA59" s="14">
        <f t="shared" si="39"/>
        <v>32.245170611031256</v>
      </c>
      <c r="CB59" s="22">
        <f t="shared" si="10"/>
        <v>269.42310281421265</v>
      </c>
      <c r="CC59" s="62">
        <f t="shared" si="11"/>
        <v>562.75643614754597</v>
      </c>
      <c r="CD59" s="62">
        <f ca="1">AVERAGE(OFFSET($CC$3,0,0,'Données projet'!$E$12+1,1))-AVERAGE(OFFSET($H$3,0,0,'Données projet'!$E$12+1,1))</f>
        <v>298.18906674058809</v>
      </c>
      <c r="CE59" s="62">
        <f t="shared" si="40"/>
        <v>154.08406475869634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1.9895196601282805E-13</v>
      </c>
      <c r="O60" s="14">
        <f>N60*VLOOKUP('Données projet'!$B$9,Paramètres!$A$1:$I$89,3,0)*VLOOKUP('Données projet'!$B$9,Paramètres!$A$1:$I$89,5,0)</f>
        <v>1.8001173884840681E-13</v>
      </c>
      <c r="P60" s="14">
        <f t="shared" si="33"/>
        <v>2.5254331426407198E-12</v>
      </c>
      <c r="Q60" s="22">
        <f t="shared" si="53"/>
        <v>4.7119831685935622E-12</v>
      </c>
      <c r="R60" s="62">
        <f t="shared" si="0"/>
        <v>293.33333333333803</v>
      </c>
      <c r="S60" s="62">
        <f ca="1">AVERAGE(OFFSET($R$3,0,0,'Données projet'!$E$9+1,1))-AVERAGE(OFFSET($H$3,0,0,'Données projet'!$E$9+1,1))</f>
        <v>302.6112905010138</v>
      </c>
      <c r="T60" s="62">
        <f t="shared" si="34"/>
        <v>423.44006663873375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1.0797673425842778</v>
      </c>
      <c r="AB60" s="23">
        <f>EXP(-LN(2)/2)*AB59+(1-EXP(-LN(2)/2))/(LN(2)/2)*V60*Y60*VLOOKUP('Données projet'!$B$9,Paramètres!$A$1:$I$89,3,0)*0.475*44/12</f>
        <v>5.4682643775020906E-4</v>
      </c>
      <c r="AC60" s="24">
        <f t="shared" si="3"/>
        <v>1.0803141690220279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7.4</v>
      </c>
      <c r="AI60" s="14">
        <f>IF('Données projet'!$A$62&gt;35,AI59+AH60-AQ59,IF(A60&lt;'Données projet'!$A$62,$AF$205^A60,IF(A60='Données projet'!$A$62,'Données projet'!$B$62,AI59+AH60-AQ59)))</f>
        <v>191.80000000000007</v>
      </c>
      <c r="AJ60" s="14">
        <f>AI60*VLOOKUP('Données projet'!$B$10,Paramètres!$A$1:$I$89,3,0)*VLOOKUP('Données projet'!$B$10,Paramètres!$A$1:$I$89,5,0)</f>
        <v>194.48520000000008</v>
      </c>
      <c r="AK60" s="14">
        <f t="shared" si="35"/>
        <v>48.530216343846071</v>
      </c>
      <c r="AL60" s="22">
        <f t="shared" si="4"/>
        <v>423.25185013219863</v>
      </c>
      <c r="AM60" s="62">
        <f t="shared" si="5"/>
        <v>716.58518346553194</v>
      </c>
      <c r="AN60" s="62">
        <f ca="1">AVERAGE(OFFSET($AM$3,0,0,'Données projet'!$E$10+1,1))-AVERAGE(OFFSET($H$3,0,0,'Données projet'!$E$10+1,1))</f>
        <v>411.98877330238821</v>
      </c>
      <c r="AO60" s="62">
        <f t="shared" si="36"/>
        <v>256.4377087753457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3</v>
      </c>
      <c r="BD60" s="13">
        <f>IF('Données projet'!$A$88&gt;35,BD59+BC60-BL59,IF(A60&lt;'Données projet'!$A$88,$BA$205^A60,IF(A60='Données projet'!$A$88,'Données projet'!$B$88,BD59+BC60-BL59)))</f>
        <v>130.99999999999994</v>
      </c>
      <c r="BE60" s="14">
        <f>BD60*VLOOKUP('Données projet'!$B$11,Paramètres!$A$1:$I$89,3,0)*VLOOKUP('Données projet'!$B$11,Paramètres!$A$1:$I$89,5,0)</f>
        <v>114.44159999999997</v>
      </c>
      <c r="BF60" s="14">
        <f t="shared" si="37"/>
        <v>30.375037129843719</v>
      </c>
      <c r="BG60" s="22">
        <f t="shared" si="7"/>
        <v>252.22230966781112</v>
      </c>
      <c r="BH60" s="62">
        <f t="shared" si="8"/>
        <v>545.5556430011444</v>
      </c>
      <c r="BI60" s="62">
        <f ca="1">AVERAGE(OFFSET($BH$3,0,0,'Données projet'!$E$11+1,1))-AVERAGE(OFFSET($H$3,0,0,'Données projet'!$E$11+1,1))</f>
        <v>195.30963433439501</v>
      </c>
      <c r="BJ60" s="62">
        <f t="shared" si="38"/>
        <v>185.00219255324504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1.1788224889094144E-3</v>
      </c>
      <c r="BS60" s="24">
        <f t="shared" si="9"/>
        <v>1.1788224889094144E-3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5.6</v>
      </c>
      <c r="BY60" s="13">
        <f>IF('Données projet'!$A$114&gt;35,BY59+BX60-CG59,IF(A60&lt;'Données projet'!$A$114,$BV$205^A60,IF(A60='Données projet'!$A$114,'Données projet'!$B$114,BY59+BX60-CG59)))</f>
        <v>132.19999999999993</v>
      </c>
      <c r="BZ60" s="14">
        <f>BY60*VLOOKUP('Données projet'!$B$12,Paramètres!$A$1:$I$89,3,0)*VLOOKUP('Données projet'!$B$12,Paramètres!$A$1:$I$89,5,0)</f>
        <v>127.86383999999994</v>
      </c>
      <c r="CA60" s="14">
        <f t="shared" si="39"/>
        <v>33.502280509335172</v>
      </c>
      <c r="CB60" s="22">
        <f t="shared" si="10"/>
        <v>281.04599322042526</v>
      </c>
      <c r="CC60" s="62">
        <f t="shared" si="11"/>
        <v>574.37932655375857</v>
      </c>
      <c r="CD60" s="62">
        <f ca="1">AVERAGE(OFFSET($CC$3,0,0,'Données projet'!$E$12+1,1))-AVERAGE(OFFSET($H$3,0,0,'Données projet'!$E$12+1,1))</f>
        <v>298.18906674058809</v>
      </c>
      <c r="CE60" s="62">
        <f t="shared" si="40"/>
        <v>154.08406475869634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1.9895196601282805E-13</v>
      </c>
      <c r="O61" s="14">
        <f>N61*VLOOKUP('Données projet'!$B$9,Paramètres!$A$1:$I$89,3,0)*VLOOKUP('Données projet'!$B$9,Paramètres!$A$1:$I$89,5,0)</f>
        <v>1.8001173884840681E-13</v>
      </c>
      <c r="P61" s="14">
        <f t="shared" si="33"/>
        <v>2.5254331426407198E-12</v>
      </c>
      <c r="Q61" s="22">
        <f t="shared" si="53"/>
        <v>4.7119831685935622E-12</v>
      </c>
      <c r="R61" s="62">
        <f t="shared" si="0"/>
        <v>293.33333333333803</v>
      </c>
      <c r="S61" s="62">
        <f ca="1">AVERAGE(OFFSET($R$3,0,0,'Données projet'!$E$9+1,1))-AVERAGE(OFFSET($H$3,0,0,'Données projet'!$E$9+1,1))</f>
        <v>302.6112905010138</v>
      </c>
      <c r="T61" s="62">
        <f t="shared" si="34"/>
        <v>423.44006663873375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1.050241047818814</v>
      </c>
      <c r="AB61" s="23">
        <f>EXP(-LN(2)/2)*AB60+(1-EXP(-LN(2)/2))/(LN(2)/2)*V61*Y61*VLOOKUP('Données projet'!$B$9,Paramètres!$A$1:$I$89,3,0)*0.475*44/12</f>
        <v>3.8666468226525633E-4</v>
      </c>
      <c r="AC61" s="24">
        <f t="shared" si="3"/>
        <v>1.0506277125010792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7.4</v>
      </c>
      <c r="AI61" s="14">
        <f>IF('Données projet'!$A$62&gt;35,AI60+AH61-AQ60,IF(A61&lt;'Données projet'!$A$62,$AF$205^A61,IF(A61='Données projet'!$A$62,'Données projet'!$B$62,AI60+AH61-AQ60)))</f>
        <v>199.20000000000007</v>
      </c>
      <c r="AJ61" s="14">
        <f>AI61*VLOOKUP('Données projet'!$B$10,Paramètres!$A$1:$I$89,3,0)*VLOOKUP('Données projet'!$B$10,Paramètres!$A$1:$I$89,5,0)</f>
        <v>201.98880000000008</v>
      </c>
      <c r="AK61" s="14">
        <f t="shared" si="35"/>
        <v>50.18099374666096</v>
      </c>
      <c r="AL61" s="22">
        <f t="shared" si="4"/>
        <v>439.19572410876793</v>
      </c>
      <c r="AM61" s="62">
        <f t="shared" si="5"/>
        <v>732.52905744210125</v>
      </c>
      <c r="AN61" s="62">
        <f ca="1">AVERAGE(OFFSET($AM$3,0,0,'Données projet'!$E$10+1,1))-AVERAGE(OFFSET($H$3,0,0,'Données projet'!$E$10+1,1))</f>
        <v>411.98877330238821</v>
      </c>
      <c r="AO61" s="62">
        <f t="shared" si="36"/>
        <v>256.4377087753457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3</v>
      </c>
      <c r="BD61" s="13">
        <f>IF('Données projet'!$A$88&gt;35,BD60+BC61-BL60,IF(A61&lt;'Données projet'!$A$88,$BA$205^A61,IF(A61='Données projet'!$A$88,'Données projet'!$B$88,BD60+BC61-BL60)))</f>
        <v>133.99999999999994</v>
      </c>
      <c r="BE61" s="14">
        <f>BD61*VLOOKUP('Données projet'!$B$11,Paramètres!$A$1:$I$89,3,0)*VLOOKUP('Données projet'!$B$11,Paramètres!$A$1:$I$89,5,0)</f>
        <v>117.06239999999997</v>
      </c>
      <c r="BF61" s="14">
        <f t="shared" si="37"/>
        <v>30.988867171899123</v>
      </c>
      <c r="BG61" s="22">
        <f t="shared" si="7"/>
        <v>257.85595699105755</v>
      </c>
      <c r="BH61" s="62">
        <f t="shared" si="8"/>
        <v>551.18929032439087</v>
      </c>
      <c r="BI61" s="62">
        <f ca="1">AVERAGE(OFFSET($BH$3,0,0,'Données projet'!$E$11+1,1))-AVERAGE(OFFSET($H$3,0,0,'Données projet'!$E$11+1,1))</f>
        <v>195.30963433439501</v>
      </c>
      <c r="BJ61" s="62">
        <f t="shared" si="38"/>
        <v>185.00219255324504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8.3355337572305066E-4</v>
      </c>
      <c r="BS61" s="24">
        <f t="shared" si="9"/>
        <v>8.3355337572305066E-4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5.6</v>
      </c>
      <c r="BY61" s="13">
        <f>IF('Données projet'!$A$114&gt;35,BY60+BX61-CG60,IF(A61&lt;'Données projet'!$A$114,$BV$205^A61,IF(A61='Données projet'!$A$114,'Données projet'!$B$114,BY60+BX61-CG60)))</f>
        <v>137.79999999999993</v>
      </c>
      <c r="BZ61" s="14">
        <f>BY61*VLOOKUP('Données projet'!$B$12,Paramètres!$A$1:$I$89,3,0)*VLOOKUP('Données projet'!$B$12,Paramètres!$A$1:$I$89,5,0)</f>
        <v>133.28015999999994</v>
      </c>
      <c r="CA61" s="14">
        <f t="shared" si="39"/>
        <v>34.753205264839991</v>
      </c>
      <c r="CB61" s="22">
        <f t="shared" si="10"/>
        <v>292.65811116959617</v>
      </c>
      <c r="CC61" s="62">
        <f t="shared" si="11"/>
        <v>585.99144450292943</v>
      </c>
      <c r="CD61" s="62">
        <f ca="1">AVERAGE(OFFSET($CC$3,0,0,'Données projet'!$E$12+1,1))-AVERAGE(OFFSET($H$3,0,0,'Données projet'!$E$12+1,1))</f>
        <v>298.18906674058809</v>
      </c>
      <c r="CE61" s="62">
        <f t="shared" si="40"/>
        <v>154.08406475869634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1.9895196601282805E-13</v>
      </c>
      <c r="O62" s="14">
        <f>N62*VLOOKUP('Données projet'!$B$9,Paramètres!$A$1:$I$89,3,0)*VLOOKUP('Données projet'!$B$9,Paramètres!$A$1:$I$89,5,0)</f>
        <v>1.8001173884840681E-13</v>
      </c>
      <c r="P62" s="14">
        <f t="shared" si="33"/>
        <v>2.5254331426407198E-12</v>
      </c>
      <c r="Q62" s="22">
        <f t="shared" si="53"/>
        <v>4.7119831685935622E-12</v>
      </c>
      <c r="R62" s="62">
        <f t="shared" si="0"/>
        <v>293.33333333333803</v>
      </c>
      <c r="S62" s="62">
        <f ca="1">AVERAGE(OFFSET($R$3,0,0,'Données projet'!$E$9+1,1))-AVERAGE(OFFSET($H$3,0,0,'Données projet'!$E$9+1,1))</f>
        <v>302.6112905010138</v>
      </c>
      <c r="T62" s="62">
        <f t="shared" si="34"/>
        <v>423.44006663873375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1.0215221511364321</v>
      </c>
      <c r="AB62" s="23">
        <f>EXP(-LN(2)/2)*AB61+(1-EXP(-LN(2)/2))/(LN(2)/2)*V62*Y62*VLOOKUP('Données projet'!$B$9,Paramètres!$A$1:$I$89,3,0)*0.475*44/12</f>
        <v>2.7341321887510453E-4</v>
      </c>
      <c r="AC62" s="24">
        <f t="shared" si="3"/>
        <v>1.0217955643553072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7.4</v>
      </c>
      <c r="AI62" s="14">
        <f>IF('Données projet'!$A$62&gt;35,AI61+AH62-AQ61,IF(A62&lt;'Données projet'!$A$62,$AF$205^A62,IF(A62='Données projet'!$A$62,'Données projet'!$B$62,AI61+AH62-AQ61)))</f>
        <v>206.60000000000008</v>
      </c>
      <c r="AJ62" s="14">
        <f>AI62*VLOOKUP('Données projet'!$B$10,Paramètres!$A$1:$I$89,3,0)*VLOOKUP('Données projet'!$B$10,Paramètres!$A$1:$I$89,5,0)</f>
        <v>209.49240000000009</v>
      </c>
      <c r="AK62" s="14">
        <f t="shared" si="35"/>
        <v>51.824646708770558</v>
      </c>
      <c r="AL62" s="22">
        <f t="shared" si="4"/>
        <v>455.12718968444216</v>
      </c>
      <c r="AM62" s="62">
        <f t="shared" si="5"/>
        <v>748.46052301777547</v>
      </c>
      <c r="AN62" s="62">
        <f ca="1">AVERAGE(OFFSET($AM$3,0,0,'Données projet'!$E$10+1,1))-AVERAGE(OFFSET($H$3,0,0,'Données projet'!$E$10+1,1))</f>
        <v>411.98877330238821</v>
      </c>
      <c r="AO62" s="62">
        <f t="shared" si="36"/>
        <v>256.4377087753457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3</v>
      </c>
      <c r="BD62" s="13">
        <f>IF('Données projet'!$A$88&gt;35,BD61+BC62-BL61,IF(A62&lt;'Données projet'!$A$88,$BA$205^A62,IF(A62='Données projet'!$A$88,'Données projet'!$B$88,BD61+BC62-BL61)))</f>
        <v>136.99999999999994</v>
      </c>
      <c r="BE62" s="14">
        <f>BD62*VLOOKUP('Données projet'!$B$11,Paramètres!$A$1:$I$89,3,0)*VLOOKUP('Données projet'!$B$11,Paramètres!$A$1:$I$89,5,0)</f>
        <v>119.68319999999996</v>
      </c>
      <c r="BF62" s="14">
        <f t="shared" si="37"/>
        <v>31.601099532596166</v>
      </c>
      <c r="BG62" s="22">
        <f t="shared" si="7"/>
        <v>263.4868216859382</v>
      </c>
      <c r="BH62" s="62">
        <f t="shared" si="8"/>
        <v>556.82015501927151</v>
      </c>
      <c r="BI62" s="62">
        <f ca="1">AVERAGE(OFFSET($BH$3,0,0,'Données projet'!$E$11+1,1))-AVERAGE(OFFSET($H$3,0,0,'Données projet'!$E$11+1,1))</f>
        <v>195.30963433439501</v>
      </c>
      <c r="BJ62" s="62">
        <f t="shared" si="38"/>
        <v>185.00219255324504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5.8941124445470721E-4</v>
      </c>
      <c r="BS62" s="24">
        <f t="shared" si="9"/>
        <v>5.8941124445470721E-4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5.6</v>
      </c>
      <c r="BY62" s="13">
        <f>IF('Données projet'!$A$114&gt;35,BY61+BX62-CG61,IF(A62&lt;'Données projet'!$A$114,$BV$205^A62,IF(A62='Données projet'!$A$114,'Données projet'!$B$114,BY61+BX62-CG61)))</f>
        <v>143.39999999999992</v>
      </c>
      <c r="BZ62" s="14">
        <f>BY62*VLOOKUP('Données projet'!$B$12,Paramètres!$A$1:$I$89,3,0)*VLOOKUP('Données projet'!$B$12,Paramètres!$A$1:$I$89,5,0)</f>
        <v>138.69647999999992</v>
      </c>
      <c r="CA62" s="14">
        <f t="shared" si="39"/>
        <v>35.998224985436444</v>
      </c>
      <c r="CB62" s="22">
        <f t="shared" si="10"/>
        <v>304.25994451630169</v>
      </c>
      <c r="CC62" s="62">
        <f t="shared" si="11"/>
        <v>597.593277849635</v>
      </c>
      <c r="CD62" s="62">
        <f ca="1">AVERAGE(OFFSET($CC$3,0,0,'Données projet'!$E$12+1,1))-AVERAGE(OFFSET($H$3,0,0,'Données projet'!$E$12+1,1))</f>
        <v>298.18906674058809</v>
      </c>
      <c r="CE62" s="62">
        <f t="shared" si="40"/>
        <v>154.08406475869634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1.9895196601282805E-13</v>
      </c>
      <c r="O63" s="14">
        <f>N63*VLOOKUP('Données projet'!$B$9,Paramètres!$A$1:$I$89,3,0)*VLOOKUP('Données projet'!$B$9,Paramètres!$A$1:$I$89,5,0)</f>
        <v>1.8001173884840681E-13</v>
      </c>
      <c r="P63" s="14">
        <f t="shared" si="33"/>
        <v>2.5254331426407198E-12</v>
      </c>
      <c r="Q63" s="22">
        <f t="shared" si="53"/>
        <v>4.7119831685935622E-12</v>
      </c>
      <c r="R63" s="62">
        <f t="shared" si="0"/>
        <v>293.33333333333803</v>
      </c>
      <c r="S63" s="62">
        <f ca="1">AVERAGE(OFFSET($R$3,0,0,'Données projet'!$E$9+1,1))-AVERAGE(OFFSET($H$3,0,0,'Données projet'!$E$9+1,1))</f>
        <v>302.6112905010138</v>
      </c>
      <c r="T63" s="62">
        <f t="shared" si="34"/>
        <v>423.44006663873375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0.99358857419409119</v>
      </c>
      <c r="AB63" s="23">
        <f>EXP(-LN(2)/2)*AB62+(1-EXP(-LN(2)/2))/(LN(2)/2)*V63*Y63*VLOOKUP('Données projet'!$B$9,Paramètres!$A$1:$I$89,3,0)*0.475*44/12</f>
        <v>1.9333234113262817E-4</v>
      </c>
      <c r="AC63" s="24">
        <f t="shared" si="3"/>
        <v>0.9937819065352238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7.4</v>
      </c>
      <c r="AH63" s="13">
        <f t="array" ref="AH63">INDEX(AG:AG,MIN(IF(ISNUMBER(AG63:AG259),ROW(AG63:AG259),"")))</f>
        <v>7.4</v>
      </c>
      <c r="AI63" s="14">
        <f>IF('Données projet'!$A$62&gt;35,AI62+AH63-AQ62,IF(A63&lt;'Données projet'!$A$62,$AF$205^A63,IF(A63='Données projet'!$A$62,'Données projet'!$B$62,AI62+AH63-AQ62)))</f>
        <v>214.00000000000009</v>
      </c>
      <c r="AJ63" s="14">
        <f>AI63*VLOOKUP('Données projet'!$B$10,Paramètres!$A$1:$I$89,3,0)*VLOOKUP('Données projet'!$B$10,Paramètres!$A$1:$I$89,5,0)</f>
        <v>216.99600000000009</v>
      </c>
      <c r="AK63" s="14">
        <f t="shared" si="35"/>
        <v>53.461459647386917</v>
      </c>
      <c r="AL63" s="22">
        <f t="shared" si="4"/>
        <v>471.04674221919907</v>
      </c>
      <c r="AM63" s="62">
        <f t="shared" si="5"/>
        <v>764.38007555253239</v>
      </c>
      <c r="AN63" s="62">
        <f ca="1">AVERAGE(OFFSET($AM$3,0,0,'Données projet'!$E$10+1,1))-AVERAGE(OFFSET($H$3,0,0,'Données projet'!$E$10+1,1))</f>
        <v>411.98877330238821</v>
      </c>
      <c r="AO63" s="62">
        <f t="shared" si="36"/>
        <v>256.4377087753457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140</v>
      </c>
      <c r="BB63" s="13">
        <f>VLOOKUP(A63,'Données projet'!$A$87:$I$107,9,0)</f>
        <v>3</v>
      </c>
      <c r="BC63" s="13">
        <f t="array" ref="BC63">INDEX(BB:BB,MIN(IF(ISNUMBER(BB63:BB259),ROW(BB63:BB259),"")))</f>
        <v>3</v>
      </c>
      <c r="BD63" s="13">
        <f>IF('Données projet'!$A$88&gt;35,BD62+BC63-BL62,IF(A63&lt;'Données projet'!$A$88,$BA$205^A63,IF(A63='Données projet'!$A$88,'Données projet'!$B$88,BD62+BC63-BL62)))</f>
        <v>139.99999999999994</v>
      </c>
      <c r="BE63" s="14">
        <f>BD63*VLOOKUP('Données projet'!$B$11,Paramètres!$A$1:$I$89,3,0)*VLOOKUP('Données projet'!$B$11,Paramètres!$A$1:$I$89,5,0)</f>
        <v>122.30399999999997</v>
      </c>
      <c r="BF63" s="14">
        <f t="shared" si="37"/>
        <v>32.211773226559373</v>
      </c>
      <c r="BG63" s="22">
        <f t="shared" si="7"/>
        <v>269.11497170292421</v>
      </c>
      <c r="BH63" s="62">
        <f t="shared" si="8"/>
        <v>562.44830503625758</v>
      </c>
      <c r="BI63" s="62">
        <f ca="1">AVERAGE(OFFSET($BH$3,0,0,'Données projet'!$E$11+1,1))-AVERAGE(OFFSET($H$3,0,0,'Données projet'!$E$11+1,1))</f>
        <v>195.30963433439501</v>
      </c>
      <c r="BJ63" s="62">
        <f t="shared" si="38"/>
        <v>185.00219255324504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7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4.1677668786152533E-4</v>
      </c>
      <c r="BS63" s="24">
        <f t="shared" si="9"/>
        <v>4.1677668786152533E-4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149</v>
      </c>
      <c r="BW63" s="13">
        <f>VLOOKUP(A63,'Données projet'!$A$113:$I$133,9,0)</f>
        <v>5.6</v>
      </c>
      <c r="BX63" s="13">
        <f t="array" ref="BX63">INDEX(BW:BW,MIN(IF(ISNUMBER(BW63:BW259),ROW(BW63:BW259),"")))</f>
        <v>5.6</v>
      </c>
      <c r="BY63" s="13">
        <f>IF('Données projet'!$A$114&gt;35,BY62+BX63-CG62,IF(A63&lt;'Données projet'!$A$114,$BV$205^A63,IF(A63='Données projet'!$A$114,'Données projet'!$B$114,BY62+BX63-CG62)))</f>
        <v>148.99999999999991</v>
      </c>
      <c r="BZ63" s="14">
        <f>BY63*VLOOKUP('Données projet'!$B$12,Paramètres!$A$1:$I$89,3,0)*VLOOKUP('Données projet'!$B$12,Paramètres!$A$1:$I$89,5,0)</f>
        <v>144.11279999999994</v>
      </c>
      <c r="CA63" s="14">
        <f t="shared" si="39"/>
        <v>37.237596662992466</v>
      </c>
      <c r="CB63" s="22">
        <f t="shared" si="10"/>
        <v>315.85194085471181</v>
      </c>
      <c r="CC63" s="62">
        <f t="shared" si="11"/>
        <v>609.18527418804513</v>
      </c>
      <c r="CD63" s="62">
        <f ca="1">AVERAGE(OFFSET($CC$3,0,0,'Données projet'!$E$12+1,1))-AVERAGE(OFFSET($H$3,0,0,'Données projet'!$E$12+1,1))</f>
        <v>298.18906674058809</v>
      </c>
      <c r="CE63" s="62">
        <f t="shared" si="40"/>
        <v>154.08406475869634</v>
      </c>
      <c r="CF63" s="16">
        <f>IF(ISNA(VLOOKUP(A63,'Données projet'!$A$113:$I$133,3,0)),0,VLOOKUP(A63,'Données projet'!$A$113:$I$133,3,0))</f>
        <v>8</v>
      </c>
      <c r="CG63" s="16">
        <f>IF(ISNA(VLOOKUP(A63,'Données projet'!$A$113:$I$133,4,0)),0,VLOOKUP(A63,'Données projet'!$A$113:$I$133,4,0))</f>
        <v>14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1.9895196601282805E-13</v>
      </c>
      <c r="O64" s="14">
        <f>N64*VLOOKUP('Données projet'!$B$9,Paramètres!$A$1:$I$89,3,0)*VLOOKUP('Données projet'!$B$9,Paramètres!$A$1:$I$89,5,0)</f>
        <v>1.8001173884840681E-13</v>
      </c>
      <c r="P64" s="14">
        <f t="shared" si="33"/>
        <v>2.5254331426407198E-12</v>
      </c>
      <c r="Q64" s="22">
        <f t="shared" si="53"/>
        <v>4.7119831685935622E-12</v>
      </c>
      <c r="R64" s="62">
        <f t="shared" si="0"/>
        <v>293.33333333333803</v>
      </c>
      <c r="S64" s="62">
        <f ca="1">AVERAGE(OFFSET($R$3,0,0,'Données projet'!$E$9+1,1))-AVERAGE(OFFSET($H$3,0,0,'Données projet'!$E$9+1,1))</f>
        <v>302.6112905010138</v>
      </c>
      <c r="T64" s="62">
        <f t="shared" si="34"/>
        <v>423.44006663873375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0.96641884238220155</v>
      </c>
      <c r="AB64" s="23">
        <f>EXP(-LN(2)/2)*AB63+(1-EXP(-LN(2)/2))/(LN(2)/2)*V64*Y64*VLOOKUP('Données projet'!$B$9,Paramètres!$A$1:$I$89,3,0)*0.475*44/12</f>
        <v>1.3670660943755226E-4</v>
      </c>
      <c r="AC64" s="24">
        <f t="shared" si="3"/>
        <v>0.96655554899163909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200.20000000000007</v>
      </c>
      <c r="AJ64" s="14">
        <f>AI64*VLOOKUP('Données projet'!$B$10,Paramètres!$A$1:$I$89,3,0)*VLOOKUP('Données projet'!$B$10,Paramètres!$A$1:$I$89,5,0)</f>
        <v>203.00280000000009</v>
      </c>
      <c r="AK64" s="14">
        <f t="shared" si="35"/>
        <v>50.403518824343074</v>
      </c>
      <c r="AL64" s="22">
        <f t="shared" si="4"/>
        <v>441.34933861906433</v>
      </c>
      <c r="AM64" s="62">
        <f t="shared" si="5"/>
        <v>734.68267195239764</v>
      </c>
      <c r="AN64" s="62">
        <f ca="1">AVERAGE(OFFSET($AM$3,0,0,'Données projet'!$E$10+1,1))-AVERAGE(OFFSET($H$3,0,0,'Données projet'!$E$10+1,1))</f>
        <v>411.98877330238821</v>
      </c>
      <c r="AO64" s="62">
        <f t="shared" si="36"/>
        <v>256.4377087753457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2.6</v>
      </c>
      <c r="BD64" s="13">
        <f>IF('Données projet'!$A$88&gt;35,BD63+BC64-BL63,IF(A64&lt;'Données projet'!$A$88,$BA$205^A64,IF(A64='Données projet'!$A$88,'Données projet'!$B$88,BD63+BC64-BL63)))</f>
        <v>135.59999999999994</v>
      </c>
      <c r="BE64" s="14">
        <f>BD64*VLOOKUP('Données projet'!$B$11,Paramètres!$A$1:$I$89,3,0)*VLOOKUP('Données projet'!$B$11,Paramètres!$A$1:$I$89,5,0)</f>
        <v>118.46015999999997</v>
      </c>
      <c r="BF64" s="14">
        <f t="shared" si="37"/>
        <v>31.315587396029674</v>
      </c>
      <c r="BG64" s="22">
        <f t="shared" si="7"/>
        <v>260.85942671475163</v>
      </c>
      <c r="BH64" s="62">
        <f t="shared" si="8"/>
        <v>554.19276004808489</v>
      </c>
      <c r="BI64" s="62">
        <f ca="1">AVERAGE(OFFSET($BH$3,0,0,'Données projet'!$E$11+1,1))-AVERAGE(OFFSET($H$3,0,0,'Données projet'!$E$11+1,1))</f>
        <v>195.30963433439501</v>
      </c>
      <c r="BJ64" s="62">
        <f t="shared" si="38"/>
        <v>185.00219255324504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2.947056222273536E-4</v>
      </c>
      <c r="BS64" s="24">
        <f t="shared" si="9"/>
        <v>2.947056222273536E-4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5.2</v>
      </c>
      <c r="BY64" s="13">
        <f>IF('Données projet'!$A$114&gt;35,BY63+BX64-CG63,IF(A64&lt;'Données projet'!$A$114,$BV$205^A64,IF(A64='Données projet'!$A$114,'Données projet'!$B$114,BY63+BX64-CG63)))</f>
        <v>140.1999999999999</v>
      </c>
      <c r="BZ64" s="14">
        <f>BY64*VLOOKUP('Données projet'!$B$12,Paramètres!$A$1:$I$89,3,0)*VLOOKUP('Données projet'!$B$12,Paramètres!$A$1:$I$89,5,0)</f>
        <v>135.60143999999991</v>
      </c>
      <c r="CA64" s="14">
        <f t="shared" si="39"/>
        <v>35.287492728332552</v>
      </c>
      <c r="CB64" s="22">
        <f t="shared" si="10"/>
        <v>297.63155783517902</v>
      </c>
      <c r="CC64" s="62">
        <f t="shared" si="11"/>
        <v>590.96489116851239</v>
      </c>
      <c r="CD64" s="62">
        <f ca="1">AVERAGE(OFFSET($CC$3,0,0,'Données projet'!$E$12+1,1))-AVERAGE(OFFSET($H$3,0,0,'Données projet'!$E$12+1,1))</f>
        <v>298.18906674058809</v>
      </c>
      <c r="CE64" s="62">
        <f t="shared" si="40"/>
        <v>154.08406475869634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1.9895196601282805E-13</v>
      </c>
      <c r="O65" s="14">
        <f>N65*VLOOKUP('Données projet'!$B$9,Paramètres!$A$1:$I$89,3,0)*VLOOKUP('Données projet'!$B$9,Paramètres!$A$1:$I$89,5,0)</f>
        <v>1.8001173884840681E-13</v>
      </c>
      <c r="P65" s="14">
        <f t="shared" si="33"/>
        <v>2.5254331426407198E-12</v>
      </c>
      <c r="Q65" s="22">
        <f t="shared" si="53"/>
        <v>4.7119831685935622E-12</v>
      </c>
      <c r="R65" s="62">
        <f t="shared" si="0"/>
        <v>293.33333333333803</v>
      </c>
      <c r="S65" s="62">
        <f ca="1">AVERAGE(OFFSET($R$3,0,0,'Données projet'!$E$9+1,1))-AVERAGE(OFFSET($H$3,0,0,'Données projet'!$E$9+1,1))</f>
        <v>302.6112905010138</v>
      </c>
      <c r="T65" s="62">
        <f t="shared" si="34"/>
        <v>423.44006663873375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0.93999206831550208</v>
      </c>
      <c r="AB65" s="23">
        <f>EXP(-LN(2)/2)*AB64+(1-EXP(-LN(2)/2))/(LN(2)/2)*V65*Y65*VLOOKUP('Données projet'!$B$9,Paramètres!$A$1:$I$89,3,0)*0.475*44/12</f>
        <v>9.6666170566314083E-5</v>
      </c>
      <c r="AC65" s="24">
        <f t="shared" si="3"/>
        <v>0.94008873448606844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207.40000000000006</v>
      </c>
      <c r="AJ65" s="14">
        <f>AI65*VLOOKUP('Données projet'!$B$10,Paramètres!$A$1:$I$89,3,0)*VLOOKUP('Données projet'!$B$10,Paramètres!$A$1:$I$89,5,0)</f>
        <v>210.3036000000001</v>
      </c>
      <c r="AK65" s="14">
        <f t="shared" si="35"/>
        <v>52.001924357524501</v>
      </c>
      <c r="AL65" s="22">
        <f t="shared" si="4"/>
        <v>456.84878825602203</v>
      </c>
      <c r="AM65" s="62">
        <f t="shared" si="5"/>
        <v>750.18212158935535</v>
      </c>
      <c r="AN65" s="62">
        <f ca="1">AVERAGE(OFFSET($AM$3,0,0,'Données projet'!$E$10+1,1))-AVERAGE(OFFSET($H$3,0,0,'Données projet'!$E$10+1,1))</f>
        <v>411.98877330238821</v>
      </c>
      <c r="AO65" s="62">
        <f t="shared" si="36"/>
        <v>256.4377087753457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2.6</v>
      </c>
      <c r="BD65" s="13">
        <f>IF('Données projet'!$A$88&gt;35,BD64+BC65-BL64,IF(A65&lt;'Données projet'!$A$88,$BA$205^A65,IF(A65='Données projet'!$A$88,'Données projet'!$B$88,BD64+BC65-BL64)))</f>
        <v>138.19999999999993</v>
      </c>
      <c r="BE65" s="14">
        <f>BD65*VLOOKUP('Données projet'!$B$11,Paramètres!$A$1:$I$89,3,0)*VLOOKUP('Données projet'!$B$11,Paramètres!$A$1:$I$89,5,0)</f>
        <v>120.73151999999995</v>
      </c>
      <c r="BF65" s="14">
        <f t="shared" si="37"/>
        <v>31.845553926050336</v>
      </c>
      <c r="BG65" s="22">
        <f t="shared" si="7"/>
        <v>265.73840375453756</v>
      </c>
      <c r="BH65" s="62">
        <f t="shared" si="8"/>
        <v>559.07173708787082</v>
      </c>
      <c r="BI65" s="62">
        <f ca="1">AVERAGE(OFFSET($BH$3,0,0,'Données projet'!$E$11+1,1))-AVERAGE(OFFSET($H$3,0,0,'Données projet'!$E$11+1,1))</f>
        <v>195.30963433439501</v>
      </c>
      <c r="BJ65" s="62">
        <f t="shared" si="38"/>
        <v>185.00219255324504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2.0838834393076267E-4</v>
      </c>
      <c r="BS65" s="24">
        <f t="shared" si="9"/>
        <v>2.0838834393076267E-4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5.2</v>
      </c>
      <c r="BY65" s="13">
        <f>IF('Données projet'!$A$114&gt;35,BY64+BX65-CG64,IF(A65&lt;'Données projet'!$A$114,$BV$205^A65,IF(A65='Données projet'!$A$114,'Données projet'!$B$114,BY64+BX65-CG64)))</f>
        <v>145.39999999999989</v>
      </c>
      <c r="BZ65" s="14">
        <f>BY65*VLOOKUP('Données projet'!$B$12,Paramètres!$A$1:$I$89,3,0)*VLOOKUP('Données projet'!$B$12,Paramètres!$A$1:$I$89,5,0)</f>
        <v>140.63087999999991</v>
      </c>
      <c r="CA65" s="14">
        <f t="shared" si="39"/>
        <v>36.44149340314641</v>
      </c>
      <c r="CB65" s="22">
        <f t="shared" si="10"/>
        <v>308.40105034381315</v>
      </c>
      <c r="CC65" s="62">
        <f t="shared" si="11"/>
        <v>601.73438367714652</v>
      </c>
      <c r="CD65" s="62">
        <f ca="1">AVERAGE(OFFSET($CC$3,0,0,'Données projet'!$E$12+1,1))-AVERAGE(OFFSET($H$3,0,0,'Données projet'!$E$12+1,1))</f>
        <v>298.18906674058809</v>
      </c>
      <c r="CE65" s="62">
        <f t="shared" si="40"/>
        <v>154.08406475869634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1.9895196601282805E-13</v>
      </c>
      <c r="O66" s="14">
        <f>N66*VLOOKUP('Données projet'!$B$9,Paramètres!$A$1:$I$89,3,0)*VLOOKUP('Données projet'!$B$9,Paramètres!$A$1:$I$89,5,0)</f>
        <v>1.8001173884840681E-13</v>
      </c>
      <c r="P66" s="14">
        <f t="shared" si="33"/>
        <v>2.5254331426407198E-12</v>
      </c>
      <c r="Q66" s="22">
        <f t="shared" si="53"/>
        <v>4.7119831685935622E-12</v>
      </c>
      <c r="R66" s="62">
        <f t="shared" si="0"/>
        <v>293.33333333333803</v>
      </c>
      <c r="S66" s="62">
        <f ca="1">AVERAGE(OFFSET($R$3,0,0,'Données projet'!$E$9+1,1))-AVERAGE(OFFSET($H$3,0,0,'Données projet'!$E$9+1,1))</f>
        <v>302.6112905010138</v>
      </c>
      <c r="T66" s="62">
        <f t="shared" si="34"/>
        <v>423.44006663873375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0.91428793577538015</v>
      </c>
      <c r="AB66" s="23">
        <f>EXP(-LN(2)/2)*AB65+(1-EXP(-LN(2)/2))/(LN(2)/2)*V66*Y66*VLOOKUP('Données projet'!$B$9,Paramètres!$A$1:$I$89,3,0)*0.475*44/12</f>
        <v>6.8353304718776132E-5</v>
      </c>
      <c r="AC66" s="24">
        <f t="shared" si="3"/>
        <v>0.91435628908009892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214.60000000000005</v>
      </c>
      <c r="AJ66" s="14">
        <f>AI66*VLOOKUP('Données projet'!$B$10,Paramètres!$A$1:$I$89,3,0)*VLOOKUP('Données projet'!$B$10,Paramètres!$A$1:$I$89,5,0)</f>
        <v>217.60440000000006</v>
      </c>
      <c r="AK66" s="14">
        <f t="shared" si="35"/>
        <v>53.593882578706406</v>
      </c>
      <c r="AL66" s="22">
        <f t="shared" si="4"/>
        <v>472.33700882458038</v>
      </c>
      <c r="AM66" s="62">
        <f t="shared" si="5"/>
        <v>765.67034215791364</v>
      </c>
      <c r="AN66" s="62">
        <f ca="1">AVERAGE(OFFSET($AM$3,0,0,'Données projet'!$E$10+1,1))-AVERAGE(OFFSET($H$3,0,0,'Données projet'!$E$10+1,1))</f>
        <v>411.98877330238821</v>
      </c>
      <c r="AO66" s="62">
        <f t="shared" si="36"/>
        <v>256.4377087753457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2.6</v>
      </c>
      <c r="BD66" s="13">
        <f>IF('Données projet'!$A$88&gt;35,BD65+BC66-BL65,IF(A66&lt;'Données projet'!$A$88,$BA$205^A66,IF(A66='Données projet'!$A$88,'Données projet'!$B$88,BD65+BC66-BL65)))</f>
        <v>140.79999999999993</v>
      </c>
      <c r="BE66" s="14">
        <f>BD66*VLOOKUP('Données projet'!$B$11,Paramètres!$A$1:$I$89,3,0)*VLOOKUP('Données projet'!$B$11,Paramètres!$A$1:$I$89,5,0)</f>
        <v>123.00287999999996</v>
      </c>
      <c r="BF66" s="14">
        <f t="shared" si="37"/>
        <v>32.374361095906167</v>
      </c>
      <c r="BG66" s="22">
        <f t="shared" si="7"/>
        <v>270.61536157536983</v>
      </c>
      <c r="BH66" s="62">
        <f t="shared" si="8"/>
        <v>563.94869490870315</v>
      </c>
      <c r="BI66" s="62">
        <f ca="1">AVERAGE(OFFSET($BH$3,0,0,'Données projet'!$E$11+1,1))-AVERAGE(OFFSET($H$3,0,0,'Données projet'!$E$11+1,1))</f>
        <v>195.30963433439501</v>
      </c>
      <c r="BJ66" s="62">
        <f t="shared" si="38"/>
        <v>185.00219255324504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1.473528111136768E-4</v>
      </c>
      <c r="BS66" s="24">
        <f t="shared" si="9"/>
        <v>1.473528111136768E-4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5.2</v>
      </c>
      <c r="BY66" s="13">
        <f>IF('Données projet'!$A$114&gt;35,BY65+BX66-CG65,IF(A66&lt;'Données projet'!$A$114,$BV$205^A66,IF(A66='Données projet'!$A$114,'Données projet'!$B$114,BY65+BX66-CG65)))</f>
        <v>150.59999999999988</v>
      </c>
      <c r="BZ66" s="14">
        <f>BY66*VLOOKUP('Données projet'!$B$12,Paramètres!$A$1:$I$89,3,0)*VLOOKUP('Données projet'!$B$12,Paramètres!$A$1:$I$89,5,0)</f>
        <v>145.6603199999999</v>
      </c>
      <c r="CA66" s="14">
        <f t="shared" si="39"/>
        <v>37.59069903895481</v>
      </c>
      <c r="CB66" s="22">
        <f t="shared" si="10"/>
        <v>319.16219149284615</v>
      </c>
      <c r="CC66" s="62">
        <f t="shared" si="11"/>
        <v>612.49552482617946</v>
      </c>
      <c r="CD66" s="62">
        <f ca="1">AVERAGE(OFFSET($CC$3,0,0,'Données projet'!$E$12+1,1))-AVERAGE(OFFSET($H$3,0,0,'Données projet'!$E$12+1,1))</f>
        <v>298.18906674058809</v>
      </c>
      <c r="CE66" s="62">
        <f t="shared" si="40"/>
        <v>154.08406475869634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1.9895196601282805E-13</v>
      </c>
      <c r="O67" s="14">
        <f>N67*VLOOKUP('Données projet'!$B$9,Paramètres!$A$1:$I$89,3,0)*VLOOKUP('Données projet'!$B$9,Paramètres!$A$1:$I$89,5,0)</f>
        <v>1.8001173884840681E-13</v>
      </c>
      <c r="P67" s="14">
        <f t="shared" si="33"/>
        <v>2.5254331426407198E-12</v>
      </c>
      <c r="Q67" s="22">
        <f t="shared" ref="Q67:Q98" si="54">(O67+P67)*0.475*44/12</f>
        <v>4.7119831685935622E-12</v>
      </c>
      <c r="R67" s="62">
        <f t="shared" ref="R67:R130" si="55">Q67+(I67+J67)*44/12</f>
        <v>293.33333333333803</v>
      </c>
      <c r="S67" s="62">
        <f ca="1">AVERAGE(OFFSET($R$3,0,0,'Données projet'!$E$9+1,1))-AVERAGE(OFFSET($H$3,0,0,'Données projet'!$E$9+1,1))</f>
        <v>302.6112905010138</v>
      </c>
      <c r="T67" s="62">
        <f t="shared" si="34"/>
        <v>423.44006663873375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0.88928668409128941</v>
      </c>
      <c r="AB67" s="23">
        <f>EXP(-LN(2)/2)*AB66+(1-EXP(-LN(2)/2))/(LN(2)/2)*V67*Y67*VLOOKUP('Données projet'!$B$9,Paramètres!$A$1:$I$89,3,0)*0.475*44/12</f>
        <v>4.8333085283157041E-5</v>
      </c>
      <c r="AC67" s="24">
        <f t="shared" si="3"/>
        <v>0.8893350171765726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221.80000000000004</v>
      </c>
      <c r="AJ67" s="14">
        <f>AI67*VLOOKUP('Données projet'!$B$10,Paramètres!$A$1:$I$89,3,0)*VLOOKUP('Données projet'!$B$10,Paramètres!$A$1:$I$89,5,0)</f>
        <v>224.90520000000006</v>
      </c>
      <c r="AK67" s="14">
        <f t="shared" si="35"/>
        <v>55.17963460003309</v>
      </c>
      <c r="AL67" s="22">
        <f t="shared" si="4"/>
        <v>487.81442026172436</v>
      </c>
      <c r="AM67" s="62">
        <f t="shared" si="5"/>
        <v>781.14775359505768</v>
      </c>
      <c r="AN67" s="62">
        <f ca="1">AVERAGE(OFFSET($AM$3,0,0,'Données projet'!$E$10+1,1))-AVERAGE(OFFSET($H$3,0,0,'Données projet'!$E$10+1,1))</f>
        <v>411.98877330238821</v>
      </c>
      <c r="AO67" s="62">
        <f t="shared" si="36"/>
        <v>256.4377087753457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2.6</v>
      </c>
      <c r="BD67" s="13">
        <f>IF('Données projet'!$A$88&gt;35,BD66+BC67-BL66,IF(A67&lt;'Données projet'!$A$88,$BA$205^A67,IF(A67='Données projet'!$A$88,'Données projet'!$B$88,BD66+BC67-BL66)))</f>
        <v>143.39999999999992</v>
      </c>
      <c r="BE67" s="14">
        <f>BD67*VLOOKUP('Données projet'!$B$11,Paramètres!$A$1:$I$89,3,0)*VLOOKUP('Données projet'!$B$11,Paramètres!$A$1:$I$89,5,0)</f>
        <v>125.27423999999993</v>
      </c>
      <c r="BF67" s="14">
        <f t="shared" si="37"/>
        <v>32.902032783270968</v>
      </c>
      <c r="BG67" s="22">
        <f t="shared" si="7"/>
        <v>275.49034176419684</v>
      </c>
      <c r="BH67" s="62">
        <f t="shared" si="8"/>
        <v>568.82367509753021</v>
      </c>
      <c r="BI67" s="62">
        <f ca="1">AVERAGE(OFFSET($BH$3,0,0,'Données projet'!$E$11+1,1))-AVERAGE(OFFSET($H$3,0,0,'Données projet'!$E$11+1,1))</f>
        <v>195.30963433439501</v>
      </c>
      <c r="BJ67" s="62">
        <f t="shared" si="38"/>
        <v>185.00219255324504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1.0419417196538133E-4</v>
      </c>
      <c r="BS67" s="24">
        <f t="shared" si="9"/>
        <v>1.0419417196538133E-4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5.2</v>
      </c>
      <c r="BY67" s="13">
        <f>IF('Données projet'!$A$114&gt;35,BY66+BX67-CG66,IF(A67&lt;'Données projet'!$A$114,$BV$205^A67,IF(A67='Données projet'!$A$114,'Données projet'!$B$114,BY66+BX67-CG66)))</f>
        <v>155.79999999999987</v>
      </c>
      <c r="BZ67" s="14">
        <f>BY67*VLOOKUP('Données projet'!$B$12,Paramètres!$A$1:$I$89,3,0)*VLOOKUP('Données projet'!$B$12,Paramètres!$A$1:$I$89,5,0)</f>
        <v>150.68975999999986</v>
      </c>
      <c r="CA67" s="14">
        <f t="shared" si="39"/>
        <v>38.735294176946169</v>
      </c>
      <c r="CB67" s="22">
        <f t="shared" si="10"/>
        <v>329.91530269151434</v>
      </c>
      <c r="CC67" s="62">
        <f t="shared" si="11"/>
        <v>623.24863602484766</v>
      </c>
      <c r="CD67" s="62">
        <f ca="1">AVERAGE(OFFSET($CC$3,0,0,'Données projet'!$E$12+1,1))-AVERAGE(OFFSET($H$3,0,0,'Données projet'!$E$12+1,1))</f>
        <v>298.18906674058809</v>
      </c>
      <c r="CE67" s="62">
        <f t="shared" si="40"/>
        <v>154.08406475869634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1.9895196601282805E-13</v>
      </c>
      <c r="O68" s="14">
        <f>N68*VLOOKUP('Données projet'!$B$9,Paramètres!$A$1:$I$89,3,0)*VLOOKUP('Données projet'!$B$9,Paramètres!$A$1:$I$89,5,0)</f>
        <v>1.8001173884840681E-13</v>
      </c>
      <c r="P68" s="14">
        <f t="shared" si="33"/>
        <v>2.5254331426407198E-12</v>
      </c>
      <c r="Q68" s="22">
        <f t="shared" si="54"/>
        <v>4.7119831685935622E-12</v>
      </c>
      <c r="R68" s="62">
        <f t="shared" si="55"/>
        <v>293.33333333333803</v>
      </c>
      <c r="S68" s="62">
        <f ca="1">AVERAGE(OFFSET($R$3,0,0,'Données projet'!$E$9+1,1))-AVERAGE(OFFSET($H$3,0,0,'Données projet'!$E$9+1,1))</f>
        <v>302.6112905010138</v>
      </c>
      <c r="T68" s="62">
        <f t="shared" si="34"/>
        <v>423.44006663873375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0.86496909294925883</v>
      </c>
      <c r="AB68" s="23">
        <f>EXP(-LN(2)/2)*AB67+(1-EXP(-LN(2)/2))/(LN(2)/2)*V68*Y68*VLOOKUP('Données projet'!$B$9,Paramètres!$A$1:$I$89,3,0)*0.475*44/12</f>
        <v>3.4176652359388066E-5</v>
      </c>
      <c r="AC68" s="24">
        <f t="shared" ref="AC68:AC131" si="57">SUM(Z68:AB68)</f>
        <v>0.86500326960161822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229.00000000000003</v>
      </c>
      <c r="AJ68" s="14">
        <f>AI68*VLOOKUP('Données projet'!$B$10,Paramètres!$A$1:$I$89,3,0)*VLOOKUP('Données projet'!$B$10,Paramètres!$A$1:$I$89,5,0)</f>
        <v>232.20600000000005</v>
      </c>
      <c r="AK68" s="14">
        <f t="shared" si="35"/>
        <v>56.759404991217572</v>
      </c>
      <c r="AL68" s="22">
        <f t="shared" ref="AL68:AL131" si="58">(AJ68+AK68)*0.475*44/12</f>
        <v>503.28141369303734</v>
      </c>
      <c r="AM68" s="62">
        <f t="shared" ref="AM68:AM131" si="59">AL68+(AD68+AE68)*44/12</f>
        <v>796.61474702637065</v>
      </c>
      <c r="AN68" s="62">
        <f ca="1">AVERAGE(OFFSET($AM$3,0,0,'Données projet'!$E$10+1,1))-AVERAGE(OFFSET($H$3,0,0,'Données projet'!$E$10+1,1))</f>
        <v>411.98877330238821</v>
      </c>
      <c r="AO68" s="62">
        <f t="shared" si="36"/>
        <v>256.4377087753457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146</v>
      </c>
      <c r="BB68" s="13">
        <f>VLOOKUP(A68,'Données projet'!$A$87:$I$107,9,0)</f>
        <v>2.6</v>
      </c>
      <c r="BC68" s="13">
        <f t="array" ref="BC68">INDEX(BB:BB,MIN(IF(ISNUMBER(BB68:BB264),ROW(BB68:BB264),"")))</f>
        <v>2.6</v>
      </c>
      <c r="BD68" s="13">
        <f>IF('Données projet'!$A$88&gt;35,BD67+BC68-BL67,IF(A68&lt;'Données projet'!$A$88,$BA$205^A68,IF(A68='Données projet'!$A$88,'Données projet'!$B$88,BD67+BC68-BL67)))</f>
        <v>145.99999999999991</v>
      </c>
      <c r="BE68" s="14">
        <f>BD68*VLOOKUP('Données projet'!$B$11,Paramètres!$A$1:$I$89,3,0)*VLOOKUP('Données projet'!$B$11,Paramètres!$A$1:$I$89,5,0)</f>
        <v>127.54559999999995</v>
      </c>
      <c r="BF68" s="14">
        <f t="shared" si="37"/>
        <v>33.428591950384806</v>
      </c>
      <c r="BG68" s="22">
        <f t="shared" ref="BG68:BG131" si="61">(BE68+BF68)*0.475*44/12</f>
        <v>280.36338431358678</v>
      </c>
      <c r="BH68" s="62">
        <f t="shared" ref="BH68:BH131" si="62">BG68+(AY68+AZ68)*44/12</f>
        <v>573.69671764692009</v>
      </c>
      <c r="BI68" s="62">
        <f ca="1">AVERAGE(OFFSET($BH$3,0,0,'Données projet'!$E$11+1,1))-AVERAGE(OFFSET($H$3,0,0,'Données projet'!$E$11+1,1))</f>
        <v>195.30963433439501</v>
      </c>
      <c r="BJ68" s="62">
        <f t="shared" si="38"/>
        <v>185.00219255324504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6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7.3676405556838401E-5</v>
      </c>
      <c r="BS68" s="24">
        <f t="shared" ref="BS68:BS131" si="63">SUM(BP68:BR68)</f>
        <v>7.3676405556838401E-5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161</v>
      </c>
      <c r="BW68" s="13">
        <f>VLOOKUP(A68,'Données projet'!$A$113:$I$133,9,0)</f>
        <v>5.2</v>
      </c>
      <c r="BX68" s="13">
        <f t="array" ref="BX68">INDEX(BW:BW,MIN(IF(ISNUMBER(BW68:BW264),ROW(BW68:BW264),"")))</f>
        <v>5.2</v>
      </c>
      <c r="BY68" s="13">
        <f>IF('Données projet'!$A$114&gt;35,BY67+BX68-CG67,IF(A68&lt;'Données projet'!$A$114,$BV$205^A68,IF(A68='Données projet'!$A$114,'Données projet'!$B$114,BY67+BX68-CG67)))</f>
        <v>160.99999999999986</v>
      </c>
      <c r="BZ68" s="14">
        <f>BY68*VLOOKUP('Données projet'!$B$12,Paramètres!$A$1:$I$89,3,0)*VLOOKUP('Données projet'!$B$12,Paramètres!$A$1:$I$89,5,0)</f>
        <v>155.71919999999986</v>
      </c>
      <c r="CA68" s="14">
        <f t="shared" si="39"/>
        <v>39.875450340770094</v>
      </c>
      <c r="CB68" s="22">
        <f t="shared" ref="CB68:CB131" si="64">(BZ68+CA68)*0.475*44/12</f>
        <v>340.66068267684102</v>
      </c>
      <c r="CC68" s="62">
        <f t="shared" ref="CC68:CC131" si="65">CB68+(BT68+BU68)*44/12</f>
        <v>633.99401601017439</v>
      </c>
      <c r="CD68" s="62">
        <f ca="1">AVERAGE(OFFSET($CC$3,0,0,'Données projet'!$E$12+1,1))-AVERAGE(OFFSET($H$3,0,0,'Données projet'!$E$12+1,1))</f>
        <v>298.18906674058809</v>
      </c>
      <c r="CE68" s="62">
        <f t="shared" si="40"/>
        <v>154.08406475869634</v>
      </c>
      <c r="CF68" s="16">
        <f>IF(ISNA(VLOOKUP(A68,'Données projet'!$A$113:$I$133,3,0)),0,VLOOKUP(A68,'Données projet'!$A$113:$I$133,3,0))</f>
        <v>9</v>
      </c>
      <c r="CG68" s="16">
        <f>IF(ISNA(VLOOKUP(A68,'Données projet'!$A$113:$I$133,4,0)),0,VLOOKUP(A68,'Données projet'!$A$113:$I$133,4,0))</f>
        <v>14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1.9895196601282805E-13</v>
      </c>
      <c r="O69" s="14">
        <f>N69*VLOOKUP('Données projet'!$B$9,Paramètres!$A$1:$I$89,3,0)*VLOOKUP('Données projet'!$B$9,Paramètres!$A$1:$I$89,5,0)</f>
        <v>1.8001173884840681E-13</v>
      </c>
      <c r="P69" s="14">
        <f t="shared" ref="P69:P132" si="87">EXP(-1.0587+0.8836*LN(O69)+0.284)</f>
        <v>2.5254331426407198E-12</v>
      </c>
      <c r="Q69" s="22">
        <f t="shared" si="54"/>
        <v>4.7119831685935622E-12</v>
      </c>
      <c r="R69" s="62">
        <f t="shared" si="55"/>
        <v>293.33333333333803</v>
      </c>
      <c r="S69" s="62">
        <f ca="1">AVERAGE(OFFSET($R$3,0,0,'Données projet'!$E$9+1,1))-AVERAGE(OFFSET($H$3,0,0,'Données projet'!$E$9+1,1))</f>
        <v>302.6112905010138</v>
      </c>
      <c r="T69" s="62">
        <f t="shared" ref="T69:T132" si="88">$T$3</f>
        <v>423.44006663873375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0.84131646761581369</v>
      </c>
      <c r="AB69" s="23">
        <f>EXP(-LN(2)/2)*AB68+(1-EXP(-LN(2)/2))/(LN(2)/2)*V69*Y69*VLOOKUP('Données projet'!$B$9,Paramètres!$A$1:$I$89,3,0)*0.475*44/12</f>
        <v>2.4166542641578521E-5</v>
      </c>
      <c r="AC69" s="24">
        <f t="shared" si="57"/>
        <v>0.84134063415845528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214.80000000000004</v>
      </c>
      <c r="AJ69" s="14">
        <f>AI69*VLOOKUP('Données projet'!$B$10,Paramètres!$A$1:$I$89,3,0)*VLOOKUP('Données projet'!$B$10,Paramètres!$A$1:$I$89,5,0)</f>
        <v>217.80720000000005</v>
      </c>
      <c r="AK69" s="14">
        <f t="shared" ref="AK69:AK132" si="89">EXP(-1.0587+0.8836*LN(AJ69)+0.284)</f>
        <v>53.638013973813976</v>
      </c>
      <c r="AL69" s="22">
        <f t="shared" si="58"/>
        <v>472.76708100439265</v>
      </c>
      <c r="AM69" s="62">
        <f t="shared" si="59"/>
        <v>766.10041433772597</v>
      </c>
      <c r="AN69" s="62">
        <f ca="1">AVERAGE(OFFSET($AM$3,0,0,'Données projet'!$E$10+1,1))-AVERAGE(OFFSET($H$3,0,0,'Données projet'!$E$10+1,1))</f>
        <v>411.98877330238821</v>
      </c>
      <c r="AO69" s="62">
        <f t="shared" ref="AO69:AO132" si="90">$AO$3</f>
        <v>256.4377087753457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2</v>
      </c>
      <c r="BD69" s="13">
        <f>IF('Données projet'!$A$88&gt;35,BD68+BC69-BL68,IF(A69&lt;'Données projet'!$A$88,$BA$205^A69,IF(A69='Données projet'!$A$88,'Données projet'!$B$88,BD68+BC69-BL68)))</f>
        <v>141.99999999999991</v>
      </c>
      <c r="BE69" s="14">
        <f>BD69*VLOOKUP('Données projet'!$B$11,Paramètres!$A$1:$I$89,3,0)*VLOOKUP('Données projet'!$B$11,Paramètres!$A$1:$I$89,5,0)</f>
        <v>124.05119999999994</v>
      </c>
      <c r="BF69" s="14">
        <f t="shared" ref="BF69:BF132" si="91">EXP(-1.0587+0.8836*LN(BE69)+0.284)</f>
        <v>32.618041559365977</v>
      </c>
      <c r="BG69" s="22">
        <f t="shared" si="61"/>
        <v>272.86559571589561</v>
      </c>
      <c r="BH69" s="62">
        <f t="shared" si="62"/>
        <v>566.19892904922892</v>
      </c>
      <c r="BI69" s="62">
        <f ca="1">AVERAGE(OFFSET($BH$3,0,0,'Données projet'!$E$11+1,1))-AVERAGE(OFFSET($H$3,0,0,'Données projet'!$E$11+1,1))</f>
        <v>195.30963433439501</v>
      </c>
      <c r="BJ69" s="62">
        <f t="shared" ref="BJ69:BJ132" si="92">$BJ$3</f>
        <v>185.00219255324504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5.2097085982690666E-5</v>
      </c>
      <c r="BS69" s="24">
        <f t="shared" si="63"/>
        <v>5.2097085982690666E-5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5.2</v>
      </c>
      <c r="BY69" s="13">
        <f>IF('Données projet'!$A$114&gt;35,BY68+BX69-CG68,IF(A69&lt;'Données projet'!$A$114,$BV$205^A69,IF(A69='Données projet'!$A$114,'Données projet'!$B$114,BY68+BX69-CG68)))</f>
        <v>152.19999999999985</v>
      </c>
      <c r="BZ69" s="14">
        <f>BY69*VLOOKUP('Données projet'!$B$12,Paramètres!$A$1:$I$89,3,0)*VLOOKUP('Données projet'!$B$12,Paramètres!$A$1:$I$89,5,0)</f>
        <v>147.20783999999986</v>
      </c>
      <c r="CA69" s="14">
        <f t="shared" ref="CA69:CA132" si="93">EXP(-1.0587+0.8836*LN(BZ69)+0.284)</f>
        <v>37.94336501087632</v>
      </c>
      <c r="CB69" s="22">
        <f t="shared" si="64"/>
        <v>322.4716820606094</v>
      </c>
      <c r="CC69" s="62">
        <f t="shared" si="65"/>
        <v>615.80501539394277</v>
      </c>
      <c r="CD69" s="62">
        <f ca="1">AVERAGE(OFFSET($CC$3,0,0,'Données projet'!$E$12+1,1))-AVERAGE(OFFSET($H$3,0,0,'Données projet'!$E$12+1,1))</f>
        <v>298.18906674058809</v>
      </c>
      <c r="CE69" s="62">
        <f t="shared" ref="CE69:CE132" si="94">$CE$3</f>
        <v>154.08406475869634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1.9895196601282805E-13</v>
      </c>
      <c r="O70" s="14">
        <f>N70*VLOOKUP('Données projet'!$B$9,Paramètres!$A$1:$I$89,3,0)*VLOOKUP('Données projet'!$B$9,Paramètres!$A$1:$I$89,5,0)</f>
        <v>1.8001173884840681E-13</v>
      </c>
      <c r="P70" s="14">
        <f t="shared" si="87"/>
        <v>2.5254331426407198E-12</v>
      </c>
      <c r="Q70" s="22">
        <f t="shared" si="54"/>
        <v>4.7119831685935622E-12</v>
      </c>
      <c r="R70" s="62">
        <f t="shared" si="55"/>
        <v>293.33333333333803</v>
      </c>
      <c r="S70" s="62">
        <f ca="1">AVERAGE(OFFSET($R$3,0,0,'Données projet'!$E$9+1,1))-AVERAGE(OFFSET($H$3,0,0,'Données projet'!$E$9+1,1))</f>
        <v>302.6112905010138</v>
      </c>
      <c r="T70" s="62">
        <f t="shared" si="88"/>
        <v>423.44006663873375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0.81831062456594905</v>
      </c>
      <c r="AB70" s="23">
        <f>EXP(-LN(2)/2)*AB69+(1-EXP(-LN(2)/2))/(LN(2)/2)*V70*Y70*VLOOKUP('Données projet'!$B$9,Paramètres!$A$1:$I$89,3,0)*0.475*44/12</f>
        <v>1.7088326179694033E-5</v>
      </c>
      <c r="AC70" s="24">
        <f t="shared" si="57"/>
        <v>0.8183277128921288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221.60000000000005</v>
      </c>
      <c r="AJ70" s="14">
        <f>AI70*VLOOKUP('Données projet'!$B$10,Paramètres!$A$1:$I$89,3,0)*VLOOKUP('Données projet'!$B$10,Paramètres!$A$1:$I$89,5,0)</f>
        <v>224.7024000000001</v>
      </c>
      <c r="AK70" s="14">
        <f t="shared" si="89"/>
        <v>55.135667706678312</v>
      </c>
      <c r="AL70" s="22">
        <f t="shared" si="58"/>
        <v>487.38463458913157</v>
      </c>
      <c r="AM70" s="62">
        <f t="shared" si="59"/>
        <v>780.71796792246482</v>
      </c>
      <c r="AN70" s="62">
        <f ca="1">AVERAGE(OFFSET($AM$3,0,0,'Données projet'!$E$10+1,1))-AVERAGE(OFFSET($H$3,0,0,'Données projet'!$E$10+1,1))</f>
        <v>411.98877330238821</v>
      </c>
      <c r="AO70" s="62">
        <f t="shared" si="90"/>
        <v>256.4377087753457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2</v>
      </c>
      <c r="BD70" s="13">
        <f>IF('Données projet'!$A$88&gt;35,BD69+BC70-BL69,IF(A70&lt;'Données projet'!$A$88,$BA$205^A70,IF(A70='Données projet'!$A$88,'Données projet'!$B$88,BD69+BC70-BL69)))</f>
        <v>143.99999999999991</v>
      </c>
      <c r="BE70" s="14">
        <f>BD70*VLOOKUP('Données projet'!$B$11,Paramètres!$A$1:$I$89,3,0)*VLOOKUP('Données projet'!$B$11,Paramètres!$A$1:$I$89,5,0)</f>
        <v>125.79839999999994</v>
      </c>
      <c r="BF70" s="14">
        <f t="shared" si="91"/>
        <v>33.023644363399924</v>
      </c>
      <c r="BG70" s="22">
        <f t="shared" si="61"/>
        <v>276.61506059958811</v>
      </c>
      <c r="BH70" s="62">
        <f t="shared" si="62"/>
        <v>569.94839393292136</v>
      </c>
      <c r="BI70" s="62">
        <f ca="1">AVERAGE(OFFSET($BH$3,0,0,'Données projet'!$E$11+1,1))-AVERAGE(OFFSET($H$3,0,0,'Données projet'!$E$11+1,1))</f>
        <v>195.30963433439501</v>
      </c>
      <c r="BJ70" s="62">
        <f t="shared" si="92"/>
        <v>185.00219255324504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3.68382027784192E-5</v>
      </c>
      <c r="BS70" s="24">
        <f t="shared" si="63"/>
        <v>3.68382027784192E-5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5.2</v>
      </c>
      <c r="BY70" s="13">
        <f>IF('Données projet'!$A$114&gt;35,BY69+BX70-CG69,IF(A70&lt;'Données projet'!$A$114,$BV$205^A70,IF(A70='Données projet'!$A$114,'Données projet'!$B$114,BY69+BX70-CG69)))</f>
        <v>157.39999999999984</v>
      </c>
      <c r="BZ70" s="14">
        <f>BY70*VLOOKUP('Données projet'!$B$12,Paramètres!$A$1:$I$89,3,0)*VLOOKUP('Données projet'!$B$12,Paramètres!$A$1:$I$89,5,0)</f>
        <v>152.23727999999983</v>
      </c>
      <c r="CA70" s="14">
        <f t="shared" si="93"/>
        <v>39.08657660953731</v>
      </c>
      <c r="CB70" s="22">
        <f t="shared" si="64"/>
        <v>333.22238359494384</v>
      </c>
      <c r="CC70" s="62">
        <f t="shared" si="65"/>
        <v>626.55571692827721</v>
      </c>
      <c r="CD70" s="62">
        <f ca="1">AVERAGE(OFFSET($CC$3,0,0,'Données projet'!$E$12+1,1))-AVERAGE(OFFSET($H$3,0,0,'Données projet'!$E$12+1,1))</f>
        <v>298.18906674058809</v>
      </c>
      <c r="CE70" s="62">
        <f t="shared" si="94"/>
        <v>154.08406475869634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1.9895196601282805E-13</v>
      </c>
      <c r="O71" s="14">
        <f>N71*VLOOKUP('Données projet'!$B$9,Paramètres!$A$1:$I$89,3,0)*VLOOKUP('Données projet'!$B$9,Paramètres!$A$1:$I$89,5,0)</f>
        <v>1.8001173884840681E-13</v>
      </c>
      <c r="P71" s="14">
        <f t="shared" si="87"/>
        <v>2.5254331426407198E-12</v>
      </c>
      <c r="Q71" s="22">
        <f t="shared" si="54"/>
        <v>4.7119831685935622E-12</v>
      </c>
      <c r="R71" s="62">
        <f t="shared" si="55"/>
        <v>293.33333333333803</v>
      </c>
      <c r="S71" s="62">
        <f ca="1">AVERAGE(OFFSET($R$3,0,0,'Données projet'!$E$9+1,1))-AVERAGE(OFFSET($H$3,0,0,'Données projet'!$E$9+1,1))</f>
        <v>302.6112905010138</v>
      </c>
      <c r="T71" s="62">
        <f t="shared" si="88"/>
        <v>423.44006663873375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0.79593387750410771</v>
      </c>
      <c r="AB71" s="23">
        <f>EXP(-LN(2)/2)*AB70+(1-EXP(-LN(2)/2))/(LN(2)/2)*V71*Y71*VLOOKUP('Données projet'!$B$9,Paramètres!$A$1:$I$89,3,0)*0.475*44/12</f>
        <v>1.208327132078926E-5</v>
      </c>
      <c r="AC71" s="24">
        <f t="shared" si="57"/>
        <v>0.79594596077542845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228.40000000000006</v>
      </c>
      <c r="AJ71" s="14">
        <f>AI71*VLOOKUP('Données projet'!$B$10,Paramètres!$A$1:$I$89,3,0)*VLOOKUP('Données projet'!$B$10,Paramètres!$A$1:$I$89,5,0)</f>
        <v>231.59760000000006</v>
      </c>
      <c r="AK71" s="14">
        <f t="shared" si="89"/>
        <v>56.627980714948151</v>
      </c>
      <c r="AL71" s="22">
        <f t="shared" si="58"/>
        <v>501.99288641186803</v>
      </c>
      <c r="AM71" s="62">
        <f t="shared" si="59"/>
        <v>795.32621974520134</v>
      </c>
      <c r="AN71" s="62">
        <f ca="1">AVERAGE(OFFSET($AM$3,0,0,'Données projet'!$E$10+1,1))-AVERAGE(OFFSET($H$3,0,0,'Données projet'!$E$10+1,1))</f>
        <v>411.98877330238821</v>
      </c>
      <c r="AO71" s="62">
        <f t="shared" si="90"/>
        <v>256.4377087753457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2</v>
      </c>
      <c r="BD71" s="13">
        <f>IF('Données projet'!$A$88&gt;35,BD70+BC71-BL70,IF(A71&lt;'Données projet'!$A$88,$BA$205^A71,IF(A71='Données projet'!$A$88,'Données projet'!$B$88,BD70+BC71-BL70)))</f>
        <v>145.99999999999991</v>
      </c>
      <c r="BE71" s="14">
        <f>BD71*VLOOKUP('Données projet'!$B$11,Paramètres!$A$1:$I$89,3,0)*VLOOKUP('Données projet'!$B$11,Paramètres!$A$1:$I$89,5,0)</f>
        <v>127.54559999999995</v>
      </c>
      <c r="BF71" s="14">
        <f t="shared" si="91"/>
        <v>33.428591950384806</v>
      </c>
      <c r="BG71" s="22">
        <f t="shared" si="61"/>
        <v>280.36338431358678</v>
      </c>
      <c r="BH71" s="62">
        <f t="shared" si="62"/>
        <v>573.69671764692009</v>
      </c>
      <c r="BI71" s="62">
        <f ca="1">AVERAGE(OFFSET($BH$3,0,0,'Données projet'!$E$11+1,1))-AVERAGE(OFFSET($H$3,0,0,'Données projet'!$E$11+1,1))</f>
        <v>195.30963433439501</v>
      </c>
      <c r="BJ71" s="62">
        <f t="shared" si="92"/>
        <v>185.00219255324504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2.6048542991345333E-5</v>
      </c>
      <c r="BS71" s="24">
        <f t="shared" si="63"/>
        <v>2.6048542991345333E-5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5.2</v>
      </c>
      <c r="BY71" s="13">
        <f>IF('Données projet'!$A$114&gt;35,BY70+BX71-CG70,IF(A71&lt;'Données projet'!$A$114,$BV$205^A71,IF(A71='Données projet'!$A$114,'Données projet'!$B$114,BY70+BX71-CG70)))</f>
        <v>162.59999999999982</v>
      </c>
      <c r="BZ71" s="14">
        <f>BY71*VLOOKUP('Données projet'!$B$12,Paramètres!$A$1:$I$89,3,0)*VLOOKUP('Données projet'!$B$12,Paramètres!$A$1:$I$89,5,0)</f>
        <v>157.26671999999982</v>
      </c>
      <c r="CA71" s="14">
        <f t="shared" si="93"/>
        <v>40.225399598929073</v>
      </c>
      <c r="CB71" s="22">
        <f t="shared" si="64"/>
        <v>343.96544163480115</v>
      </c>
      <c r="CC71" s="62">
        <f t="shared" si="65"/>
        <v>637.29877496813447</v>
      </c>
      <c r="CD71" s="62">
        <f ca="1">AVERAGE(OFFSET($CC$3,0,0,'Données projet'!$E$12+1,1))-AVERAGE(OFFSET($H$3,0,0,'Données projet'!$E$12+1,1))</f>
        <v>298.18906674058809</v>
      </c>
      <c r="CE71" s="62">
        <f t="shared" si="94"/>
        <v>154.08406475869634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1.9895196601282805E-13</v>
      </c>
      <c r="O72" s="14">
        <f>N72*VLOOKUP('Données projet'!$B$9,Paramètres!$A$1:$I$89,3,0)*VLOOKUP('Données projet'!$B$9,Paramètres!$A$1:$I$89,5,0)</f>
        <v>1.8001173884840681E-13</v>
      </c>
      <c r="P72" s="14">
        <f t="shared" si="87"/>
        <v>2.5254331426407198E-12</v>
      </c>
      <c r="Q72" s="22">
        <f t="shared" si="54"/>
        <v>4.7119831685935622E-12</v>
      </c>
      <c r="R72" s="62">
        <f t="shared" si="55"/>
        <v>293.33333333333803</v>
      </c>
      <c r="S72" s="62">
        <f ca="1">AVERAGE(OFFSET($R$3,0,0,'Données projet'!$E$9+1,1))-AVERAGE(OFFSET($H$3,0,0,'Données projet'!$E$9+1,1))</f>
        <v>302.6112905010138</v>
      </c>
      <c r="T72" s="62">
        <f t="shared" si="88"/>
        <v>423.44006663873375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0.77416902376741437</v>
      </c>
      <c r="AB72" s="23">
        <f>EXP(-LN(2)/2)*AB71+(1-EXP(-LN(2)/2))/(LN(2)/2)*V72*Y72*VLOOKUP('Données projet'!$B$9,Paramètres!$A$1:$I$89,3,0)*0.475*44/12</f>
        <v>8.5441630898470166E-6</v>
      </c>
      <c r="AC72" s="24">
        <f t="shared" si="57"/>
        <v>0.77417756793050418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235.20000000000007</v>
      </c>
      <c r="AJ72" s="14">
        <f>AI72*VLOOKUP('Données projet'!$B$10,Paramètres!$A$1:$I$89,3,0)*VLOOKUP('Données projet'!$B$10,Paramètres!$A$1:$I$89,5,0)</f>
        <v>238.4928000000001</v>
      </c>
      <c r="AK72" s="14">
        <f t="shared" si="89"/>
        <v>58.115130258576592</v>
      </c>
      <c r="AL72" s="22">
        <f t="shared" si="58"/>
        <v>516.59214520035437</v>
      </c>
      <c r="AM72" s="62">
        <f t="shared" si="59"/>
        <v>809.92547853368774</v>
      </c>
      <c r="AN72" s="62">
        <f ca="1">AVERAGE(OFFSET($AM$3,0,0,'Données projet'!$E$10+1,1))-AVERAGE(OFFSET($H$3,0,0,'Données projet'!$E$10+1,1))</f>
        <v>411.98877330238821</v>
      </c>
      <c r="AO72" s="62">
        <f t="shared" si="90"/>
        <v>256.4377087753457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2</v>
      </c>
      <c r="BD72" s="13">
        <f>IF('Données projet'!$A$88&gt;35,BD71+BC72-BL71,IF(A72&lt;'Données projet'!$A$88,$BA$205^A72,IF(A72='Données projet'!$A$88,'Données projet'!$B$88,BD71+BC72-BL71)))</f>
        <v>147.99999999999991</v>
      </c>
      <c r="BE72" s="14">
        <f>BD72*VLOOKUP('Données projet'!$B$11,Paramètres!$A$1:$I$89,3,0)*VLOOKUP('Données projet'!$B$11,Paramètres!$A$1:$I$89,5,0)</f>
        <v>129.29279999999994</v>
      </c>
      <c r="BF72" s="14">
        <f t="shared" si="91"/>
        <v>33.832894333299215</v>
      </c>
      <c r="BG72" s="22">
        <f t="shared" si="61"/>
        <v>284.11058429716269</v>
      </c>
      <c r="BH72" s="62">
        <f t="shared" si="62"/>
        <v>577.443917630496</v>
      </c>
      <c r="BI72" s="62">
        <f ca="1">AVERAGE(OFFSET($BH$3,0,0,'Données projet'!$E$11+1,1))-AVERAGE(OFFSET($H$3,0,0,'Données projet'!$E$11+1,1))</f>
        <v>195.30963433439501</v>
      </c>
      <c r="BJ72" s="62">
        <f t="shared" si="92"/>
        <v>185.00219255324504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1.84191013892096E-5</v>
      </c>
      <c r="BS72" s="24">
        <f t="shared" si="63"/>
        <v>1.84191013892096E-5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5.2</v>
      </c>
      <c r="BY72" s="13">
        <f>IF('Données projet'!$A$114&gt;35,BY71+BX72-CG71,IF(A72&lt;'Données projet'!$A$114,$BV$205^A72,IF(A72='Données projet'!$A$114,'Données projet'!$B$114,BY71+BX72-CG71)))</f>
        <v>167.79999999999981</v>
      </c>
      <c r="BZ72" s="14">
        <f>BY72*VLOOKUP('Données projet'!$B$12,Paramètres!$A$1:$I$89,3,0)*VLOOKUP('Données projet'!$B$12,Paramètres!$A$1:$I$89,5,0)</f>
        <v>162.29615999999984</v>
      </c>
      <c r="CA72" s="14">
        <f t="shared" si="93"/>
        <v>41.359990427678127</v>
      </c>
      <c r="CB72" s="22">
        <f t="shared" si="64"/>
        <v>354.70112866153909</v>
      </c>
      <c r="CC72" s="62">
        <f t="shared" si="65"/>
        <v>648.03446199487234</v>
      </c>
      <c r="CD72" s="62">
        <f ca="1">AVERAGE(OFFSET($CC$3,0,0,'Données projet'!$E$12+1,1))-AVERAGE(OFFSET($H$3,0,0,'Données projet'!$E$12+1,1))</f>
        <v>298.18906674058809</v>
      </c>
      <c r="CE72" s="62">
        <f t="shared" si="94"/>
        <v>154.08406475869634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1.9895196601282805E-13</v>
      </c>
      <c r="O73" s="14">
        <f>N73*VLOOKUP('Données projet'!$B$9,Paramètres!$A$1:$I$89,3,0)*VLOOKUP('Données projet'!$B$9,Paramètres!$A$1:$I$89,5,0)</f>
        <v>1.8001173884840681E-13</v>
      </c>
      <c r="P73" s="14">
        <f t="shared" si="87"/>
        <v>2.5254331426407198E-12</v>
      </c>
      <c r="Q73" s="22">
        <f t="shared" si="54"/>
        <v>4.7119831685935622E-12</v>
      </c>
      <c r="R73" s="62">
        <f t="shared" si="55"/>
        <v>293.33333333333803</v>
      </c>
      <c r="S73" s="62">
        <f ca="1">AVERAGE(OFFSET($R$3,0,0,'Données projet'!$E$9+1,1))-AVERAGE(OFFSET($H$3,0,0,'Données projet'!$E$9+1,1))</f>
        <v>302.6112905010138</v>
      </c>
      <c r="T73" s="62">
        <f t="shared" si="88"/>
        <v>423.44006663873375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0.75299933110071482</v>
      </c>
      <c r="AB73" s="23">
        <f>EXP(-LN(2)/2)*AB72+(1-EXP(-LN(2)/2))/(LN(2)/2)*V73*Y73*VLOOKUP('Données projet'!$B$9,Paramètres!$A$1:$I$89,3,0)*0.475*44/12</f>
        <v>6.0416356603946302E-6</v>
      </c>
      <c r="AC73" s="24">
        <f t="shared" si="57"/>
        <v>0.75300537273637524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242.00000000000009</v>
      </c>
      <c r="AJ73" s="14">
        <f>AI73*VLOOKUP('Données projet'!$B$10,Paramètres!$A$1:$I$89,3,0)*VLOOKUP('Données projet'!$B$10,Paramètres!$A$1:$I$89,5,0)</f>
        <v>245.38800000000012</v>
      </c>
      <c r="AK73" s="14">
        <f t="shared" si="89"/>
        <v>59.597282764919569</v>
      </c>
      <c r="AL73" s="22">
        <f t="shared" si="58"/>
        <v>531.18270081556841</v>
      </c>
      <c r="AM73" s="62">
        <f t="shared" si="59"/>
        <v>824.51603414890178</v>
      </c>
      <c r="AN73" s="62">
        <f ca="1">AVERAGE(OFFSET($AM$3,0,0,'Données projet'!$E$10+1,1))-AVERAGE(OFFSET($H$3,0,0,'Données projet'!$E$10+1,1))</f>
        <v>411.98877330238821</v>
      </c>
      <c r="AO73" s="62">
        <f t="shared" si="90"/>
        <v>256.4377087753457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150</v>
      </c>
      <c r="BB73" s="13">
        <f>VLOOKUP(A73,'Données projet'!$A$87:$I$107,9,0)</f>
        <v>2</v>
      </c>
      <c r="BC73" s="13">
        <f t="array" ref="BC73">INDEX(BB:BB,MIN(IF(ISNUMBER(BB73:BB269),ROW(BB73:BB269),"")))</f>
        <v>2</v>
      </c>
      <c r="BD73" s="13">
        <f>IF('Données projet'!$A$88&gt;35,BD72+BC73-BL72,IF(A73&lt;'Données projet'!$A$88,$BA$205^A73,IF(A73='Données projet'!$A$88,'Données projet'!$B$88,BD72+BC73-BL72)))</f>
        <v>149.99999999999991</v>
      </c>
      <c r="BE73" s="14">
        <f>BD73*VLOOKUP('Données projet'!$B$11,Paramètres!$A$1:$I$89,3,0)*VLOOKUP('Données projet'!$B$11,Paramètres!$A$1:$I$89,5,0)</f>
        <v>131.03999999999994</v>
      </c>
      <c r="BF73" s="14">
        <f t="shared" si="91"/>
        <v>34.236561238949889</v>
      </c>
      <c r="BG73" s="22">
        <f t="shared" si="61"/>
        <v>287.85667749117096</v>
      </c>
      <c r="BH73" s="62">
        <f t="shared" si="62"/>
        <v>581.19001082450427</v>
      </c>
      <c r="BI73" s="62">
        <f ca="1">AVERAGE(OFFSET($BH$3,0,0,'Données projet'!$E$11+1,1))-AVERAGE(OFFSET($H$3,0,0,'Données projet'!$E$11+1,1))</f>
        <v>195.30963433439501</v>
      </c>
      <c r="BJ73" s="62">
        <f t="shared" si="92"/>
        <v>185.00219255324504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5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1.3024271495672667E-5</v>
      </c>
      <c r="BS73" s="24">
        <f t="shared" si="63"/>
        <v>1.3024271495672667E-5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173</v>
      </c>
      <c r="BW73" s="13">
        <f>VLOOKUP(A73,'Données projet'!$A$113:$I$133,9,0)</f>
        <v>5.2</v>
      </c>
      <c r="BX73" s="13">
        <f t="array" ref="BX73">INDEX(BW:BW,MIN(IF(ISNUMBER(BW73:BW269),ROW(BW73:BW269),"")))</f>
        <v>5.2</v>
      </c>
      <c r="BY73" s="13">
        <f>IF('Données projet'!$A$114&gt;35,BY72+BX73-CG72,IF(A73&lt;'Données projet'!$A$114,$BV$205^A73,IF(A73='Données projet'!$A$114,'Données projet'!$B$114,BY72+BX73-CG72)))</f>
        <v>172.9999999999998</v>
      </c>
      <c r="BZ73" s="14">
        <f>BY73*VLOOKUP('Données projet'!$B$12,Paramètres!$A$1:$I$89,3,0)*VLOOKUP('Données projet'!$B$12,Paramètres!$A$1:$I$89,5,0)</f>
        <v>167.32559999999981</v>
      </c>
      <c r="CA73" s="14">
        <f t="shared" si="93"/>
        <v>42.490495297127566</v>
      </c>
      <c r="CB73" s="22">
        <f t="shared" si="64"/>
        <v>365.42969930916348</v>
      </c>
      <c r="CC73" s="62">
        <f t="shared" si="65"/>
        <v>658.7630326424968</v>
      </c>
      <c r="CD73" s="62">
        <f ca="1">AVERAGE(OFFSET($CC$3,0,0,'Données projet'!$E$12+1,1))-AVERAGE(OFFSET($H$3,0,0,'Données projet'!$E$12+1,1))</f>
        <v>298.18906674058809</v>
      </c>
      <c r="CE73" s="62">
        <f t="shared" si="94"/>
        <v>154.08406475869634</v>
      </c>
      <c r="CF73" s="16">
        <f>IF(ISNA(VLOOKUP(A73,'Données projet'!$A$113:$I$133,3,0)),0,VLOOKUP(A73,'Données projet'!$A$113:$I$133,3,0))</f>
        <v>10</v>
      </c>
      <c r="CG73" s="16">
        <f>IF(ISNA(VLOOKUP(A73,'Données projet'!$A$113:$I$133,4,0)),0,VLOOKUP(A73,'Données projet'!$A$113:$I$133,4,0))</f>
        <v>14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1.9895196601282805E-13</v>
      </c>
      <c r="O74" s="14">
        <f>N74*VLOOKUP('Données projet'!$B$9,Paramètres!$A$1:$I$89,3,0)*VLOOKUP('Données projet'!$B$9,Paramètres!$A$1:$I$89,5,0)</f>
        <v>1.8001173884840681E-13</v>
      </c>
      <c r="P74" s="14">
        <f t="shared" si="87"/>
        <v>2.5254331426407198E-12</v>
      </c>
      <c r="Q74" s="22">
        <f t="shared" si="54"/>
        <v>4.7119831685935622E-12</v>
      </c>
      <c r="R74" s="62">
        <f t="shared" si="55"/>
        <v>293.33333333333803</v>
      </c>
      <c r="S74" s="62">
        <f ca="1">AVERAGE(OFFSET($R$3,0,0,'Données projet'!$E$9+1,1))-AVERAGE(OFFSET($H$3,0,0,'Données projet'!$E$9+1,1))</f>
        <v>302.6112905010138</v>
      </c>
      <c r="T74" s="62">
        <f t="shared" si="88"/>
        <v>423.44006663873375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0.73240852479325191</v>
      </c>
      <c r="AB74" s="23">
        <f>EXP(-LN(2)/2)*AB73+(1-EXP(-LN(2)/2))/(LN(2)/2)*V74*Y74*VLOOKUP('Données projet'!$B$9,Paramètres!$A$1:$I$89,3,0)*0.475*44/12</f>
        <v>4.2720815449235083E-6</v>
      </c>
      <c r="AC74" s="24">
        <f t="shared" si="57"/>
        <v>0.73241279687479688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6.4</v>
      </c>
      <c r="AI74" s="14">
        <f>IF('Données projet'!$A$62&gt;35,AI73+AH74-AQ73,IF(A74&lt;'Données projet'!$A$62,$AF$205^A74,IF(A74='Données projet'!$A$62,'Données projet'!$B$62,AI73+AH74-AQ73)))</f>
        <v>227.40000000000009</v>
      </c>
      <c r="AJ74" s="14">
        <f>AI74*VLOOKUP('Données projet'!$B$10,Paramètres!$A$1:$I$89,3,0)*VLOOKUP('Données projet'!$B$10,Paramètres!$A$1:$I$89,5,0)</f>
        <v>230.5836000000001</v>
      </c>
      <c r="AK74" s="14">
        <f t="shared" si="89"/>
        <v>56.408850878328018</v>
      </c>
      <c r="AL74" s="22">
        <f t="shared" si="58"/>
        <v>499.84518527975473</v>
      </c>
      <c r="AM74" s="62">
        <f t="shared" si="59"/>
        <v>793.17851861308804</v>
      </c>
      <c r="AN74" s="62">
        <f ca="1">AVERAGE(OFFSET($AM$3,0,0,'Données projet'!$E$10+1,1))-AVERAGE(OFFSET($H$3,0,0,'Données projet'!$E$10+1,1))</f>
        <v>411.98877330238821</v>
      </c>
      <c r="AO74" s="62">
        <f t="shared" si="90"/>
        <v>256.4377087753457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2</v>
      </c>
      <c r="BD74" s="13">
        <f>IF('Données projet'!$A$88&gt;35,BD73+BC74-BL73,IF(A74&lt;'Données projet'!$A$88,$BA$205^A74,IF(A74='Données projet'!$A$88,'Données projet'!$B$88,BD73+BC74-BL73)))</f>
        <v>146.99999999999991</v>
      </c>
      <c r="BE74" s="14">
        <f>BD74*VLOOKUP('Données projet'!$B$11,Paramètres!$A$1:$I$89,3,0)*VLOOKUP('Données projet'!$B$11,Paramètres!$A$1:$I$89,5,0)</f>
        <v>128.41919999999996</v>
      </c>
      <c r="BF74" s="14">
        <f t="shared" si="91"/>
        <v>33.630823177860727</v>
      </c>
      <c r="BG74" s="22">
        <f t="shared" si="61"/>
        <v>282.23712370144068</v>
      </c>
      <c r="BH74" s="62">
        <f t="shared" si="62"/>
        <v>575.57045703477399</v>
      </c>
      <c r="BI74" s="62">
        <f ca="1">AVERAGE(OFFSET($BH$3,0,0,'Données projet'!$E$11+1,1))-AVERAGE(OFFSET($H$3,0,0,'Données projet'!$E$11+1,1))</f>
        <v>195.30963433439501</v>
      </c>
      <c r="BJ74" s="62">
        <f t="shared" si="92"/>
        <v>185.00219255324504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9.2095506946048001E-6</v>
      </c>
      <c r="BS74" s="24">
        <f t="shared" si="63"/>
        <v>9.2095506946048001E-6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4.8</v>
      </c>
      <c r="BY74" s="13">
        <f>IF('Données projet'!$A$114&gt;35,BY73+BX74-CG73,IF(A74&lt;'Données projet'!$A$114,$BV$205^A74,IF(A74='Données projet'!$A$114,'Données projet'!$B$114,BY73+BX74-CG73)))</f>
        <v>163.79999999999981</v>
      </c>
      <c r="BZ74" s="14">
        <f>BY74*VLOOKUP('Données projet'!$B$12,Paramètres!$A$1:$I$89,3,0)*VLOOKUP('Données projet'!$B$12,Paramètres!$A$1:$I$89,5,0)</f>
        <v>158.42735999999982</v>
      </c>
      <c r="CA74" s="14">
        <f t="shared" si="93"/>
        <v>40.487598405868177</v>
      </c>
      <c r="CB74" s="22">
        <f t="shared" si="64"/>
        <v>346.44355255688674</v>
      </c>
      <c r="CC74" s="62">
        <f t="shared" si="65"/>
        <v>639.77688589022</v>
      </c>
      <c r="CD74" s="62">
        <f ca="1">AVERAGE(OFFSET($CC$3,0,0,'Données projet'!$E$12+1,1))-AVERAGE(OFFSET($H$3,0,0,'Données projet'!$E$12+1,1))</f>
        <v>298.18906674058809</v>
      </c>
      <c r="CE74" s="62">
        <f t="shared" si="94"/>
        <v>154.08406475869634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1.9895196601282805E-13</v>
      </c>
      <c r="O75" s="14">
        <f>N75*VLOOKUP('Données projet'!$B$9,Paramètres!$A$1:$I$89,3,0)*VLOOKUP('Données projet'!$B$9,Paramètres!$A$1:$I$89,5,0)</f>
        <v>1.8001173884840681E-13</v>
      </c>
      <c r="P75" s="14">
        <f t="shared" si="87"/>
        <v>2.5254331426407198E-12</v>
      </c>
      <c r="Q75" s="22">
        <f t="shared" si="54"/>
        <v>4.7119831685935622E-12</v>
      </c>
      <c r="R75" s="62">
        <f t="shared" si="55"/>
        <v>293.33333333333803</v>
      </c>
      <c r="S75" s="62">
        <f ca="1">AVERAGE(OFFSET($R$3,0,0,'Données projet'!$E$9+1,1))-AVERAGE(OFFSET($H$3,0,0,'Données projet'!$E$9+1,1))</f>
        <v>302.6112905010138</v>
      </c>
      <c r="T75" s="62">
        <f t="shared" si="88"/>
        <v>423.44006663873375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0.71238077516709009</v>
      </c>
      <c r="AB75" s="23">
        <f>EXP(-LN(2)/2)*AB74+(1-EXP(-LN(2)/2))/(LN(2)/2)*V75*Y75*VLOOKUP('Données projet'!$B$9,Paramètres!$A$1:$I$89,3,0)*0.475*44/12</f>
        <v>3.0208178301973151E-6</v>
      </c>
      <c r="AC75" s="24">
        <f t="shared" si="57"/>
        <v>0.7123837959849203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6.4</v>
      </c>
      <c r="AI75" s="14">
        <f>IF('Données projet'!$A$62&gt;35,AI74+AH75-AQ74,IF(A75&lt;'Données projet'!$A$62,$AF$205^A75,IF(A75='Données projet'!$A$62,'Données projet'!$B$62,AI74+AH75-AQ74)))</f>
        <v>233.8000000000001</v>
      </c>
      <c r="AJ75" s="14">
        <f>AI75*VLOOKUP('Données projet'!$B$10,Paramètres!$A$1:$I$89,3,0)*VLOOKUP('Données projet'!$B$10,Paramètres!$A$1:$I$89,5,0)</f>
        <v>237.0732000000001</v>
      </c>
      <c r="AK75" s="14">
        <f t="shared" si="89"/>
        <v>57.809366223361302</v>
      </c>
      <c r="AL75" s="22">
        <f t="shared" si="58"/>
        <v>513.58713617235435</v>
      </c>
      <c r="AM75" s="62">
        <f t="shared" si="59"/>
        <v>806.92046950568761</v>
      </c>
      <c r="AN75" s="62">
        <f ca="1">AVERAGE(OFFSET($AM$3,0,0,'Données projet'!$E$10+1,1))-AVERAGE(OFFSET($H$3,0,0,'Données projet'!$E$10+1,1))</f>
        <v>411.98877330238821</v>
      </c>
      <c r="AO75" s="62">
        <f t="shared" si="90"/>
        <v>256.4377087753457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2</v>
      </c>
      <c r="BD75" s="13">
        <f>IF('Données projet'!$A$88&gt;35,BD74+BC75-BL74,IF(A75&lt;'Données projet'!$A$88,$BA$205^A75,IF(A75='Données projet'!$A$88,'Données projet'!$B$88,BD74+BC75-BL74)))</f>
        <v>148.99999999999991</v>
      </c>
      <c r="BE75" s="14">
        <f>BD75*VLOOKUP('Données projet'!$B$11,Paramètres!$A$1:$I$89,3,0)*VLOOKUP('Données projet'!$B$11,Paramètres!$A$1:$I$89,5,0)</f>
        <v>130.16639999999992</v>
      </c>
      <c r="BF75" s="14">
        <f t="shared" si="91"/>
        <v>34.034806623706274</v>
      </c>
      <c r="BG75" s="22">
        <f t="shared" si="61"/>
        <v>285.98376820295493</v>
      </c>
      <c r="BH75" s="62">
        <f t="shared" si="62"/>
        <v>579.31710153628819</v>
      </c>
      <c r="BI75" s="62">
        <f ca="1">AVERAGE(OFFSET($BH$3,0,0,'Données projet'!$E$11+1,1))-AVERAGE(OFFSET($H$3,0,0,'Données projet'!$E$11+1,1))</f>
        <v>195.30963433439501</v>
      </c>
      <c r="BJ75" s="62">
        <f t="shared" si="92"/>
        <v>185.00219255324504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6.5121357478363333E-6</v>
      </c>
      <c r="BS75" s="24">
        <f t="shared" si="63"/>
        <v>6.5121357478363333E-6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4.8</v>
      </c>
      <c r="BY75" s="13">
        <f>IF('Données projet'!$A$114&gt;35,BY74+BX75-CG74,IF(A75&lt;'Données projet'!$A$114,$BV$205^A75,IF(A75='Données projet'!$A$114,'Données projet'!$B$114,BY74+BX75-CG74)))</f>
        <v>168.59999999999982</v>
      </c>
      <c r="BZ75" s="14">
        <f>BY75*VLOOKUP('Données projet'!$B$12,Paramètres!$A$1:$I$89,3,0)*VLOOKUP('Données projet'!$B$12,Paramètres!$A$1:$I$89,5,0)</f>
        <v>163.06991999999985</v>
      </c>
      <c r="CA75" s="14">
        <f t="shared" si="93"/>
        <v>41.534176673396168</v>
      </c>
      <c r="CB75" s="22">
        <f t="shared" si="64"/>
        <v>356.35213503949808</v>
      </c>
      <c r="CC75" s="62">
        <f t="shared" si="65"/>
        <v>649.68546837283134</v>
      </c>
      <c r="CD75" s="62">
        <f ca="1">AVERAGE(OFFSET($CC$3,0,0,'Données projet'!$E$12+1,1))-AVERAGE(OFFSET($H$3,0,0,'Données projet'!$E$12+1,1))</f>
        <v>298.18906674058809</v>
      </c>
      <c r="CE75" s="62">
        <f t="shared" si="94"/>
        <v>154.08406475869634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1.9895196601282805E-13</v>
      </c>
      <c r="O76" s="14">
        <f>N76*VLOOKUP('Données projet'!$B$9,Paramètres!$A$1:$I$89,3,0)*VLOOKUP('Données projet'!$B$9,Paramètres!$A$1:$I$89,5,0)</f>
        <v>1.8001173884840681E-13</v>
      </c>
      <c r="P76" s="14">
        <f t="shared" si="87"/>
        <v>2.5254331426407198E-12</v>
      </c>
      <c r="Q76" s="22">
        <f t="shared" si="54"/>
        <v>4.7119831685935622E-12</v>
      </c>
      <c r="R76" s="62">
        <f t="shared" si="55"/>
        <v>293.33333333333803</v>
      </c>
      <c r="S76" s="62">
        <f ca="1">AVERAGE(OFFSET($R$3,0,0,'Données projet'!$E$9+1,1))-AVERAGE(OFFSET($H$3,0,0,'Données projet'!$E$9+1,1))</f>
        <v>302.6112905010138</v>
      </c>
      <c r="T76" s="62">
        <f t="shared" si="88"/>
        <v>423.44006663873375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0.69290068540766925</v>
      </c>
      <c r="AB76" s="23">
        <f>EXP(-LN(2)/2)*AB75+(1-EXP(-LN(2)/2))/(LN(2)/2)*V76*Y76*VLOOKUP('Données projet'!$B$9,Paramètres!$A$1:$I$89,3,0)*0.475*44/12</f>
        <v>2.1360407724617541E-6</v>
      </c>
      <c r="AC76" s="24">
        <f t="shared" si="57"/>
        <v>0.69290282144844173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6.4</v>
      </c>
      <c r="AI76" s="14">
        <f>IF('Données projet'!$A$62&gt;35,AI75+AH76-AQ75,IF(A76&lt;'Données projet'!$A$62,$AF$205^A76,IF(A76='Données projet'!$A$62,'Données projet'!$B$62,AI75+AH76-AQ75)))</f>
        <v>240.2000000000001</v>
      </c>
      <c r="AJ76" s="14">
        <f>AI76*VLOOKUP('Données projet'!$B$10,Paramètres!$A$1:$I$89,3,0)*VLOOKUP('Données projet'!$B$10,Paramètres!$A$1:$I$89,5,0)</f>
        <v>243.56280000000012</v>
      </c>
      <c r="AK76" s="14">
        <f t="shared" si="89"/>
        <v>59.205425601852873</v>
      </c>
      <c r="AL76" s="22">
        <f t="shared" si="58"/>
        <v>527.32132625656061</v>
      </c>
      <c r="AM76" s="62">
        <f t="shared" si="59"/>
        <v>820.65465958989398</v>
      </c>
      <c r="AN76" s="62">
        <f ca="1">AVERAGE(OFFSET($AM$3,0,0,'Données projet'!$E$10+1,1))-AVERAGE(OFFSET($H$3,0,0,'Données projet'!$E$10+1,1))</f>
        <v>411.98877330238821</v>
      </c>
      <c r="AO76" s="62">
        <f t="shared" si="90"/>
        <v>256.4377087753457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2</v>
      </c>
      <c r="BD76" s="13">
        <f>IF('Données projet'!$A$88&gt;35,BD75+BC76-BL75,IF(A76&lt;'Données projet'!$A$88,$BA$205^A76,IF(A76='Données projet'!$A$88,'Données projet'!$B$88,BD75+BC76-BL75)))</f>
        <v>150.99999999999991</v>
      </c>
      <c r="BE76" s="14">
        <f>BD76*VLOOKUP('Données projet'!$B$11,Paramètres!$A$1:$I$89,3,0)*VLOOKUP('Données projet'!$B$11,Paramètres!$A$1:$I$89,5,0)</f>
        <v>131.91359999999995</v>
      </c>
      <c r="BF76" s="14">
        <f t="shared" si="91"/>
        <v>34.438159352115974</v>
      </c>
      <c r="BG76" s="22">
        <f t="shared" si="61"/>
        <v>289.72931420493518</v>
      </c>
      <c r="BH76" s="62">
        <f t="shared" si="62"/>
        <v>583.06264753826849</v>
      </c>
      <c r="BI76" s="62">
        <f ca="1">AVERAGE(OFFSET($BH$3,0,0,'Données projet'!$E$11+1,1))-AVERAGE(OFFSET($H$3,0,0,'Données projet'!$E$11+1,1))</f>
        <v>195.30963433439501</v>
      </c>
      <c r="BJ76" s="62">
        <f t="shared" si="92"/>
        <v>185.00219255324504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4.6047753473024001E-6</v>
      </c>
      <c r="BS76" s="24">
        <f t="shared" si="63"/>
        <v>4.6047753473024001E-6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4.8</v>
      </c>
      <c r="BY76" s="13">
        <f>IF('Données projet'!$A$114&gt;35,BY75+BX76-CG75,IF(A76&lt;'Données projet'!$A$114,$BV$205^A76,IF(A76='Données projet'!$A$114,'Données projet'!$B$114,BY75+BX76-CG75)))</f>
        <v>173.39999999999984</v>
      </c>
      <c r="BZ76" s="14">
        <f>BY76*VLOOKUP('Données projet'!$B$12,Paramètres!$A$1:$I$89,3,0)*VLOOKUP('Données projet'!$B$12,Paramètres!$A$1:$I$89,5,0)</f>
        <v>167.71247999999986</v>
      </c>
      <c r="CA76" s="14">
        <f t="shared" si="93"/>
        <v>42.577291953177607</v>
      </c>
      <c r="CB76" s="22">
        <f t="shared" si="64"/>
        <v>366.25468615178403</v>
      </c>
      <c r="CC76" s="62">
        <f t="shared" si="65"/>
        <v>659.58801948511734</v>
      </c>
      <c r="CD76" s="62">
        <f ca="1">AVERAGE(OFFSET($CC$3,0,0,'Données projet'!$E$12+1,1))-AVERAGE(OFFSET($H$3,0,0,'Données projet'!$E$12+1,1))</f>
        <v>298.18906674058809</v>
      </c>
      <c r="CE76" s="62">
        <f t="shared" si="94"/>
        <v>154.08406475869634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1.9895196601282805E-13</v>
      </c>
      <c r="O77" s="14">
        <f>N77*VLOOKUP('Données projet'!$B$9,Paramètres!$A$1:$I$89,3,0)*VLOOKUP('Données projet'!$B$9,Paramètres!$A$1:$I$89,5,0)</f>
        <v>1.8001173884840681E-13</v>
      </c>
      <c r="P77" s="14">
        <f t="shared" si="87"/>
        <v>2.5254331426407198E-12</v>
      </c>
      <c r="Q77" s="22">
        <f t="shared" si="54"/>
        <v>4.7119831685935622E-12</v>
      </c>
      <c r="R77" s="62">
        <f t="shared" si="55"/>
        <v>293.33333333333803</v>
      </c>
      <c r="S77" s="62">
        <f ca="1">AVERAGE(OFFSET($R$3,0,0,'Données projet'!$E$9+1,1))-AVERAGE(OFFSET($H$3,0,0,'Données projet'!$E$9+1,1))</f>
        <v>302.6112905010138</v>
      </c>
      <c r="T77" s="62">
        <f t="shared" si="88"/>
        <v>423.44006663873375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0.67395327972713315</v>
      </c>
      <c r="AB77" s="23">
        <f>EXP(-LN(2)/2)*AB76+(1-EXP(-LN(2)/2))/(LN(2)/2)*V77*Y77*VLOOKUP('Données projet'!$B$9,Paramètres!$A$1:$I$89,3,0)*0.475*44/12</f>
        <v>1.5104089150986575E-6</v>
      </c>
      <c r="AC77" s="24">
        <f t="shared" si="57"/>
        <v>0.6739547901360482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6.4</v>
      </c>
      <c r="AI77" s="14">
        <f>IF('Données projet'!$A$62&gt;35,AI76+AH77-AQ76,IF(A77&lt;'Données projet'!$A$62,$AF$205^A77,IF(A77='Données projet'!$A$62,'Données projet'!$B$62,AI76+AH77-AQ76)))</f>
        <v>246.60000000000011</v>
      </c>
      <c r="AJ77" s="14">
        <f>AI77*VLOOKUP('Données projet'!$B$10,Paramètres!$A$1:$I$89,3,0)*VLOOKUP('Données projet'!$B$10,Paramètres!$A$1:$I$89,5,0)</f>
        <v>250.05240000000012</v>
      </c>
      <c r="AK77" s="14">
        <f t="shared" si="89"/>
        <v>60.597161386823522</v>
      </c>
      <c r="AL77" s="22">
        <f t="shared" si="58"/>
        <v>541.04798608205112</v>
      </c>
      <c r="AM77" s="62">
        <f t="shared" si="59"/>
        <v>834.3813194153845</v>
      </c>
      <c r="AN77" s="62">
        <f ca="1">AVERAGE(OFFSET($AM$3,0,0,'Données projet'!$E$10+1,1))-AVERAGE(OFFSET($H$3,0,0,'Données projet'!$E$10+1,1))</f>
        <v>411.98877330238821</v>
      </c>
      <c r="AO77" s="62">
        <f t="shared" si="90"/>
        <v>256.4377087753457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2</v>
      </c>
      <c r="BD77" s="13">
        <f>IF('Données projet'!$A$88&gt;35,BD76+BC77-BL76,IF(A77&lt;'Données projet'!$A$88,$BA$205^A77,IF(A77='Données projet'!$A$88,'Données projet'!$B$88,BD76+BC77-BL76)))</f>
        <v>152.99999999999991</v>
      </c>
      <c r="BE77" s="14">
        <f>BD77*VLOOKUP('Données projet'!$B$11,Paramètres!$A$1:$I$89,3,0)*VLOOKUP('Données projet'!$B$11,Paramètres!$A$1:$I$89,5,0)</f>
        <v>133.66079999999994</v>
      </c>
      <c r="BF77" s="14">
        <f t="shared" si="91"/>
        <v>34.840890682716719</v>
      </c>
      <c r="BG77" s="22">
        <f t="shared" si="61"/>
        <v>293.47377793906486</v>
      </c>
      <c r="BH77" s="62">
        <f t="shared" si="62"/>
        <v>586.80711127239817</v>
      </c>
      <c r="BI77" s="62">
        <f ca="1">AVERAGE(OFFSET($BH$3,0,0,'Données projet'!$E$11+1,1))-AVERAGE(OFFSET($H$3,0,0,'Données projet'!$E$11+1,1))</f>
        <v>195.30963433439501</v>
      </c>
      <c r="BJ77" s="62">
        <f t="shared" si="92"/>
        <v>185.00219255324504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3.2560678739181666E-6</v>
      </c>
      <c r="BS77" s="24">
        <f t="shared" si="63"/>
        <v>3.2560678739181666E-6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4.8</v>
      </c>
      <c r="BY77" s="13">
        <f>IF('Données projet'!$A$114&gt;35,BY76+BX77-CG76,IF(A77&lt;'Données projet'!$A$114,$BV$205^A77,IF(A77='Données projet'!$A$114,'Données projet'!$B$114,BY76+BX77-CG76)))</f>
        <v>178.19999999999985</v>
      </c>
      <c r="BZ77" s="14">
        <f>BY77*VLOOKUP('Données projet'!$B$12,Paramètres!$A$1:$I$89,3,0)*VLOOKUP('Données projet'!$B$12,Paramètres!$A$1:$I$89,5,0)</f>
        <v>172.35503999999986</v>
      </c>
      <c r="CA77" s="14">
        <f t="shared" si="93"/>
        <v>43.617051120131656</v>
      </c>
      <c r="CB77" s="22">
        <f t="shared" si="64"/>
        <v>376.15139203422905</v>
      </c>
      <c r="CC77" s="62">
        <f t="shared" si="65"/>
        <v>669.48472536756231</v>
      </c>
      <c r="CD77" s="62">
        <f ca="1">AVERAGE(OFFSET($CC$3,0,0,'Données projet'!$E$12+1,1))-AVERAGE(OFFSET($H$3,0,0,'Données projet'!$E$12+1,1))</f>
        <v>298.18906674058809</v>
      </c>
      <c r="CE77" s="62">
        <f t="shared" si="94"/>
        <v>154.08406475869634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1.9895196601282805E-13</v>
      </c>
      <c r="O78" s="14">
        <f>N78*VLOOKUP('Données projet'!$B$9,Paramètres!$A$1:$I$89,3,0)*VLOOKUP('Données projet'!$B$9,Paramètres!$A$1:$I$89,5,0)</f>
        <v>1.8001173884840681E-13</v>
      </c>
      <c r="P78" s="14">
        <f t="shared" si="87"/>
        <v>2.5254331426407198E-12</v>
      </c>
      <c r="Q78" s="22">
        <f t="shared" si="54"/>
        <v>4.7119831685935622E-12</v>
      </c>
      <c r="R78" s="62">
        <f t="shared" si="55"/>
        <v>293.33333333333803</v>
      </c>
      <c r="S78" s="62">
        <f ca="1">AVERAGE(OFFSET($R$3,0,0,'Données projet'!$E$9+1,1))-AVERAGE(OFFSET($H$3,0,0,'Données projet'!$E$9+1,1))</f>
        <v>302.6112905010138</v>
      </c>
      <c r="T78" s="62">
        <f t="shared" si="88"/>
        <v>423.44006663873375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0.65552399185133203</v>
      </c>
      <c r="AB78" s="23">
        <f>EXP(-LN(2)/2)*AB77+(1-EXP(-LN(2)/2))/(LN(2)/2)*V78*Y78*VLOOKUP('Données projet'!$B$9,Paramètres!$A$1:$I$89,3,0)*0.475*44/12</f>
        <v>1.0680203862308771E-6</v>
      </c>
      <c r="AC78" s="24">
        <f t="shared" si="57"/>
        <v>0.65552505987171827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253</v>
      </c>
      <c r="AG78" s="13">
        <f>VLOOKUP(A78,'Données projet'!$A$61:$I$81,9,0)</f>
        <v>6.4</v>
      </c>
      <c r="AH78" s="13">
        <f t="array" ref="AH78">INDEX(AG:AG,MIN(IF(ISNUMBER(AG78:AG274),ROW(AG78:AG274),"")))</f>
        <v>6.4</v>
      </c>
      <c r="AI78" s="14">
        <f>IF('Données projet'!$A$62&gt;35,AI77+AH78-AQ77,IF(A78&lt;'Données projet'!$A$62,$AF$205^A78,IF(A78='Données projet'!$A$62,'Données projet'!$B$62,AI77+AH78-AQ77)))</f>
        <v>253.00000000000011</v>
      </c>
      <c r="AJ78" s="14">
        <f>AI78*VLOOKUP('Données projet'!$B$10,Paramètres!$A$1:$I$89,3,0)*VLOOKUP('Données projet'!$B$10,Paramètres!$A$1:$I$89,5,0)</f>
        <v>256.54200000000014</v>
      </c>
      <c r="AK78" s="14">
        <f t="shared" si="89"/>
        <v>61.984698688972557</v>
      </c>
      <c r="AL78" s="22">
        <f t="shared" si="58"/>
        <v>554.76733354996077</v>
      </c>
      <c r="AM78" s="62">
        <f t="shared" si="59"/>
        <v>848.10066688329402</v>
      </c>
      <c r="AN78" s="62">
        <f ca="1">AVERAGE(OFFSET($AM$3,0,0,'Données projet'!$E$10+1,1))-AVERAGE(OFFSET($H$3,0,0,'Données projet'!$E$10+1,1))</f>
        <v>411.98877330238821</v>
      </c>
      <c r="AO78" s="62">
        <f t="shared" si="90"/>
        <v>256.4377087753457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155</v>
      </c>
      <c r="BB78" s="13">
        <f>VLOOKUP(A78,'Données projet'!$A$87:$I$107,9,0)</f>
        <v>2</v>
      </c>
      <c r="BC78" s="13">
        <f t="array" ref="BC78">INDEX(BB:BB,MIN(IF(ISNUMBER(BB78:BB274),ROW(BB78:BB274),"")))</f>
        <v>2</v>
      </c>
      <c r="BD78" s="13">
        <f>IF('Données projet'!$A$88&gt;35,BD77+BC78-BL77,IF(A78&lt;'Données projet'!$A$88,$BA$205^A78,IF(A78='Données projet'!$A$88,'Données projet'!$B$88,BD77+BC78-BL77)))</f>
        <v>154.99999999999991</v>
      </c>
      <c r="BE78" s="14">
        <f>BD78*VLOOKUP('Données projet'!$B$11,Paramètres!$A$1:$I$89,3,0)*VLOOKUP('Données projet'!$B$11,Paramètres!$A$1:$I$89,5,0)</f>
        <v>135.40799999999993</v>
      </c>
      <c r="BF78" s="14">
        <f t="shared" si="91"/>
        <v>35.243009677478732</v>
      </c>
      <c r="BG78" s="22">
        <f t="shared" si="61"/>
        <v>297.21717518827535</v>
      </c>
      <c r="BH78" s="62">
        <f t="shared" si="62"/>
        <v>590.55050852160866</v>
      </c>
      <c r="BI78" s="62">
        <f ca="1">AVERAGE(OFFSET($BH$3,0,0,'Données projet'!$E$11+1,1))-AVERAGE(OFFSET($H$3,0,0,'Données projet'!$E$11+1,1))</f>
        <v>195.30963433439501</v>
      </c>
      <c r="BJ78" s="62">
        <f t="shared" si="92"/>
        <v>185.00219255324504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4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2.3023876736512E-6</v>
      </c>
      <c r="BS78" s="24">
        <f t="shared" si="63"/>
        <v>2.3023876736512E-6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183</v>
      </c>
      <c r="BW78" s="13">
        <f>VLOOKUP(A78,'Données projet'!$A$113:$I$133,9,0)</f>
        <v>4.8</v>
      </c>
      <c r="BX78" s="13">
        <f t="array" ref="BX78">INDEX(BW:BW,MIN(IF(ISNUMBER(BW78:BW274),ROW(BW78:BW274),"")))</f>
        <v>4.8</v>
      </c>
      <c r="BY78" s="13">
        <f>IF('Données projet'!$A$114&gt;35,BY77+BX78-CG77,IF(A78&lt;'Données projet'!$A$114,$BV$205^A78,IF(A78='Données projet'!$A$114,'Données projet'!$B$114,BY77+BX78-CG77)))</f>
        <v>182.99999999999986</v>
      </c>
      <c r="BZ78" s="14">
        <f>BY78*VLOOKUP('Données projet'!$B$12,Paramètres!$A$1:$I$89,3,0)*VLOOKUP('Données projet'!$B$12,Paramètres!$A$1:$I$89,5,0)</f>
        <v>176.99759999999986</v>
      </c>
      <c r="CA78" s="14">
        <f t="shared" si="93"/>
        <v>44.653554963834011</v>
      </c>
      <c r="CB78" s="22">
        <f t="shared" si="64"/>
        <v>386.04242822867735</v>
      </c>
      <c r="CC78" s="62">
        <f t="shared" si="65"/>
        <v>679.37576156201067</v>
      </c>
      <c r="CD78" s="62">
        <f ca="1">AVERAGE(OFFSET($CC$3,0,0,'Données projet'!$E$12+1,1))-AVERAGE(OFFSET($H$3,0,0,'Données projet'!$E$12+1,1))</f>
        <v>298.18906674058809</v>
      </c>
      <c r="CE78" s="62">
        <f t="shared" si="94"/>
        <v>154.08406475869634</v>
      </c>
      <c r="CF78" s="16">
        <f>IF(ISNA(VLOOKUP(A78,'Données projet'!$A$113:$I$133,3,0)),0,VLOOKUP(A78,'Données projet'!$A$113:$I$133,3,0))</f>
        <v>11</v>
      </c>
      <c r="CG78" s="16">
        <f>IF(ISNA(VLOOKUP(A78,'Données projet'!$A$113:$I$133,4,0)),0,VLOOKUP(A78,'Données projet'!$A$113:$I$133,4,0))</f>
        <v>14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1.9895196601282805E-13</v>
      </c>
      <c r="O79" s="14">
        <f>N79*VLOOKUP('Données projet'!$B$9,Paramètres!$A$1:$I$89,3,0)*VLOOKUP('Données projet'!$B$9,Paramètres!$A$1:$I$89,5,0)</f>
        <v>1.8001173884840681E-13</v>
      </c>
      <c r="P79" s="14">
        <f t="shared" si="87"/>
        <v>2.5254331426407198E-12</v>
      </c>
      <c r="Q79" s="22">
        <f t="shared" si="54"/>
        <v>4.7119831685935622E-12</v>
      </c>
      <c r="R79" s="62">
        <f t="shared" si="55"/>
        <v>293.33333333333803</v>
      </c>
      <c r="S79" s="62">
        <f ca="1">AVERAGE(OFFSET($R$3,0,0,'Données projet'!$E$9+1,1))-AVERAGE(OFFSET($H$3,0,0,'Données projet'!$E$9+1,1))</f>
        <v>302.6112905010138</v>
      </c>
      <c r="T79" s="62">
        <f t="shared" si="88"/>
        <v>423.44006663873375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0.63759865382164882</v>
      </c>
      <c r="AB79" s="23">
        <f>EXP(-LN(2)/2)*AB78+(1-EXP(-LN(2)/2))/(LN(2)/2)*V79*Y79*VLOOKUP('Données projet'!$B$9,Paramètres!$A$1:$I$89,3,0)*0.475*44/12</f>
        <v>7.5520445754932877E-7</v>
      </c>
      <c r="AC79" s="24">
        <f t="shared" si="57"/>
        <v>0.63759940902610635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238.00000000000011</v>
      </c>
      <c r="AJ79" s="14">
        <f>AI79*VLOOKUP('Données projet'!$B$10,Paramètres!$A$1:$I$89,3,0)*VLOOKUP('Données projet'!$B$10,Paramètres!$A$1:$I$89,5,0)</f>
        <v>241.33200000000014</v>
      </c>
      <c r="AK79" s="14">
        <f t="shared" si="89"/>
        <v>58.726024391301159</v>
      </c>
      <c r="AL79" s="22">
        <f t="shared" si="58"/>
        <v>522.60105914818303</v>
      </c>
      <c r="AM79" s="62">
        <f t="shared" si="59"/>
        <v>815.9343924815164</v>
      </c>
      <c r="AN79" s="62">
        <f ca="1">AVERAGE(OFFSET($AM$3,0,0,'Données projet'!$E$10+1,1))-AVERAGE(OFFSET($H$3,0,0,'Données projet'!$E$10+1,1))</f>
        <v>411.98877330238821</v>
      </c>
      <c r="AO79" s="62">
        <f t="shared" si="90"/>
        <v>256.4377087753457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1.6</v>
      </c>
      <c r="BD79" s="13">
        <f>IF('Données projet'!$A$88&gt;35,BD78+BC79-BL78,IF(A79&lt;'Données projet'!$A$88,$BA$205^A79,IF(A79='Données projet'!$A$88,'Données projet'!$B$88,BD78+BC79-BL78)))</f>
        <v>152.59999999999991</v>
      </c>
      <c r="BE79" s="14">
        <f>BD79*VLOOKUP('Données projet'!$B$11,Paramètres!$A$1:$I$89,3,0)*VLOOKUP('Données projet'!$B$11,Paramètres!$A$1:$I$89,5,0)</f>
        <v>133.31135999999995</v>
      </c>
      <c r="BF79" s="14">
        <f t="shared" si="91"/>
        <v>34.760393689821598</v>
      </c>
      <c r="BG79" s="22">
        <f t="shared" si="61"/>
        <v>292.72497100977256</v>
      </c>
      <c r="BH79" s="62">
        <f t="shared" si="62"/>
        <v>586.05830434310587</v>
      </c>
      <c r="BI79" s="62">
        <f ca="1">AVERAGE(OFFSET($BH$3,0,0,'Données projet'!$E$11+1,1))-AVERAGE(OFFSET($H$3,0,0,'Données projet'!$E$11+1,1))</f>
        <v>195.30963433439501</v>
      </c>
      <c r="BJ79" s="62">
        <f t="shared" si="92"/>
        <v>185.00219255324504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1.6280339369590833E-6</v>
      </c>
      <c r="BS79" s="24">
        <f t="shared" si="63"/>
        <v>1.6280339369590833E-6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4.5999999999999996</v>
      </c>
      <c r="BY79" s="13">
        <f>IF('Données projet'!$A$114&gt;35,BY78+BX79-CG78,IF(A79&lt;'Données projet'!$A$114,$BV$205^A79,IF(A79='Données projet'!$A$114,'Données projet'!$B$114,BY78+BX79-CG78)))</f>
        <v>173.59999999999985</v>
      </c>
      <c r="BZ79" s="14">
        <f>BY79*VLOOKUP('Données projet'!$B$12,Paramètres!$A$1:$I$89,3,0)*VLOOKUP('Données projet'!$B$12,Paramètres!$A$1:$I$89,5,0)</f>
        <v>167.90591999999987</v>
      </c>
      <c r="CA79" s="14">
        <f t="shared" si="93"/>
        <v>42.620681538886721</v>
      </c>
      <c r="CB79" s="22">
        <f t="shared" si="64"/>
        <v>366.66716434689414</v>
      </c>
      <c r="CC79" s="62">
        <f t="shared" si="65"/>
        <v>660.00049768022745</v>
      </c>
      <c r="CD79" s="62">
        <f ca="1">AVERAGE(OFFSET($CC$3,0,0,'Données projet'!$E$12+1,1))-AVERAGE(OFFSET($H$3,0,0,'Données projet'!$E$12+1,1))</f>
        <v>298.18906674058809</v>
      </c>
      <c r="CE79" s="62">
        <f t="shared" si="94"/>
        <v>154.08406475869634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1.9895196601282805E-13</v>
      </c>
      <c r="O80" s="14">
        <f>N80*VLOOKUP('Données projet'!$B$9,Paramètres!$A$1:$I$89,3,0)*VLOOKUP('Données projet'!$B$9,Paramètres!$A$1:$I$89,5,0)</f>
        <v>1.8001173884840681E-13</v>
      </c>
      <c r="P80" s="14">
        <f t="shared" si="87"/>
        <v>2.5254331426407198E-12</v>
      </c>
      <c r="Q80" s="22">
        <f t="shared" si="54"/>
        <v>4.7119831685935622E-12</v>
      </c>
      <c r="R80" s="62">
        <f t="shared" si="55"/>
        <v>293.33333333333803</v>
      </c>
      <c r="S80" s="62">
        <f ca="1">AVERAGE(OFFSET($R$3,0,0,'Données projet'!$E$9+1,1))-AVERAGE(OFFSET($H$3,0,0,'Données projet'!$E$9+1,1))</f>
        <v>302.6112905010138</v>
      </c>
      <c r="T80" s="62">
        <f t="shared" si="88"/>
        <v>423.44006663873375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0.62016348510303987</v>
      </c>
      <c r="AB80" s="23">
        <f>EXP(-LN(2)/2)*AB79+(1-EXP(-LN(2)/2))/(LN(2)/2)*V80*Y80*VLOOKUP('Données projet'!$B$9,Paramètres!$A$1:$I$89,3,0)*0.475*44/12</f>
        <v>5.3401019311543853E-7</v>
      </c>
      <c r="AC80" s="24">
        <f t="shared" si="57"/>
        <v>0.62016401911323293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244.00000000000011</v>
      </c>
      <c r="AJ80" s="14">
        <f>AI80*VLOOKUP('Données projet'!$B$10,Paramètres!$A$1:$I$89,3,0)*VLOOKUP('Données projet'!$B$10,Paramètres!$A$1:$I$89,5,0)</f>
        <v>247.41600000000014</v>
      </c>
      <c r="AK80" s="14">
        <f t="shared" si="89"/>
        <v>60.032282000540242</v>
      </c>
      <c r="AL80" s="22">
        <f t="shared" si="58"/>
        <v>535.47242448427448</v>
      </c>
      <c r="AM80" s="62">
        <f t="shared" si="59"/>
        <v>828.80575781760786</v>
      </c>
      <c r="AN80" s="62">
        <f ca="1">AVERAGE(OFFSET($AM$3,0,0,'Données projet'!$E$10+1,1))-AVERAGE(OFFSET($H$3,0,0,'Données projet'!$E$10+1,1))</f>
        <v>411.98877330238821</v>
      </c>
      <c r="AO80" s="62">
        <f t="shared" si="90"/>
        <v>256.4377087753457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1.6</v>
      </c>
      <c r="BD80" s="13">
        <f>IF('Données projet'!$A$88&gt;35,BD79+BC80-BL79,IF(A80&lt;'Données projet'!$A$88,$BA$205^A80,IF(A80='Données projet'!$A$88,'Données projet'!$B$88,BD79+BC80-BL79)))</f>
        <v>154.1999999999999</v>
      </c>
      <c r="BE80" s="14">
        <f>BD80*VLOOKUP('Données projet'!$B$11,Paramètres!$A$1:$I$89,3,0)*VLOOKUP('Données projet'!$B$11,Paramètres!$A$1:$I$89,5,0)</f>
        <v>134.70911999999993</v>
      </c>
      <c r="BF80" s="14">
        <f t="shared" si="91"/>
        <v>35.082234990312983</v>
      </c>
      <c r="BG80" s="22">
        <f t="shared" si="61"/>
        <v>295.71994327479496</v>
      </c>
      <c r="BH80" s="62">
        <f t="shared" si="62"/>
        <v>589.05327660812827</v>
      </c>
      <c r="BI80" s="62">
        <f ca="1">AVERAGE(OFFSET($BH$3,0,0,'Données projet'!$E$11+1,1))-AVERAGE(OFFSET($H$3,0,0,'Données projet'!$E$11+1,1))</f>
        <v>195.30963433439501</v>
      </c>
      <c r="BJ80" s="62">
        <f t="shared" si="92"/>
        <v>185.00219255324504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1.1511938368256E-6</v>
      </c>
      <c r="BS80" s="24">
        <f t="shared" si="63"/>
        <v>1.1511938368256E-6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4.5999999999999996</v>
      </c>
      <c r="BY80" s="13">
        <f>IF('Données projet'!$A$114&gt;35,BY79+BX80-CG79,IF(A80&lt;'Données projet'!$A$114,$BV$205^A80,IF(A80='Données projet'!$A$114,'Données projet'!$B$114,BY79+BX80-CG79)))</f>
        <v>178.19999999999985</v>
      </c>
      <c r="BZ80" s="14">
        <f>BY80*VLOOKUP('Données projet'!$B$12,Paramètres!$A$1:$I$89,3,0)*VLOOKUP('Données projet'!$B$12,Paramètres!$A$1:$I$89,5,0)</f>
        <v>172.35503999999986</v>
      </c>
      <c r="CA80" s="14">
        <f t="shared" si="93"/>
        <v>43.617051120131656</v>
      </c>
      <c r="CB80" s="22">
        <f t="shared" si="64"/>
        <v>376.15139203422905</v>
      </c>
      <c r="CC80" s="62">
        <f t="shared" si="65"/>
        <v>669.48472536756231</v>
      </c>
      <c r="CD80" s="62">
        <f ca="1">AVERAGE(OFFSET($CC$3,0,0,'Données projet'!$E$12+1,1))-AVERAGE(OFFSET($H$3,0,0,'Données projet'!$E$12+1,1))</f>
        <v>298.18906674058809</v>
      </c>
      <c r="CE80" s="62">
        <f t="shared" si="94"/>
        <v>154.08406475869634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1.9895196601282805E-13</v>
      </c>
      <c r="O81" s="14">
        <f>N81*VLOOKUP('Données projet'!$B$9,Paramètres!$A$1:$I$89,3,0)*VLOOKUP('Données projet'!$B$9,Paramètres!$A$1:$I$89,5,0)</f>
        <v>1.8001173884840681E-13</v>
      </c>
      <c r="P81" s="14">
        <f t="shared" si="87"/>
        <v>2.5254331426407198E-12</v>
      </c>
      <c r="Q81" s="22">
        <f t="shared" si="54"/>
        <v>4.7119831685935622E-12</v>
      </c>
      <c r="R81" s="62">
        <f t="shared" si="55"/>
        <v>293.33333333333803</v>
      </c>
      <c r="S81" s="62">
        <f ca="1">AVERAGE(OFFSET($R$3,0,0,'Données projet'!$E$9+1,1))-AVERAGE(OFFSET($H$3,0,0,'Données projet'!$E$9+1,1))</f>
        <v>302.6112905010138</v>
      </c>
      <c r="T81" s="62">
        <f t="shared" si="88"/>
        <v>423.44006663873375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0.60320508198991696</v>
      </c>
      <c r="AB81" s="23">
        <f>EXP(-LN(2)/2)*AB80+(1-EXP(-LN(2)/2))/(LN(2)/2)*V81*Y81*VLOOKUP('Données projet'!$B$9,Paramètres!$A$1:$I$89,3,0)*0.475*44/12</f>
        <v>3.7760222877466439E-7</v>
      </c>
      <c r="AC81" s="24">
        <f t="shared" si="57"/>
        <v>0.60320545959214578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250.00000000000011</v>
      </c>
      <c r="AJ81" s="14">
        <f>AI81*VLOOKUP('Données projet'!$B$10,Paramètres!$A$1:$I$89,3,0)*VLOOKUP('Données projet'!$B$10,Paramètres!$A$1:$I$89,5,0)</f>
        <v>253.50000000000014</v>
      </c>
      <c r="AK81" s="14">
        <f t="shared" si="89"/>
        <v>61.334805663162555</v>
      </c>
      <c r="AL81" s="22">
        <f t="shared" si="58"/>
        <v>548.33728653000833</v>
      </c>
      <c r="AM81" s="62">
        <f t="shared" si="59"/>
        <v>841.6706198633417</v>
      </c>
      <c r="AN81" s="62">
        <f ca="1">AVERAGE(OFFSET($AM$3,0,0,'Données projet'!$E$10+1,1))-AVERAGE(OFFSET($H$3,0,0,'Données projet'!$E$10+1,1))</f>
        <v>411.98877330238821</v>
      </c>
      <c r="AO81" s="62">
        <f t="shared" si="90"/>
        <v>256.4377087753457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1.6</v>
      </c>
      <c r="BD81" s="13">
        <f>IF('Données projet'!$A$88&gt;35,BD80+BC81-BL80,IF(A81&lt;'Données projet'!$A$88,$BA$205^A81,IF(A81='Données projet'!$A$88,'Données projet'!$B$88,BD80+BC81-BL80)))</f>
        <v>155.7999999999999</v>
      </c>
      <c r="BE81" s="14">
        <f>BD81*VLOOKUP('Données projet'!$B$11,Paramètres!$A$1:$I$89,3,0)*VLOOKUP('Données projet'!$B$11,Paramètres!$A$1:$I$89,5,0)</f>
        <v>136.10687999999993</v>
      </c>
      <c r="BF81" s="14">
        <f t="shared" si="91"/>
        <v>35.403687803916242</v>
      </c>
      <c r="BG81" s="22">
        <f t="shared" si="61"/>
        <v>298.71423892515395</v>
      </c>
      <c r="BH81" s="62">
        <f t="shared" si="62"/>
        <v>592.04757225848721</v>
      </c>
      <c r="BI81" s="62">
        <f ca="1">AVERAGE(OFFSET($BH$3,0,0,'Données projet'!$E$11+1,1))-AVERAGE(OFFSET($H$3,0,0,'Données projet'!$E$11+1,1))</f>
        <v>195.30963433439501</v>
      </c>
      <c r="BJ81" s="62">
        <f t="shared" si="92"/>
        <v>185.00219255324504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8.1401696847954166E-7</v>
      </c>
      <c r="BS81" s="24">
        <f t="shared" si="63"/>
        <v>8.1401696847954166E-7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4.5999999999999996</v>
      </c>
      <c r="BY81" s="13">
        <f>IF('Données projet'!$A$114&gt;35,BY80+BX81-CG80,IF(A81&lt;'Données projet'!$A$114,$BV$205^A81,IF(A81='Données projet'!$A$114,'Données projet'!$B$114,BY80+BX81-CG80)))</f>
        <v>182.79999999999984</v>
      </c>
      <c r="BZ81" s="14">
        <f>BY81*VLOOKUP('Données projet'!$B$12,Paramètres!$A$1:$I$89,3,0)*VLOOKUP('Données projet'!$B$12,Paramètres!$A$1:$I$89,5,0)</f>
        <v>176.80415999999985</v>
      </c>
      <c r="CA81" s="14">
        <f t="shared" si="93"/>
        <v>44.610431038325714</v>
      </c>
      <c r="CB81" s="22">
        <f t="shared" si="64"/>
        <v>385.63041272508372</v>
      </c>
      <c r="CC81" s="62">
        <f t="shared" si="65"/>
        <v>678.96374605841697</v>
      </c>
      <c r="CD81" s="62">
        <f ca="1">AVERAGE(OFFSET($CC$3,0,0,'Données projet'!$E$12+1,1))-AVERAGE(OFFSET($H$3,0,0,'Données projet'!$E$12+1,1))</f>
        <v>298.18906674058809</v>
      </c>
      <c r="CE81" s="62">
        <f t="shared" si="94"/>
        <v>154.08406475869634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1.9895196601282805E-13</v>
      </c>
      <c r="O82" s="14">
        <f>N82*VLOOKUP('Données projet'!$B$9,Paramètres!$A$1:$I$89,3,0)*VLOOKUP('Données projet'!$B$9,Paramètres!$A$1:$I$89,5,0)</f>
        <v>1.8001173884840681E-13</v>
      </c>
      <c r="P82" s="14">
        <f t="shared" si="87"/>
        <v>2.5254331426407198E-12</v>
      </c>
      <c r="Q82" s="22">
        <f t="shared" si="54"/>
        <v>4.7119831685935622E-12</v>
      </c>
      <c r="R82" s="62">
        <f t="shared" si="55"/>
        <v>293.33333333333803</v>
      </c>
      <c r="S82" s="62">
        <f ca="1">AVERAGE(OFFSET($R$3,0,0,'Données projet'!$E$9+1,1))-AVERAGE(OFFSET($H$3,0,0,'Données projet'!$E$9+1,1))</f>
        <v>302.6112905010138</v>
      </c>
      <c r="T82" s="62">
        <f t="shared" si="88"/>
        <v>423.44006663873375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0.58671040730172608</v>
      </c>
      <c r="AB82" s="23">
        <f>EXP(-LN(2)/2)*AB81+(1-EXP(-LN(2)/2))/(LN(2)/2)*V82*Y82*VLOOKUP('Données projet'!$B$9,Paramètres!$A$1:$I$89,3,0)*0.475*44/12</f>
        <v>2.6700509655771927E-7</v>
      </c>
      <c r="AC82" s="24">
        <f t="shared" si="57"/>
        <v>0.58671067430682267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256.00000000000011</v>
      </c>
      <c r="AJ82" s="14">
        <f>AI82*VLOOKUP('Données projet'!$B$10,Paramètres!$A$1:$I$89,3,0)*VLOOKUP('Données projet'!$B$10,Paramètres!$A$1:$I$89,5,0)</f>
        <v>259.58400000000017</v>
      </c>
      <c r="AK82" s="14">
        <f t="shared" si="89"/>
        <v>62.63369530482359</v>
      </c>
      <c r="AL82" s="22">
        <f t="shared" si="58"/>
        <v>561.19581932256801</v>
      </c>
      <c r="AM82" s="62">
        <f t="shared" si="59"/>
        <v>854.52915265590127</v>
      </c>
      <c r="AN82" s="62">
        <f ca="1">AVERAGE(OFFSET($AM$3,0,0,'Données projet'!$E$10+1,1))-AVERAGE(OFFSET($H$3,0,0,'Données projet'!$E$10+1,1))</f>
        <v>411.98877330238821</v>
      </c>
      <c r="AO82" s="62">
        <f t="shared" si="90"/>
        <v>256.4377087753457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1.6</v>
      </c>
      <c r="BD82" s="13">
        <f>IF('Données projet'!$A$88&gt;35,BD81+BC82-BL81,IF(A82&lt;'Données projet'!$A$88,$BA$205^A82,IF(A82='Données projet'!$A$88,'Données projet'!$B$88,BD81+BC82-BL81)))</f>
        <v>157.39999999999989</v>
      </c>
      <c r="BE82" s="14">
        <f>BD82*VLOOKUP('Données projet'!$B$11,Paramètres!$A$1:$I$89,3,0)*VLOOKUP('Données projet'!$B$11,Paramètres!$A$1:$I$89,5,0)</f>
        <v>137.50463999999994</v>
      </c>
      <c r="BF82" s="14">
        <f t="shared" si="91"/>
        <v>35.724756582112299</v>
      </c>
      <c r="BG82" s="22">
        <f t="shared" si="61"/>
        <v>301.70786571384548</v>
      </c>
      <c r="BH82" s="62">
        <f t="shared" si="62"/>
        <v>595.04119904717879</v>
      </c>
      <c r="BI82" s="62">
        <f ca="1">AVERAGE(OFFSET($BH$3,0,0,'Données projet'!$E$11+1,1))-AVERAGE(OFFSET($H$3,0,0,'Données projet'!$E$11+1,1))</f>
        <v>195.30963433439501</v>
      </c>
      <c r="BJ82" s="62">
        <f t="shared" si="92"/>
        <v>185.00219255324504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5.7559691841280001E-7</v>
      </c>
      <c r="BS82" s="24">
        <f t="shared" si="63"/>
        <v>5.7559691841280001E-7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4.5999999999999996</v>
      </c>
      <c r="BY82" s="13">
        <f>IF('Données projet'!$A$114&gt;35,BY81+BX82-CG81,IF(A82&lt;'Données projet'!$A$114,$BV$205^A82,IF(A82='Données projet'!$A$114,'Données projet'!$B$114,BY81+BX82-CG81)))</f>
        <v>187.39999999999984</v>
      </c>
      <c r="BZ82" s="14">
        <f>BY82*VLOOKUP('Données projet'!$B$12,Paramètres!$A$1:$I$89,3,0)*VLOOKUP('Données projet'!$B$12,Paramètres!$A$1:$I$89,5,0)</f>
        <v>181.25327999999985</v>
      </c>
      <c r="CA82" s="14">
        <f t="shared" si="93"/>
        <v>45.600905177745368</v>
      </c>
      <c r="CB82" s="22">
        <f t="shared" si="64"/>
        <v>395.10437251790626</v>
      </c>
      <c r="CC82" s="62">
        <f t="shared" si="65"/>
        <v>688.43770585123957</v>
      </c>
      <c r="CD82" s="62">
        <f ca="1">AVERAGE(OFFSET($CC$3,0,0,'Données projet'!$E$12+1,1))-AVERAGE(OFFSET($H$3,0,0,'Données projet'!$E$12+1,1))</f>
        <v>298.18906674058809</v>
      </c>
      <c r="CE82" s="62">
        <f t="shared" si="94"/>
        <v>154.08406475869634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1.9895196601282805E-13</v>
      </c>
      <c r="O83" s="14">
        <f>N83*VLOOKUP('Données projet'!$B$9,Paramètres!$A$1:$I$89,3,0)*VLOOKUP('Données projet'!$B$9,Paramètres!$A$1:$I$89,5,0)</f>
        <v>1.8001173884840681E-13</v>
      </c>
      <c r="P83" s="14">
        <f t="shared" si="87"/>
        <v>2.5254331426407198E-12</v>
      </c>
      <c r="Q83" s="22">
        <f t="shared" si="54"/>
        <v>4.7119831685935622E-12</v>
      </c>
      <c r="R83" s="62">
        <f t="shared" si="55"/>
        <v>293.33333333333803</v>
      </c>
      <c r="S83" s="62">
        <f ca="1">AVERAGE(OFFSET($R$3,0,0,'Données projet'!$E$9+1,1))-AVERAGE(OFFSET($H$3,0,0,'Données projet'!$E$9+1,1))</f>
        <v>302.6112905010138</v>
      </c>
      <c r="T83" s="62">
        <f t="shared" si="88"/>
        <v>423.44006663873375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0.57066678036030105</v>
      </c>
      <c r="AB83" s="23">
        <f>EXP(-LN(2)/2)*AB82+(1-EXP(-LN(2)/2))/(LN(2)/2)*V83*Y83*VLOOKUP('Données projet'!$B$9,Paramètres!$A$1:$I$89,3,0)*0.475*44/12</f>
        <v>1.8880111438733219E-7</v>
      </c>
      <c r="AC83" s="24">
        <f t="shared" si="57"/>
        <v>0.57066696916141546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262.00000000000011</v>
      </c>
      <c r="AJ83" s="14">
        <f>AI83*VLOOKUP('Données projet'!$B$10,Paramètres!$A$1:$I$89,3,0)*VLOOKUP('Données projet'!$B$10,Paramètres!$A$1:$I$89,5,0)</f>
        <v>265.66800000000012</v>
      </c>
      <c r="AK83" s="14">
        <f t="shared" si="89"/>
        <v>63.929045899944406</v>
      </c>
      <c r="AL83" s="22">
        <f t="shared" si="58"/>
        <v>574.04818827573672</v>
      </c>
      <c r="AM83" s="62">
        <f t="shared" si="59"/>
        <v>867.38152160906998</v>
      </c>
      <c r="AN83" s="62">
        <f ca="1">AVERAGE(OFFSET($AM$3,0,0,'Données projet'!$E$10+1,1))-AVERAGE(OFFSET($H$3,0,0,'Données projet'!$E$10+1,1))</f>
        <v>411.98877330238821</v>
      </c>
      <c r="AO83" s="62">
        <f t="shared" si="90"/>
        <v>256.4377087753457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159</v>
      </c>
      <c r="BB83" s="13">
        <f>VLOOKUP(A83,'Données projet'!$A$87:$I$107,9,0)</f>
        <v>1.6</v>
      </c>
      <c r="BC83" s="13">
        <f t="array" ref="BC83">INDEX(BB:BB,MIN(IF(ISNUMBER(BB83:BB279),ROW(BB83:BB279),"")))</f>
        <v>1.6</v>
      </c>
      <c r="BD83" s="13">
        <f>IF('Données projet'!$A$88&gt;35,BD82+BC83-BL82,IF(A83&lt;'Données projet'!$A$88,$BA$205^A83,IF(A83='Données projet'!$A$88,'Données projet'!$B$88,BD82+BC83-BL82)))</f>
        <v>158.99999999999989</v>
      </c>
      <c r="BE83" s="14">
        <f>BD83*VLOOKUP('Données projet'!$B$11,Paramètres!$A$1:$I$89,3,0)*VLOOKUP('Données projet'!$B$11,Paramètres!$A$1:$I$89,5,0)</f>
        <v>138.90239999999991</v>
      </c>
      <c r="BF83" s="14">
        <f t="shared" si="91"/>
        <v>36.045445680666425</v>
      </c>
      <c r="BG83" s="22">
        <f t="shared" si="61"/>
        <v>304.70083122716051</v>
      </c>
      <c r="BH83" s="62">
        <f t="shared" si="62"/>
        <v>598.03416456049376</v>
      </c>
      <c r="BI83" s="62">
        <f ca="1">AVERAGE(OFFSET($BH$3,0,0,'Données projet'!$E$11+1,1))-AVERAGE(OFFSET($H$3,0,0,'Données projet'!$E$11+1,1))</f>
        <v>195.30963433439501</v>
      </c>
      <c r="BJ83" s="62">
        <f t="shared" si="92"/>
        <v>185.00219255324504</v>
      </c>
      <c r="BK83" s="16">
        <f>IF(ISNA(VLOOKUP(A83,'Données projet'!$A$87:$I$107,3,0)),0,VLOOKUP(A83,'Données projet'!$A$87:$I$107,3,0))</f>
        <v>13</v>
      </c>
      <c r="BL83" s="23">
        <f>IF(ISNA(VLOOKUP(A83,'Données projet'!$A$87:$I$107,4,0)),0,VLOOKUP(A83,'Données projet'!$A$87:$I$107,4,0))</f>
        <v>159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4.0700848423977083E-7</v>
      </c>
      <c r="BS83" s="24">
        <f t="shared" si="63"/>
        <v>4.0700848423977083E-7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192</v>
      </c>
      <c r="BW83" s="13">
        <f>VLOOKUP(A83,'Données projet'!$A$113:$I$133,9,0)</f>
        <v>4.5999999999999996</v>
      </c>
      <c r="BX83" s="13">
        <f t="array" ref="BX83">INDEX(BW:BW,MIN(IF(ISNUMBER(BW83:BW279),ROW(BW83:BW279),"")))</f>
        <v>4.5999999999999996</v>
      </c>
      <c r="BY83" s="13">
        <f>IF('Données projet'!$A$114&gt;35,BY82+BX83-CG82,IF(A83&lt;'Données projet'!$A$114,$BV$205^A83,IF(A83='Données projet'!$A$114,'Données projet'!$B$114,BY82+BX83-CG82)))</f>
        <v>191.99999999999983</v>
      </c>
      <c r="BZ83" s="14">
        <f>BY83*VLOOKUP('Données projet'!$B$12,Paramètres!$A$1:$I$89,3,0)*VLOOKUP('Données projet'!$B$12,Paramètres!$A$1:$I$89,5,0)</f>
        <v>185.70239999999984</v>
      </c>
      <c r="CA83" s="14">
        <f t="shared" si="93"/>
        <v>46.588553069776786</v>
      </c>
      <c r="CB83" s="22">
        <f t="shared" si="64"/>
        <v>404.57340992986093</v>
      </c>
      <c r="CC83" s="62">
        <f t="shared" si="65"/>
        <v>697.90674326319424</v>
      </c>
      <c r="CD83" s="62">
        <f ca="1">AVERAGE(OFFSET($CC$3,0,0,'Données projet'!$E$12+1,1))-AVERAGE(OFFSET($H$3,0,0,'Données projet'!$E$12+1,1))</f>
        <v>298.18906674058809</v>
      </c>
      <c r="CE83" s="62">
        <f t="shared" si="94"/>
        <v>154.08406475869634</v>
      </c>
      <c r="CF83" s="16">
        <f>IF(ISNA(VLOOKUP(A83,'Données projet'!$A$113:$I$133,3,0)),0,VLOOKUP(A83,'Données projet'!$A$113:$I$133,3,0))</f>
        <v>12</v>
      </c>
      <c r="CG83" s="16">
        <f>IF(ISNA(VLOOKUP(A83,'Données projet'!$A$113:$I$133,4,0)),0,VLOOKUP(A83,'Données projet'!$A$113:$I$133,4,0))</f>
        <v>14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1.9895196601282805E-13</v>
      </c>
      <c r="O84" s="14">
        <f>N84*VLOOKUP('Données projet'!$B$9,Paramètres!$A$1:$I$89,3,0)*VLOOKUP('Données projet'!$B$9,Paramètres!$A$1:$I$89,5,0)</f>
        <v>1.8001173884840681E-13</v>
      </c>
      <c r="P84" s="14">
        <f t="shared" si="87"/>
        <v>2.5254331426407198E-12</v>
      </c>
      <c r="Q84" s="22">
        <f t="shared" si="54"/>
        <v>4.7119831685935622E-12</v>
      </c>
      <c r="R84" s="62">
        <f t="shared" si="55"/>
        <v>293.33333333333803</v>
      </c>
      <c r="S84" s="62">
        <f ca="1">AVERAGE(OFFSET($R$3,0,0,'Données projet'!$E$9+1,1))-AVERAGE(OFFSET($H$3,0,0,'Données projet'!$E$9+1,1))</f>
        <v>302.6112905010138</v>
      </c>
      <c r="T84" s="62">
        <f t="shared" si="88"/>
        <v>423.44006663873375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0.55506186724128692</v>
      </c>
      <c r="AB84" s="23">
        <f>EXP(-LN(2)/2)*AB83+(1-EXP(-LN(2)/2))/(LN(2)/2)*V84*Y84*VLOOKUP('Données projet'!$B$9,Paramètres!$A$1:$I$89,3,0)*0.475*44/12</f>
        <v>1.3350254827885963E-7</v>
      </c>
      <c r="AC84" s="24">
        <f t="shared" si="57"/>
        <v>0.55506200074383516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246.60000000000014</v>
      </c>
      <c r="AJ84" s="14">
        <f>AI84*VLOOKUP('Données projet'!$B$10,Paramètres!$A$1:$I$89,3,0)*VLOOKUP('Données projet'!$B$10,Paramètres!$A$1:$I$89,5,0)</f>
        <v>250.05240000000018</v>
      </c>
      <c r="AK84" s="14">
        <f t="shared" si="89"/>
        <v>60.597161386823522</v>
      </c>
      <c r="AL84" s="22">
        <f t="shared" si="58"/>
        <v>541.04798608205112</v>
      </c>
      <c r="AM84" s="62">
        <f t="shared" si="59"/>
        <v>834.3813194153845</v>
      </c>
      <c r="AN84" s="62">
        <f ca="1">AVERAGE(OFFSET($AM$3,0,0,'Données projet'!$E$10+1,1))-AVERAGE(OFFSET($H$3,0,0,'Données projet'!$E$10+1,1))</f>
        <v>411.98877330238821</v>
      </c>
      <c r="AO84" s="62">
        <f t="shared" si="90"/>
        <v>256.4377087753457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-1.1368683772161603E-13</v>
      </c>
      <c r="BE84" s="14">
        <f>BD84*VLOOKUP('Données projet'!$B$11,Paramètres!$A$1:$I$89,3,0)*VLOOKUP('Données projet'!$B$11,Paramètres!$A$1:$I$89,5,0)</f>
        <v>-9.9316821433603781E-14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195.30963433439501</v>
      </c>
      <c r="BJ84" s="62">
        <f t="shared" si="92"/>
        <v>185.00219255324504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2.877984592064E-7</v>
      </c>
      <c r="BS84" s="24">
        <f t="shared" si="63"/>
        <v>2.877984592064E-7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4.4000000000000004</v>
      </c>
      <c r="BY84" s="13">
        <f>IF('Données projet'!$A$114&gt;35,BY83+BX84-CG83,IF(A84&lt;'Données projet'!$A$114,$BV$205^A84,IF(A84='Données projet'!$A$114,'Données projet'!$B$114,BY83+BX84-CG83)))</f>
        <v>182.39999999999984</v>
      </c>
      <c r="BZ84" s="14">
        <f>BY84*VLOOKUP('Données projet'!$B$12,Paramètres!$A$1:$I$89,3,0)*VLOOKUP('Données projet'!$B$12,Paramètres!$A$1:$I$89,5,0)</f>
        <v>176.41727999999983</v>
      </c>
      <c r="CA84" s="14">
        <f t="shared" si="93"/>
        <v>44.524166703747213</v>
      </c>
      <c r="CB84" s="22">
        <f t="shared" si="64"/>
        <v>384.80635300902605</v>
      </c>
      <c r="CC84" s="62">
        <f t="shared" si="65"/>
        <v>678.13968634235937</v>
      </c>
      <c r="CD84" s="62">
        <f ca="1">AVERAGE(OFFSET($CC$3,0,0,'Données projet'!$E$12+1,1))-AVERAGE(OFFSET($H$3,0,0,'Données projet'!$E$12+1,1))</f>
        <v>298.18906674058809</v>
      </c>
      <c r="CE84" s="62">
        <f t="shared" si="94"/>
        <v>154.08406475869634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1.9895196601282805E-13</v>
      </c>
      <c r="O85" s="14">
        <f>N85*VLOOKUP('Données projet'!$B$9,Paramètres!$A$1:$I$89,3,0)*VLOOKUP('Données projet'!$B$9,Paramètres!$A$1:$I$89,5,0)</f>
        <v>1.8001173884840681E-13</v>
      </c>
      <c r="P85" s="14">
        <f t="shared" si="87"/>
        <v>2.5254331426407198E-12</v>
      </c>
      <c r="Q85" s="22">
        <f t="shared" si="54"/>
        <v>4.7119831685935622E-12</v>
      </c>
      <c r="R85" s="62">
        <f t="shared" si="55"/>
        <v>293.33333333333803</v>
      </c>
      <c r="S85" s="62">
        <f ca="1">AVERAGE(OFFSET($R$3,0,0,'Données projet'!$E$9+1,1))-AVERAGE(OFFSET($H$3,0,0,'Données projet'!$E$9+1,1))</f>
        <v>302.6112905010138</v>
      </c>
      <c r="T85" s="62">
        <f t="shared" si="88"/>
        <v>423.44006663873375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0.53988367129213899</v>
      </c>
      <c r="AB85" s="23">
        <f>EXP(-LN(2)/2)*AB84+(1-EXP(-LN(2)/2))/(LN(2)/2)*V85*Y85*VLOOKUP('Données projet'!$B$9,Paramètres!$A$1:$I$89,3,0)*0.475*44/12</f>
        <v>9.4400557193666097E-8</v>
      </c>
      <c r="AC85" s="24">
        <f t="shared" si="57"/>
        <v>0.53988376569269614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252.20000000000013</v>
      </c>
      <c r="AJ85" s="14">
        <f>AI85*VLOOKUP('Données projet'!$B$10,Paramètres!$A$1:$I$89,3,0)*VLOOKUP('Données projet'!$B$10,Paramètres!$A$1:$I$89,5,0)</f>
        <v>255.73080000000016</v>
      </c>
      <c r="AK85" s="14">
        <f t="shared" si="89"/>
        <v>61.811482021795285</v>
      </c>
      <c r="AL85" s="22">
        <f t="shared" si="58"/>
        <v>553.05280785462708</v>
      </c>
      <c r="AM85" s="62">
        <f t="shared" si="59"/>
        <v>846.38614118796045</v>
      </c>
      <c r="AN85" s="62">
        <f ca="1">AVERAGE(OFFSET($AM$3,0,0,'Données projet'!$E$10+1,1))-AVERAGE(OFFSET($H$3,0,0,'Données projet'!$E$10+1,1))</f>
        <v>411.98877330238821</v>
      </c>
      <c r="AO85" s="62">
        <f t="shared" si="90"/>
        <v>256.4377087753457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-1.1368683772161603E-13</v>
      </c>
      <c r="BE85" s="14">
        <f>BD85*VLOOKUP('Données projet'!$B$11,Paramètres!$A$1:$I$89,3,0)*VLOOKUP('Données projet'!$B$11,Paramètres!$A$1:$I$89,5,0)</f>
        <v>-9.9316821433603781E-14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195.30963433439501</v>
      </c>
      <c r="BJ85" s="62">
        <f t="shared" si="92"/>
        <v>185.00219255324504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2.0350424211988542E-7</v>
      </c>
      <c r="BS85" s="24">
        <f t="shared" si="63"/>
        <v>2.0350424211988542E-7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4.4000000000000004</v>
      </c>
      <c r="BY85" s="13">
        <f>IF('Données projet'!$A$114&gt;35,BY84+BX85-CG84,IF(A85&lt;'Données projet'!$A$114,$BV$205^A85,IF(A85='Données projet'!$A$114,'Données projet'!$B$114,BY84+BX85-CG84)))</f>
        <v>186.79999999999984</v>
      </c>
      <c r="BZ85" s="14">
        <f>BY85*VLOOKUP('Données projet'!$B$12,Paramètres!$A$1:$I$89,3,0)*VLOOKUP('Données projet'!$B$12,Paramètres!$A$1:$I$89,5,0)</f>
        <v>180.67295999999985</v>
      </c>
      <c r="CA85" s="14">
        <f t="shared" si="93"/>
        <v>45.471874835351159</v>
      </c>
      <c r="CB85" s="22">
        <f t="shared" si="64"/>
        <v>393.86892067156964</v>
      </c>
      <c r="CC85" s="62">
        <f t="shared" si="65"/>
        <v>687.2022540049029</v>
      </c>
      <c r="CD85" s="62">
        <f ca="1">AVERAGE(OFFSET($CC$3,0,0,'Données projet'!$E$12+1,1))-AVERAGE(OFFSET($H$3,0,0,'Données projet'!$E$12+1,1))</f>
        <v>298.18906674058809</v>
      </c>
      <c r="CE85" s="62">
        <f t="shared" si="94"/>
        <v>154.08406475869634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1.9895196601282805E-13</v>
      </c>
      <c r="O86" s="14">
        <f>N86*VLOOKUP('Données projet'!$B$9,Paramètres!$A$1:$I$89,3,0)*VLOOKUP('Données projet'!$B$9,Paramètres!$A$1:$I$89,5,0)</f>
        <v>1.8001173884840681E-13</v>
      </c>
      <c r="P86" s="14">
        <f t="shared" si="87"/>
        <v>2.5254331426407198E-12</v>
      </c>
      <c r="Q86" s="22">
        <f t="shared" si="54"/>
        <v>4.7119831685935622E-12</v>
      </c>
      <c r="R86" s="62">
        <f t="shared" si="55"/>
        <v>293.33333333333803</v>
      </c>
      <c r="S86" s="62">
        <f ca="1">AVERAGE(OFFSET($R$3,0,0,'Données projet'!$E$9+1,1))-AVERAGE(OFFSET($H$3,0,0,'Données projet'!$E$9+1,1))</f>
        <v>302.6112905010138</v>
      </c>
      <c r="T86" s="62">
        <f t="shared" si="88"/>
        <v>423.44006663873375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0.52512052390940711</v>
      </c>
      <c r="AB86" s="23">
        <f>EXP(-LN(2)/2)*AB85+(1-EXP(-LN(2)/2))/(LN(2)/2)*V86*Y86*VLOOKUP('Données projet'!$B$9,Paramètres!$A$1:$I$89,3,0)*0.475*44/12</f>
        <v>6.6751274139429817E-8</v>
      </c>
      <c r="AC86" s="24">
        <f t="shared" si="57"/>
        <v>0.52512059066068129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257.80000000000013</v>
      </c>
      <c r="AJ86" s="14">
        <f>AI86*VLOOKUP('Données projet'!$B$10,Paramètres!$A$1:$I$89,3,0)*VLOOKUP('Données projet'!$B$10,Paramètres!$A$1:$I$89,5,0)</f>
        <v>261.40920000000011</v>
      </c>
      <c r="AK86" s="14">
        <f t="shared" si="89"/>
        <v>63.022667885185157</v>
      </c>
      <c r="AL86" s="22">
        <f t="shared" si="58"/>
        <v>565.052169900031</v>
      </c>
      <c r="AM86" s="62">
        <f t="shared" si="59"/>
        <v>858.38550323336426</v>
      </c>
      <c r="AN86" s="62">
        <f ca="1">AVERAGE(OFFSET($AM$3,0,0,'Données projet'!$E$10+1,1))-AVERAGE(OFFSET($H$3,0,0,'Données projet'!$E$10+1,1))</f>
        <v>411.98877330238821</v>
      </c>
      <c r="AO86" s="62">
        <f t="shared" si="90"/>
        <v>256.4377087753457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-1.1368683772161603E-13</v>
      </c>
      <c r="BE86" s="14">
        <f>BD86*VLOOKUP('Données projet'!$B$11,Paramètres!$A$1:$I$89,3,0)*VLOOKUP('Données projet'!$B$11,Paramètres!$A$1:$I$89,5,0)</f>
        <v>-9.9316821433603781E-14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195.30963433439501</v>
      </c>
      <c r="BJ86" s="62">
        <f t="shared" si="92"/>
        <v>185.00219255324504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1.438992296032E-7</v>
      </c>
      <c r="BS86" s="24">
        <f t="shared" si="63"/>
        <v>1.438992296032E-7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4.4000000000000004</v>
      </c>
      <c r="BY86" s="13">
        <f>IF('Données projet'!$A$114&gt;35,BY85+BX86-CG85,IF(A86&lt;'Données projet'!$A$114,$BV$205^A86,IF(A86='Données projet'!$A$114,'Données projet'!$B$114,BY85+BX86-CG85)))</f>
        <v>191.19999999999985</v>
      </c>
      <c r="BZ86" s="14">
        <f>BY86*VLOOKUP('Données projet'!$B$12,Paramètres!$A$1:$I$89,3,0)*VLOOKUP('Données projet'!$B$12,Paramètres!$A$1:$I$89,5,0)</f>
        <v>184.92863999999986</v>
      </c>
      <c r="CA86" s="14">
        <f t="shared" si="93"/>
        <v>46.416987887800182</v>
      </c>
      <c r="CB86" s="22">
        <f t="shared" si="64"/>
        <v>402.92696857125173</v>
      </c>
      <c r="CC86" s="62">
        <f t="shared" si="65"/>
        <v>696.26030190458505</v>
      </c>
      <c r="CD86" s="62">
        <f ca="1">AVERAGE(OFFSET($CC$3,0,0,'Données projet'!$E$12+1,1))-AVERAGE(OFFSET($H$3,0,0,'Données projet'!$E$12+1,1))</f>
        <v>298.18906674058809</v>
      </c>
      <c r="CE86" s="62">
        <f t="shared" si="94"/>
        <v>154.08406475869634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1.9895196601282805E-13</v>
      </c>
      <c r="O87" s="14">
        <f>N87*VLOOKUP('Données projet'!$B$9,Paramètres!$A$1:$I$89,3,0)*VLOOKUP('Données projet'!$B$9,Paramètres!$A$1:$I$89,5,0)</f>
        <v>1.8001173884840681E-13</v>
      </c>
      <c r="P87" s="14">
        <f t="shared" si="87"/>
        <v>2.5254331426407198E-12</v>
      </c>
      <c r="Q87" s="22">
        <f t="shared" si="54"/>
        <v>4.7119831685935622E-12</v>
      </c>
      <c r="R87" s="62">
        <f t="shared" si="55"/>
        <v>293.33333333333803</v>
      </c>
      <c r="S87" s="62">
        <f ca="1">AVERAGE(OFFSET($R$3,0,0,'Données projet'!$E$9+1,1))-AVERAGE(OFFSET($H$3,0,0,'Données projet'!$E$9+1,1))</f>
        <v>302.6112905010138</v>
      </c>
      <c r="T87" s="62">
        <f t="shared" si="88"/>
        <v>423.44006663873375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0.51076107556821615</v>
      </c>
      <c r="AB87" s="23">
        <f>EXP(-LN(2)/2)*AB86+(1-EXP(-LN(2)/2))/(LN(2)/2)*V87*Y87*VLOOKUP('Données projet'!$B$9,Paramètres!$A$1:$I$89,3,0)*0.475*44/12</f>
        <v>4.7200278596833048E-8</v>
      </c>
      <c r="AC87" s="24">
        <f t="shared" si="57"/>
        <v>0.51076112276849472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263.40000000000015</v>
      </c>
      <c r="AJ87" s="14">
        <f>AI87*VLOOKUP('Données projet'!$B$10,Paramètres!$A$1:$I$89,3,0)*VLOOKUP('Données projet'!$B$10,Paramètres!$A$1:$I$89,5,0)</f>
        <v>267.08760000000018</v>
      </c>
      <c r="AK87" s="14">
        <f t="shared" si="89"/>
        <v>64.230794913549914</v>
      </c>
      <c r="AL87" s="22">
        <f t="shared" si="58"/>
        <v>577.04620447443301</v>
      </c>
      <c r="AM87" s="62">
        <f t="shared" si="59"/>
        <v>870.37953780776638</v>
      </c>
      <c r="AN87" s="62">
        <f ca="1">AVERAGE(OFFSET($AM$3,0,0,'Données projet'!$E$10+1,1))-AVERAGE(OFFSET($H$3,0,0,'Données projet'!$E$10+1,1))</f>
        <v>411.98877330238821</v>
      </c>
      <c r="AO87" s="62">
        <f t="shared" si="90"/>
        <v>256.4377087753457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-1.1368683772161603E-13</v>
      </c>
      <c r="BE87" s="14">
        <f>BD87*VLOOKUP('Données projet'!$B$11,Paramètres!$A$1:$I$89,3,0)*VLOOKUP('Données projet'!$B$11,Paramètres!$A$1:$I$89,5,0)</f>
        <v>-9.9316821433603781E-14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195.30963433439501</v>
      </c>
      <c r="BJ87" s="62">
        <f t="shared" si="92"/>
        <v>185.00219255324504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1.0175212105994271E-7</v>
      </c>
      <c r="BS87" s="24">
        <f t="shared" si="63"/>
        <v>1.0175212105994271E-7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4.4000000000000004</v>
      </c>
      <c r="BY87" s="13">
        <f>IF('Données projet'!$A$114&gt;35,BY86+BX87-CG86,IF(A87&lt;'Données projet'!$A$114,$BV$205^A87,IF(A87='Données projet'!$A$114,'Données projet'!$B$114,BY86+BX87-CG86)))</f>
        <v>195.59999999999985</v>
      </c>
      <c r="BZ87" s="14">
        <f>BY87*VLOOKUP('Données projet'!$B$12,Paramètres!$A$1:$I$89,3,0)*VLOOKUP('Données projet'!$B$12,Paramètres!$A$1:$I$89,5,0)</f>
        <v>189.18431999999987</v>
      </c>
      <c r="CA87" s="14">
        <f t="shared" si="93"/>
        <v>47.359572454491783</v>
      </c>
      <c r="CB87" s="22">
        <f t="shared" si="64"/>
        <v>411.98061269157296</v>
      </c>
      <c r="CC87" s="62">
        <f t="shared" si="65"/>
        <v>705.31394602490627</v>
      </c>
      <c r="CD87" s="62">
        <f ca="1">AVERAGE(OFFSET($CC$3,0,0,'Données projet'!$E$12+1,1))-AVERAGE(OFFSET($H$3,0,0,'Données projet'!$E$12+1,1))</f>
        <v>298.18906674058809</v>
      </c>
      <c r="CE87" s="62">
        <f t="shared" si="94"/>
        <v>154.08406475869634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1.9895196601282805E-13</v>
      </c>
      <c r="O88" s="14">
        <f>N88*VLOOKUP('Données projet'!$B$9,Paramètres!$A$1:$I$89,3,0)*VLOOKUP('Données projet'!$B$9,Paramètres!$A$1:$I$89,5,0)</f>
        <v>1.8001173884840681E-13</v>
      </c>
      <c r="P88" s="14">
        <f t="shared" si="87"/>
        <v>2.5254331426407198E-12</v>
      </c>
      <c r="Q88" s="22">
        <f t="shared" si="54"/>
        <v>4.7119831685935622E-12</v>
      </c>
      <c r="R88" s="62">
        <f t="shared" si="55"/>
        <v>293.33333333333803</v>
      </c>
      <c r="S88" s="62">
        <f ca="1">AVERAGE(OFFSET($R$3,0,0,'Données projet'!$E$9+1,1))-AVERAGE(OFFSET($H$3,0,0,'Données projet'!$E$9+1,1))</f>
        <v>302.6112905010138</v>
      </c>
      <c r="T88" s="62">
        <f t="shared" si="88"/>
        <v>423.44006663873375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0.49679428709704565</v>
      </c>
      <c r="AB88" s="23">
        <f>EXP(-LN(2)/2)*AB87+(1-EXP(-LN(2)/2))/(LN(2)/2)*V88*Y88*VLOOKUP('Données projet'!$B$9,Paramètres!$A$1:$I$89,3,0)*0.475*44/12</f>
        <v>3.3375637069714908E-8</v>
      </c>
      <c r="AC88" s="24">
        <f t="shared" si="57"/>
        <v>0.49679432047268274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5.6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269.00000000000017</v>
      </c>
      <c r="AJ88" s="14">
        <f>AI88*VLOOKUP('Données projet'!$B$10,Paramètres!$A$1:$I$89,3,0)*VLOOKUP('Données projet'!$B$10,Paramètres!$A$1:$I$89,5,0)</f>
        <v>272.76600000000019</v>
      </c>
      <c r="AK88" s="14">
        <f t="shared" si="89"/>
        <v>65.435935630087627</v>
      </c>
      <c r="AL88" s="22">
        <f t="shared" si="58"/>
        <v>589.03503788906949</v>
      </c>
      <c r="AM88" s="62">
        <f t="shared" si="59"/>
        <v>882.36837122240286</v>
      </c>
      <c r="AN88" s="62">
        <f ca="1">AVERAGE(OFFSET($AM$3,0,0,'Données projet'!$E$10+1,1))-AVERAGE(OFFSET($H$3,0,0,'Données projet'!$E$10+1,1))</f>
        <v>411.98877330238821</v>
      </c>
      <c r="AO88" s="62">
        <f t="shared" si="90"/>
        <v>256.4377087753457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-1.1368683772161603E-13</v>
      </c>
      <c r="BE88" s="14">
        <f>BD88*VLOOKUP('Données projet'!$B$11,Paramètres!$A$1:$I$89,3,0)*VLOOKUP('Données projet'!$B$11,Paramètres!$A$1:$I$89,5,0)</f>
        <v>-9.9316821433603781E-14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195.30963433439501</v>
      </c>
      <c r="BJ88" s="62">
        <f t="shared" si="92"/>
        <v>185.00219255324504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7.1949614801600001E-8</v>
      </c>
      <c r="BS88" s="24">
        <f t="shared" si="63"/>
        <v>7.1949614801600001E-8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200</v>
      </c>
      <c r="BW88" s="13">
        <f>VLOOKUP(A88,'Données projet'!$A$113:$I$133,9,0)</f>
        <v>4.4000000000000004</v>
      </c>
      <c r="BX88" s="13">
        <f t="array" ref="BX88">INDEX(BW:BW,MIN(IF(ISNUMBER(BW88:BW284),ROW(BW88:BW284),"")))</f>
        <v>4.4000000000000004</v>
      </c>
      <c r="BY88" s="13">
        <f>IF('Données projet'!$A$114&gt;35,BY87+BX88-CG87,IF(A88&lt;'Données projet'!$A$114,$BV$205^A88,IF(A88='Données projet'!$A$114,'Données projet'!$B$114,BY87+BX88-CG87)))</f>
        <v>199.99999999999986</v>
      </c>
      <c r="BZ88" s="14">
        <f>BY88*VLOOKUP('Données projet'!$B$12,Paramètres!$A$1:$I$89,3,0)*VLOOKUP('Données projet'!$B$12,Paramètres!$A$1:$I$89,5,0)</f>
        <v>193.43999999999988</v>
      </c>
      <c r="CA88" s="14">
        <f t="shared" si="93"/>
        <v>48.299691961776745</v>
      </c>
      <c r="CB88" s="22">
        <f t="shared" si="64"/>
        <v>421.02996350009425</v>
      </c>
      <c r="CC88" s="62">
        <f t="shared" si="65"/>
        <v>714.36329683342751</v>
      </c>
      <c r="CD88" s="62">
        <f ca="1">AVERAGE(OFFSET($CC$3,0,0,'Données projet'!$E$12+1,1))-AVERAGE(OFFSET($H$3,0,0,'Données projet'!$E$12+1,1))</f>
        <v>298.18906674058809</v>
      </c>
      <c r="CE88" s="62">
        <f t="shared" si="94"/>
        <v>154.08406475869634</v>
      </c>
      <c r="CF88" s="16">
        <f>IF(ISNA(VLOOKUP(A88,'Données projet'!$A$113:$I$133,3,0)),0,VLOOKUP(A88,'Données projet'!$A$113:$I$133,3,0))</f>
        <v>13</v>
      </c>
      <c r="CG88" s="16">
        <f>IF(ISNA(VLOOKUP(A88,'Données projet'!$A$113:$I$133,4,0)),0,VLOOKUP(A88,'Données projet'!$A$113:$I$133,4,0))</f>
        <v>14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1.9895196601282805E-13</v>
      </c>
      <c r="O89" s="14">
        <f>N89*VLOOKUP('Données projet'!$B$9,Paramètres!$A$1:$I$89,3,0)*VLOOKUP('Données projet'!$B$9,Paramètres!$A$1:$I$89,5,0)</f>
        <v>1.8001173884840681E-13</v>
      </c>
      <c r="P89" s="14">
        <f t="shared" si="87"/>
        <v>2.5254331426407198E-12</v>
      </c>
      <c r="Q89" s="22">
        <f t="shared" si="54"/>
        <v>4.7119831685935622E-12</v>
      </c>
      <c r="R89" s="62">
        <f t="shared" si="55"/>
        <v>293.33333333333803</v>
      </c>
      <c r="S89" s="62">
        <f ca="1">AVERAGE(OFFSET($R$3,0,0,'Données projet'!$E$9+1,1))-AVERAGE(OFFSET($H$3,0,0,'Données projet'!$E$9+1,1))</f>
        <v>302.6112905010138</v>
      </c>
      <c r="T89" s="62">
        <f t="shared" si="88"/>
        <v>423.44006663873375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0.48320942119110083</v>
      </c>
      <c r="AB89" s="23">
        <f>EXP(-LN(2)/2)*AB88+(1-EXP(-LN(2)/2))/(LN(2)/2)*V89*Y89*VLOOKUP('Données projet'!$B$9,Paramètres!$A$1:$I$89,3,0)*0.475*44/12</f>
        <v>2.3600139298416524E-8</v>
      </c>
      <c r="AC89" s="24">
        <f t="shared" si="57"/>
        <v>0.48320944479124012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253.40000000000015</v>
      </c>
      <c r="AJ89" s="14">
        <f>AI89*VLOOKUP('Données projet'!$B$10,Paramètres!$A$1:$I$89,3,0)*VLOOKUP('Données projet'!$B$10,Paramètres!$A$1:$I$89,5,0)</f>
        <v>256.94760000000014</v>
      </c>
      <c r="AK89" s="14">
        <f t="shared" si="89"/>
        <v>62.071283104858303</v>
      </c>
      <c r="AL89" s="22">
        <f t="shared" si="58"/>
        <v>555.6245547409618</v>
      </c>
      <c r="AM89" s="62">
        <f t="shared" si="59"/>
        <v>848.95788807429517</v>
      </c>
      <c r="AN89" s="62">
        <f ca="1">AVERAGE(OFFSET($AM$3,0,0,'Données projet'!$E$10+1,1))-AVERAGE(OFFSET($H$3,0,0,'Données projet'!$E$10+1,1))</f>
        <v>411.98877330238821</v>
      </c>
      <c r="AO89" s="62">
        <f t="shared" si="90"/>
        <v>256.4377087753457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-1.1368683772161603E-13</v>
      </c>
      <c r="BE89" s="14">
        <f>BD89*VLOOKUP('Données projet'!$B$11,Paramètres!$A$1:$I$89,3,0)*VLOOKUP('Données projet'!$B$11,Paramètres!$A$1:$I$89,5,0)</f>
        <v>-9.9316821433603781E-14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195.30963433439501</v>
      </c>
      <c r="BJ89" s="62">
        <f t="shared" si="92"/>
        <v>185.00219255324504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5.0876060529971354E-8</v>
      </c>
      <c r="BS89" s="24">
        <f t="shared" si="63"/>
        <v>5.0876060529971354E-8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4.2</v>
      </c>
      <c r="BY89" s="13">
        <f>IF('Données projet'!$A$114&gt;35,BY88+BX89-CG88,IF(A89&lt;'Données projet'!$A$114,$BV$205^A89,IF(A89='Données projet'!$A$114,'Données projet'!$B$114,BY88+BX89-CG88)))</f>
        <v>190.19999999999985</v>
      </c>
      <c r="BZ89" s="14">
        <f>BY89*VLOOKUP('Données projet'!$B$12,Paramètres!$A$1:$I$89,3,0)*VLOOKUP('Données projet'!$B$12,Paramètres!$A$1:$I$89,5,0)</f>
        <v>183.96143999999987</v>
      </c>
      <c r="CA89" s="14">
        <f t="shared" si="93"/>
        <v>46.202413833061883</v>
      </c>
      <c r="CB89" s="22">
        <f t="shared" si="64"/>
        <v>400.86871209258248</v>
      </c>
      <c r="CC89" s="62">
        <f t="shared" si="65"/>
        <v>694.2020454259158</v>
      </c>
      <c r="CD89" s="62">
        <f ca="1">AVERAGE(OFFSET($CC$3,0,0,'Données projet'!$E$12+1,1))-AVERAGE(OFFSET($H$3,0,0,'Données projet'!$E$12+1,1))</f>
        <v>298.18906674058809</v>
      </c>
      <c r="CE89" s="62">
        <f t="shared" si="94"/>
        <v>154.08406475869634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1.9895196601282805E-13</v>
      </c>
      <c r="O90" s="14">
        <f>N90*VLOOKUP('Données projet'!$B$9,Paramètres!$A$1:$I$89,3,0)*VLOOKUP('Données projet'!$B$9,Paramètres!$A$1:$I$89,5,0)</f>
        <v>1.8001173884840681E-13</v>
      </c>
      <c r="P90" s="14">
        <f t="shared" si="87"/>
        <v>2.5254331426407198E-12</v>
      </c>
      <c r="Q90" s="22">
        <f t="shared" si="54"/>
        <v>4.7119831685935622E-12</v>
      </c>
      <c r="R90" s="62">
        <f t="shared" si="55"/>
        <v>293.33333333333803</v>
      </c>
      <c r="S90" s="62">
        <f ca="1">AVERAGE(OFFSET($R$3,0,0,'Données projet'!$E$9+1,1))-AVERAGE(OFFSET($H$3,0,0,'Données projet'!$E$9+1,1))</f>
        <v>302.6112905010138</v>
      </c>
      <c r="T90" s="62">
        <f t="shared" si="88"/>
        <v>423.44006663873375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0.4699960341577511</v>
      </c>
      <c r="AB90" s="23">
        <f>EXP(-LN(2)/2)*AB89+(1-EXP(-LN(2)/2))/(LN(2)/2)*V90*Y90*VLOOKUP('Données projet'!$B$9,Paramètres!$A$1:$I$89,3,0)*0.475*44/12</f>
        <v>1.6687818534857454E-8</v>
      </c>
      <c r="AC90" s="24">
        <f t="shared" si="57"/>
        <v>0.46999605084556961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258.80000000000013</v>
      </c>
      <c r="AJ90" s="14">
        <f>AI90*VLOOKUP('Données projet'!$B$10,Paramètres!$A$1:$I$89,3,0)*VLOOKUP('Données projet'!$B$10,Paramètres!$A$1:$I$89,5,0)</f>
        <v>262.42320000000012</v>
      </c>
      <c r="AK90" s="14">
        <f t="shared" si="89"/>
        <v>63.23862706204779</v>
      </c>
      <c r="AL90" s="22">
        <f t="shared" si="58"/>
        <v>567.19434879973335</v>
      </c>
      <c r="AM90" s="62">
        <f t="shared" si="59"/>
        <v>860.52768213306672</v>
      </c>
      <c r="AN90" s="62">
        <f ca="1">AVERAGE(OFFSET($AM$3,0,0,'Données projet'!$E$10+1,1))-AVERAGE(OFFSET($H$3,0,0,'Données projet'!$E$10+1,1))</f>
        <v>411.98877330238821</v>
      </c>
      <c r="AO90" s="62">
        <f t="shared" si="90"/>
        <v>256.4377087753457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-1.1368683772161603E-13</v>
      </c>
      <c r="BE90" s="14">
        <f>BD90*VLOOKUP('Données projet'!$B$11,Paramètres!$A$1:$I$89,3,0)*VLOOKUP('Données projet'!$B$11,Paramètres!$A$1:$I$89,5,0)</f>
        <v>-9.9316821433603781E-14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195.30963433439501</v>
      </c>
      <c r="BJ90" s="62">
        <f t="shared" si="92"/>
        <v>185.00219255324504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3.59748074008E-8</v>
      </c>
      <c r="BS90" s="24">
        <f t="shared" si="63"/>
        <v>3.59748074008E-8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4.2</v>
      </c>
      <c r="BY90" s="13">
        <f>IF('Données projet'!$A$114&gt;35,BY89+BX90-CG89,IF(A90&lt;'Données projet'!$A$114,$BV$205^A90,IF(A90='Données projet'!$A$114,'Données projet'!$B$114,BY89+BX90-CG89)))</f>
        <v>194.39999999999984</v>
      </c>
      <c r="BZ90" s="14">
        <f>BY90*VLOOKUP('Données projet'!$B$12,Paramètres!$A$1:$I$89,3,0)*VLOOKUP('Données projet'!$B$12,Paramètres!$A$1:$I$89,5,0)</f>
        <v>188.02367999999984</v>
      </c>
      <c r="CA90" s="14">
        <f t="shared" si="93"/>
        <v>47.10275101826771</v>
      </c>
      <c r="CB90" s="22">
        <f t="shared" si="64"/>
        <v>409.51186735681603</v>
      </c>
      <c r="CC90" s="62">
        <f t="shared" si="65"/>
        <v>702.84520069014934</v>
      </c>
      <c r="CD90" s="62">
        <f ca="1">AVERAGE(OFFSET($CC$3,0,0,'Données projet'!$E$12+1,1))-AVERAGE(OFFSET($H$3,0,0,'Données projet'!$E$12+1,1))</f>
        <v>298.18906674058809</v>
      </c>
      <c r="CE90" s="62">
        <f t="shared" si="94"/>
        <v>154.08406475869634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1.9895196601282805E-13</v>
      </c>
      <c r="O91" s="14">
        <f>N91*VLOOKUP('Données projet'!$B$9,Paramètres!$A$1:$I$89,3,0)*VLOOKUP('Données projet'!$B$9,Paramètres!$A$1:$I$89,5,0)</f>
        <v>1.8001173884840681E-13</v>
      </c>
      <c r="P91" s="14">
        <f t="shared" si="87"/>
        <v>2.5254331426407198E-12</v>
      </c>
      <c r="Q91" s="22">
        <f t="shared" si="54"/>
        <v>4.7119831685935622E-12</v>
      </c>
      <c r="R91" s="62">
        <f t="shared" si="55"/>
        <v>293.33333333333803</v>
      </c>
      <c r="S91" s="62">
        <f ca="1">AVERAGE(OFFSET($R$3,0,0,'Données projet'!$E$9+1,1))-AVERAGE(OFFSET($H$3,0,0,'Données projet'!$E$9+1,1))</f>
        <v>302.6112905010138</v>
      </c>
      <c r="T91" s="62">
        <f t="shared" si="88"/>
        <v>423.44006663873375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0.45714396788769013</v>
      </c>
      <c r="AB91" s="23">
        <f>EXP(-LN(2)/2)*AB90+(1-EXP(-LN(2)/2))/(LN(2)/2)*V91*Y91*VLOOKUP('Données projet'!$B$9,Paramètres!$A$1:$I$89,3,0)*0.475*44/12</f>
        <v>1.1800069649208262E-8</v>
      </c>
      <c r="AC91" s="24">
        <f t="shared" si="57"/>
        <v>0.45714397968775977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264.2000000000001</v>
      </c>
      <c r="AJ91" s="14">
        <f>AI91*VLOOKUP('Données projet'!$B$10,Paramètres!$A$1:$I$89,3,0)*VLOOKUP('Données projet'!$B$10,Paramètres!$A$1:$I$89,5,0)</f>
        <v>267.89880000000011</v>
      </c>
      <c r="AK91" s="14">
        <f t="shared" si="89"/>
        <v>64.403139057834565</v>
      </c>
      <c r="AL91" s="22">
        <f t="shared" si="58"/>
        <v>578.75921052572869</v>
      </c>
      <c r="AM91" s="62">
        <f t="shared" si="59"/>
        <v>872.09254385906206</v>
      </c>
      <c r="AN91" s="62">
        <f ca="1">AVERAGE(OFFSET($AM$3,0,0,'Données projet'!$E$10+1,1))-AVERAGE(OFFSET($H$3,0,0,'Données projet'!$E$10+1,1))</f>
        <v>411.98877330238821</v>
      </c>
      <c r="AO91" s="62">
        <f t="shared" si="90"/>
        <v>256.4377087753457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-1.1368683772161603E-13</v>
      </c>
      <c r="BE91" s="14">
        <f>BD91*VLOOKUP('Données projet'!$B$11,Paramètres!$A$1:$I$89,3,0)*VLOOKUP('Données projet'!$B$11,Paramètres!$A$1:$I$89,5,0)</f>
        <v>-9.9316821433603781E-14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195.30963433439501</v>
      </c>
      <c r="BJ91" s="62">
        <f t="shared" si="92"/>
        <v>185.00219255324504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2.5438030264985677E-8</v>
      </c>
      <c r="BS91" s="24">
        <f t="shared" si="63"/>
        <v>2.5438030264985677E-8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4.2</v>
      </c>
      <c r="BY91" s="13">
        <f>IF('Données projet'!$A$114&gt;35,BY90+BX91-CG90,IF(A91&lt;'Données projet'!$A$114,$BV$205^A91,IF(A91='Données projet'!$A$114,'Données projet'!$B$114,BY90+BX91-CG90)))</f>
        <v>198.59999999999982</v>
      </c>
      <c r="BZ91" s="14">
        <f>BY91*VLOOKUP('Données projet'!$B$12,Paramètres!$A$1:$I$89,3,0)*VLOOKUP('Données projet'!$B$12,Paramètres!$A$1:$I$89,5,0)</f>
        <v>192.08591999999985</v>
      </c>
      <c r="CA91" s="14">
        <f t="shared" si="93"/>
        <v>48.000826680832176</v>
      </c>
      <c r="CB91" s="22">
        <f t="shared" si="64"/>
        <v>418.15108380244902</v>
      </c>
      <c r="CC91" s="62">
        <f t="shared" si="65"/>
        <v>711.48441713578234</v>
      </c>
      <c r="CD91" s="62">
        <f ca="1">AVERAGE(OFFSET($CC$3,0,0,'Données projet'!$E$12+1,1))-AVERAGE(OFFSET($H$3,0,0,'Données projet'!$E$12+1,1))</f>
        <v>298.18906674058809</v>
      </c>
      <c r="CE91" s="62">
        <f t="shared" si="94"/>
        <v>154.08406475869634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1.9895196601282805E-13</v>
      </c>
      <c r="O92" s="14">
        <f>N92*VLOOKUP('Données projet'!$B$9,Paramètres!$A$1:$I$89,3,0)*VLOOKUP('Données projet'!$B$9,Paramètres!$A$1:$I$89,5,0)</f>
        <v>1.8001173884840681E-13</v>
      </c>
      <c r="P92" s="14">
        <f t="shared" si="87"/>
        <v>2.5254331426407198E-12</v>
      </c>
      <c r="Q92" s="22">
        <f t="shared" si="54"/>
        <v>4.7119831685935622E-12</v>
      </c>
      <c r="R92" s="62">
        <f t="shared" si="55"/>
        <v>293.33333333333803</v>
      </c>
      <c r="S92" s="62">
        <f ca="1">AVERAGE(OFFSET($R$3,0,0,'Données projet'!$E$9+1,1))-AVERAGE(OFFSET($H$3,0,0,'Données projet'!$E$9+1,1))</f>
        <v>302.6112905010138</v>
      </c>
      <c r="T92" s="62">
        <f t="shared" si="88"/>
        <v>423.44006663873375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0.44464334204564476</v>
      </c>
      <c r="AB92" s="23">
        <f>EXP(-LN(2)/2)*AB91+(1-EXP(-LN(2)/2))/(LN(2)/2)*V92*Y92*VLOOKUP('Données projet'!$B$9,Paramètres!$A$1:$I$89,3,0)*0.475*44/12</f>
        <v>8.3439092674287271E-9</v>
      </c>
      <c r="AC92" s="24">
        <f t="shared" si="57"/>
        <v>0.44464335038955405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269.60000000000008</v>
      </c>
      <c r="AJ92" s="14">
        <f>AI92*VLOOKUP('Données projet'!$B$10,Paramètres!$A$1:$I$89,3,0)*VLOOKUP('Données projet'!$B$10,Paramètres!$A$1:$I$89,5,0)</f>
        <v>273.37440000000009</v>
      </c>
      <c r="AK92" s="14">
        <f t="shared" si="89"/>
        <v>65.564883644654444</v>
      </c>
      <c r="AL92" s="22">
        <f t="shared" si="58"/>
        <v>590.31925234777327</v>
      </c>
      <c r="AM92" s="62">
        <f t="shared" si="59"/>
        <v>883.65258568110653</v>
      </c>
      <c r="AN92" s="62">
        <f ca="1">AVERAGE(OFFSET($AM$3,0,0,'Données projet'!$E$10+1,1))-AVERAGE(OFFSET($H$3,0,0,'Données projet'!$E$10+1,1))</f>
        <v>411.98877330238821</v>
      </c>
      <c r="AO92" s="62">
        <f t="shared" si="90"/>
        <v>256.4377087753457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-1.1368683772161603E-13</v>
      </c>
      <c r="BE92" s="14">
        <f>BD92*VLOOKUP('Données projet'!$B$11,Paramètres!$A$1:$I$89,3,0)*VLOOKUP('Données projet'!$B$11,Paramètres!$A$1:$I$89,5,0)</f>
        <v>-9.9316821433603781E-14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195.30963433439501</v>
      </c>
      <c r="BJ92" s="62">
        <f t="shared" si="92"/>
        <v>185.00219255324504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1.79874037004E-8</v>
      </c>
      <c r="BS92" s="24">
        <f t="shared" si="63"/>
        <v>1.79874037004E-8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4.2</v>
      </c>
      <c r="BY92" s="13">
        <f>IF('Données projet'!$A$114&gt;35,BY91+BX92-CG91,IF(A92&lt;'Données projet'!$A$114,$BV$205^A92,IF(A92='Données projet'!$A$114,'Données projet'!$B$114,BY91+BX92-CG91)))</f>
        <v>202.79999999999981</v>
      </c>
      <c r="BZ92" s="14">
        <f>BY92*VLOOKUP('Données projet'!$B$12,Paramètres!$A$1:$I$89,3,0)*VLOOKUP('Données projet'!$B$12,Paramètres!$A$1:$I$89,5,0)</f>
        <v>196.14815999999982</v>
      </c>
      <c r="CA92" s="14">
        <f t="shared" si="93"/>
        <v>48.896694156917398</v>
      </c>
      <c r="CB92" s="22">
        <f t="shared" si="64"/>
        <v>426.78645432329745</v>
      </c>
      <c r="CC92" s="62">
        <f t="shared" si="65"/>
        <v>720.11978765663071</v>
      </c>
      <c r="CD92" s="62">
        <f ca="1">AVERAGE(OFFSET($CC$3,0,0,'Données projet'!$E$12+1,1))-AVERAGE(OFFSET($H$3,0,0,'Données projet'!$E$12+1,1))</f>
        <v>298.18906674058809</v>
      </c>
      <c r="CE92" s="62">
        <f t="shared" si="94"/>
        <v>154.08406475869634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1.9895196601282805E-13</v>
      </c>
      <c r="O93" s="14">
        <f>N93*VLOOKUP('Données projet'!$B$9,Paramètres!$A$1:$I$89,3,0)*VLOOKUP('Données projet'!$B$9,Paramètres!$A$1:$I$89,5,0)</f>
        <v>1.8001173884840681E-13</v>
      </c>
      <c r="P93" s="14">
        <f t="shared" si="87"/>
        <v>2.5254331426407198E-12</v>
      </c>
      <c r="Q93" s="22">
        <f t="shared" si="54"/>
        <v>4.7119831685935622E-12</v>
      </c>
      <c r="R93" s="62">
        <f t="shared" si="55"/>
        <v>293.33333333333803</v>
      </c>
      <c r="S93" s="62">
        <f ca="1">AVERAGE(OFFSET($R$3,0,0,'Données projet'!$E$9+1,1))-AVERAGE(OFFSET($H$3,0,0,'Données projet'!$E$9+1,1))</f>
        <v>302.6112905010138</v>
      </c>
      <c r="T93" s="62">
        <f t="shared" si="88"/>
        <v>423.44006663873375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0.43248454647462947</v>
      </c>
      <c r="AB93" s="23">
        <f>EXP(-LN(2)/2)*AB92+(1-EXP(-LN(2)/2))/(LN(2)/2)*V93*Y93*VLOOKUP('Données projet'!$B$9,Paramètres!$A$1:$I$89,3,0)*0.475*44/12</f>
        <v>5.900034824604131E-9</v>
      </c>
      <c r="AC93" s="24">
        <f t="shared" si="57"/>
        <v>0.43248455237466432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275.00000000000006</v>
      </c>
      <c r="AJ93" s="14">
        <f>AI93*VLOOKUP('Données projet'!$B$10,Paramètres!$A$1:$I$89,3,0)*VLOOKUP('Données projet'!$B$10,Paramètres!$A$1:$I$89,5,0)</f>
        <v>278.85000000000008</v>
      </c>
      <c r="AK93" s="14">
        <f t="shared" si="89"/>
        <v>66.723922641152967</v>
      </c>
      <c r="AL93" s="22">
        <f t="shared" si="58"/>
        <v>601.87458193334146</v>
      </c>
      <c r="AM93" s="62">
        <f t="shared" si="59"/>
        <v>895.20791526667472</v>
      </c>
      <c r="AN93" s="62">
        <f ca="1">AVERAGE(OFFSET($AM$3,0,0,'Données projet'!$E$10+1,1))-AVERAGE(OFFSET($H$3,0,0,'Données projet'!$E$10+1,1))</f>
        <v>411.98877330238821</v>
      </c>
      <c r="AO93" s="62">
        <f t="shared" si="90"/>
        <v>256.4377087753457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-1.1368683772161603E-13</v>
      </c>
      <c r="BE93" s="14">
        <f>BD93*VLOOKUP('Données projet'!$B$11,Paramètres!$A$1:$I$89,3,0)*VLOOKUP('Données projet'!$B$11,Paramètres!$A$1:$I$89,5,0)</f>
        <v>-9.9316821433603781E-14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195.30963433439501</v>
      </c>
      <c r="BJ93" s="62">
        <f t="shared" si="92"/>
        <v>185.00219255324504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1.2719015132492838E-8</v>
      </c>
      <c r="BS93" s="24">
        <f t="shared" si="63"/>
        <v>1.2719015132492838E-8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207</v>
      </c>
      <c r="BW93" s="13">
        <f>VLOOKUP(A93,'Données projet'!$A$113:$I$133,9,0)</f>
        <v>4.2</v>
      </c>
      <c r="BX93" s="13">
        <f t="array" ref="BX93">INDEX(BW:BW,MIN(IF(ISNUMBER(BW93:BW289),ROW(BW93:BW289),"")))</f>
        <v>4.2</v>
      </c>
      <c r="BY93" s="13">
        <f>IF('Données projet'!$A$114&gt;35,BY92+BX93-CG92,IF(A93&lt;'Données projet'!$A$114,$BV$205^A93,IF(A93='Données projet'!$A$114,'Données projet'!$B$114,BY92+BX93-CG92)))</f>
        <v>206.9999999999998</v>
      </c>
      <c r="BZ93" s="14">
        <f>BY93*VLOOKUP('Données projet'!$B$12,Paramètres!$A$1:$I$89,3,0)*VLOOKUP('Données projet'!$B$12,Paramètres!$A$1:$I$89,5,0)</f>
        <v>200.21039999999982</v>
      </c>
      <c r="CA93" s="14">
        <f t="shared" si="93"/>
        <v>49.790404447235005</v>
      </c>
      <c r="CB93" s="22">
        <f t="shared" si="64"/>
        <v>435.41806774560064</v>
      </c>
      <c r="CC93" s="62">
        <f t="shared" si="65"/>
        <v>728.7514010789339</v>
      </c>
      <c r="CD93" s="62">
        <f ca="1">AVERAGE(OFFSET($CC$3,0,0,'Données projet'!$E$12+1,1))-AVERAGE(OFFSET($H$3,0,0,'Données projet'!$E$12+1,1))</f>
        <v>298.18906674058809</v>
      </c>
      <c r="CE93" s="62">
        <f t="shared" si="94"/>
        <v>154.08406475869634</v>
      </c>
      <c r="CF93" s="16">
        <f>IF(ISNA(VLOOKUP(A93,'Données projet'!$A$113:$I$133,3,0)),0,VLOOKUP(A93,'Données projet'!$A$113:$I$133,3,0))</f>
        <v>14</v>
      </c>
      <c r="CG93" s="16">
        <f>IF(ISNA(VLOOKUP(A93,'Données projet'!$A$113:$I$133,4,0)),0,VLOOKUP(A93,'Données projet'!$A$113:$I$133,4,0))</f>
        <v>14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1.9895196601282805E-13</v>
      </c>
      <c r="O94" s="14">
        <f>N94*VLOOKUP('Données projet'!$B$9,Paramètres!$A$1:$I$89,3,0)*VLOOKUP('Données projet'!$B$9,Paramètres!$A$1:$I$89,5,0)</f>
        <v>1.8001173884840681E-13</v>
      </c>
      <c r="P94" s="14">
        <f t="shared" si="87"/>
        <v>2.5254331426407198E-12</v>
      </c>
      <c r="Q94" s="22">
        <f t="shared" si="54"/>
        <v>4.7119831685935622E-12</v>
      </c>
      <c r="R94" s="62">
        <f t="shared" si="55"/>
        <v>293.33333333333803</v>
      </c>
      <c r="S94" s="62">
        <f ca="1">AVERAGE(OFFSET($R$3,0,0,'Données projet'!$E$9+1,1))-AVERAGE(OFFSET($H$3,0,0,'Données projet'!$E$9+1,1))</f>
        <v>302.6112905010138</v>
      </c>
      <c r="T94" s="62">
        <f t="shared" si="88"/>
        <v>423.44006663873375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0.4206582338079069</v>
      </c>
      <c r="AB94" s="23">
        <f>EXP(-LN(2)/2)*AB93+(1-EXP(-LN(2)/2))/(LN(2)/2)*V94*Y94*VLOOKUP('Données projet'!$B$9,Paramètres!$A$1:$I$89,3,0)*0.475*44/12</f>
        <v>4.1719546337143635E-9</v>
      </c>
      <c r="AC94" s="24">
        <f t="shared" si="57"/>
        <v>0.42065823797986152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259.00000000000006</v>
      </c>
      <c r="AJ94" s="14">
        <f>AI94*VLOOKUP('Données projet'!$B$10,Paramètres!$A$1:$I$89,3,0)*VLOOKUP('Données projet'!$B$10,Paramètres!$A$1:$I$89,5,0)</f>
        <v>262.62600000000009</v>
      </c>
      <c r="AK94" s="14">
        <f t="shared" si="89"/>
        <v>63.281807230823453</v>
      </c>
      <c r="AL94" s="22">
        <f t="shared" si="58"/>
        <v>567.622764260351</v>
      </c>
      <c r="AM94" s="62">
        <f t="shared" si="59"/>
        <v>860.95609759368426</v>
      </c>
      <c r="AN94" s="62">
        <f ca="1">AVERAGE(OFFSET($AM$3,0,0,'Données projet'!$E$10+1,1))-AVERAGE(OFFSET($H$3,0,0,'Données projet'!$E$10+1,1))</f>
        <v>411.98877330238821</v>
      </c>
      <c r="AO94" s="62">
        <f t="shared" si="90"/>
        <v>256.4377087753457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-1.1368683772161603E-13</v>
      </c>
      <c r="BE94" s="14">
        <f>BD94*VLOOKUP('Données projet'!$B$11,Paramètres!$A$1:$I$89,3,0)*VLOOKUP('Données projet'!$B$11,Paramètres!$A$1:$I$89,5,0)</f>
        <v>-9.9316821433603781E-14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195.30963433439501</v>
      </c>
      <c r="BJ94" s="62">
        <f t="shared" si="92"/>
        <v>185.00219255324504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8.9937018502000001E-9</v>
      </c>
      <c r="BS94" s="24">
        <f t="shared" si="63"/>
        <v>8.9937018502000001E-9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3.8</v>
      </c>
      <c r="BY94" s="13">
        <f>IF('Données projet'!$A$114&gt;35,BY93+BX94-CG93,IF(A94&lt;'Données projet'!$A$114,$BV$205^A94,IF(A94='Données projet'!$A$114,'Données projet'!$B$114,BY93+BX94-CG93)))</f>
        <v>196.79999999999981</v>
      </c>
      <c r="BZ94" s="14">
        <f>BY94*VLOOKUP('Données projet'!$B$12,Paramètres!$A$1:$I$89,3,0)*VLOOKUP('Données projet'!$B$12,Paramètres!$A$1:$I$89,5,0)</f>
        <v>190.34495999999982</v>
      </c>
      <c r="CA94" s="14">
        <f t="shared" si="93"/>
        <v>47.61621055610108</v>
      </c>
      <c r="CB94" s="22">
        <f t="shared" si="64"/>
        <v>414.4490387185424</v>
      </c>
      <c r="CC94" s="62">
        <f t="shared" si="65"/>
        <v>707.78237205187565</v>
      </c>
      <c r="CD94" s="62">
        <f ca="1">AVERAGE(OFFSET($CC$3,0,0,'Données projet'!$E$12+1,1))-AVERAGE(OFFSET($H$3,0,0,'Données projet'!$E$12+1,1))</f>
        <v>298.18906674058809</v>
      </c>
      <c r="CE94" s="62">
        <f t="shared" si="94"/>
        <v>154.08406475869634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1.9895196601282805E-13</v>
      </c>
      <c r="O95" s="14">
        <f>N95*VLOOKUP('Données projet'!$B$9,Paramètres!$A$1:$I$89,3,0)*VLOOKUP('Données projet'!$B$9,Paramètres!$A$1:$I$89,5,0)</f>
        <v>1.8001173884840681E-13</v>
      </c>
      <c r="P95" s="14">
        <f t="shared" si="87"/>
        <v>2.5254331426407198E-12</v>
      </c>
      <c r="Q95" s="22">
        <f t="shared" si="54"/>
        <v>4.7119831685935622E-12</v>
      </c>
      <c r="R95" s="62">
        <f t="shared" si="55"/>
        <v>293.33333333333803</v>
      </c>
      <c r="S95" s="62">
        <f ca="1">AVERAGE(OFFSET($R$3,0,0,'Données projet'!$E$9+1,1))-AVERAGE(OFFSET($H$3,0,0,'Données projet'!$E$9+1,1))</f>
        <v>302.6112905010138</v>
      </c>
      <c r="T95" s="62">
        <f t="shared" si="88"/>
        <v>423.44006663873375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0.40915531228297458</v>
      </c>
      <c r="AB95" s="23">
        <f>EXP(-LN(2)/2)*AB94+(1-EXP(-LN(2)/2))/(LN(2)/2)*V95*Y95*VLOOKUP('Données projet'!$B$9,Paramètres!$A$1:$I$89,3,0)*0.475*44/12</f>
        <v>2.9500174123020655E-9</v>
      </c>
      <c r="AC95" s="24">
        <f t="shared" si="57"/>
        <v>0.40915531523299198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264.00000000000006</v>
      </c>
      <c r="AJ95" s="14">
        <f>AI95*VLOOKUP('Données projet'!$B$10,Paramètres!$A$1:$I$89,3,0)*VLOOKUP('Données projet'!$B$10,Paramètres!$A$1:$I$89,5,0)</f>
        <v>267.69600000000008</v>
      </c>
      <c r="AK95" s="14">
        <f t="shared" si="89"/>
        <v>64.360058723585496</v>
      </c>
      <c r="AL95" s="22">
        <f t="shared" si="58"/>
        <v>578.33096894357823</v>
      </c>
      <c r="AM95" s="62">
        <f t="shared" si="59"/>
        <v>871.66430227691149</v>
      </c>
      <c r="AN95" s="62">
        <f ca="1">AVERAGE(OFFSET($AM$3,0,0,'Données projet'!$E$10+1,1))-AVERAGE(OFFSET($H$3,0,0,'Données projet'!$E$10+1,1))</f>
        <v>411.98877330238821</v>
      </c>
      <c r="AO95" s="62">
        <f t="shared" si="90"/>
        <v>256.4377087753457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-1.1368683772161603E-13</v>
      </c>
      <c r="BE95" s="14">
        <f>BD95*VLOOKUP('Données projet'!$B$11,Paramètres!$A$1:$I$89,3,0)*VLOOKUP('Données projet'!$B$11,Paramètres!$A$1:$I$89,5,0)</f>
        <v>-9.9316821433603781E-14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195.30963433439501</v>
      </c>
      <c r="BJ95" s="62">
        <f t="shared" si="92"/>
        <v>185.00219255324504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6.3595075662464192E-9</v>
      </c>
      <c r="BS95" s="24">
        <f t="shared" si="63"/>
        <v>6.3595075662464192E-9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3.8</v>
      </c>
      <c r="BY95" s="13">
        <f>IF('Données projet'!$A$114&gt;35,BY94+BX95-CG94,IF(A95&lt;'Données projet'!$A$114,$BV$205^A95,IF(A95='Données projet'!$A$114,'Données projet'!$B$114,BY94+BX95-CG94)))</f>
        <v>200.59999999999982</v>
      </c>
      <c r="BZ95" s="14">
        <f>BY95*VLOOKUP('Données projet'!$B$12,Paramètres!$A$1:$I$89,3,0)*VLOOKUP('Données projet'!$B$12,Paramètres!$A$1:$I$89,5,0)</f>
        <v>194.02031999999983</v>
      </c>
      <c r="CA95" s="14">
        <f t="shared" si="93"/>
        <v>48.427702455615062</v>
      </c>
      <c r="CB95" s="22">
        <f t="shared" si="64"/>
        <v>422.26363911019592</v>
      </c>
      <c r="CC95" s="62">
        <f t="shared" si="65"/>
        <v>715.59697244352924</v>
      </c>
      <c r="CD95" s="62">
        <f ca="1">AVERAGE(OFFSET($CC$3,0,0,'Données projet'!$E$12+1,1))-AVERAGE(OFFSET($H$3,0,0,'Données projet'!$E$12+1,1))</f>
        <v>298.18906674058809</v>
      </c>
      <c r="CE95" s="62">
        <f t="shared" si="94"/>
        <v>154.08406475869634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1.9895196601282805E-13</v>
      </c>
      <c r="O96" s="14">
        <f>N96*VLOOKUP('Données projet'!$B$9,Paramètres!$A$1:$I$89,3,0)*VLOOKUP('Données projet'!$B$9,Paramètres!$A$1:$I$89,5,0)</f>
        <v>1.8001173884840681E-13</v>
      </c>
      <c r="P96" s="14">
        <f t="shared" si="87"/>
        <v>2.5254331426407198E-12</v>
      </c>
      <c r="Q96" s="22">
        <f t="shared" si="54"/>
        <v>4.7119831685935622E-12</v>
      </c>
      <c r="R96" s="62">
        <f t="shared" si="55"/>
        <v>293.33333333333803</v>
      </c>
      <c r="S96" s="62">
        <f ca="1">AVERAGE(OFFSET($R$3,0,0,'Données projet'!$E$9+1,1))-AVERAGE(OFFSET($H$3,0,0,'Données projet'!$E$9+1,1))</f>
        <v>302.6112905010138</v>
      </c>
      <c r="T96" s="62">
        <f t="shared" si="88"/>
        <v>423.44006663873375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0.39796693875205391</v>
      </c>
      <c r="AB96" s="23">
        <f>EXP(-LN(2)/2)*AB95+(1-EXP(-LN(2)/2))/(LN(2)/2)*V96*Y96*VLOOKUP('Données projet'!$B$9,Paramètres!$A$1:$I$89,3,0)*0.475*44/12</f>
        <v>2.0859773168571818E-9</v>
      </c>
      <c r="AC96" s="24">
        <f t="shared" si="57"/>
        <v>0.39796694083803125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269.00000000000006</v>
      </c>
      <c r="AJ96" s="14">
        <f>AI96*VLOOKUP('Données projet'!$B$10,Paramètres!$A$1:$I$89,3,0)*VLOOKUP('Données projet'!$B$10,Paramètres!$A$1:$I$89,5,0)</f>
        <v>272.76600000000008</v>
      </c>
      <c r="AK96" s="14">
        <f t="shared" si="89"/>
        <v>65.435935630087627</v>
      </c>
      <c r="AL96" s="22">
        <f t="shared" si="58"/>
        <v>589.03503788906926</v>
      </c>
      <c r="AM96" s="62">
        <f t="shared" si="59"/>
        <v>882.36837122240263</v>
      </c>
      <c r="AN96" s="62">
        <f ca="1">AVERAGE(OFFSET($AM$3,0,0,'Données projet'!$E$10+1,1))-AVERAGE(OFFSET($H$3,0,0,'Données projet'!$E$10+1,1))</f>
        <v>411.98877330238821</v>
      </c>
      <c r="AO96" s="62">
        <f t="shared" si="90"/>
        <v>256.4377087753457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-1.1368683772161603E-13</v>
      </c>
      <c r="BE96" s="14">
        <f>BD96*VLOOKUP('Données projet'!$B$11,Paramètres!$A$1:$I$89,3,0)*VLOOKUP('Données projet'!$B$11,Paramètres!$A$1:$I$89,5,0)</f>
        <v>-9.9316821433603781E-14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195.30963433439501</v>
      </c>
      <c r="BJ96" s="62">
        <f t="shared" si="92"/>
        <v>185.00219255324504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4.4968509251000001E-9</v>
      </c>
      <c r="BS96" s="24">
        <f t="shared" si="63"/>
        <v>4.4968509251000001E-9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3.8</v>
      </c>
      <c r="BY96" s="13">
        <f>IF('Données projet'!$A$114&gt;35,BY95+BX96-CG95,IF(A96&lt;'Données projet'!$A$114,$BV$205^A96,IF(A96='Données projet'!$A$114,'Données projet'!$B$114,BY95+BX96-CG95)))</f>
        <v>204.39999999999984</v>
      </c>
      <c r="BZ96" s="14">
        <f>BY96*VLOOKUP('Données projet'!$B$12,Paramètres!$A$1:$I$89,3,0)*VLOOKUP('Données projet'!$B$12,Paramètres!$A$1:$I$89,5,0)</f>
        <v>197.69567999999984</v>
      </c>
      <c r="CA96" s="14">
        <f t="shared" si="93"/>
        <v>49.237406885887019</v>
      </c>
      <c r="CB96" s="22">
        <f t="shared" si="64"/>
        <v>430.07512632625293</v>
      </c>
      <c r="CC96" s="62">
        <f t="shared" si="65"/>
        <v>723.40845965958624</v>
      </c>
      <c r="CD96" s="62">
        <f ca="1">AVERAGE(OFFSET($CC$3,0,0,'Données projet'!$E$12+1,1))-AVERAGE(OFFSET($H$3,0,0,'Données projet'!$E$12+1,1))</f>
        <v>298.18906674058809</v>
      </c>
      <c r="CE96" s="62">
        <f t="shared" si="94"/>
        <v>154.08406475869634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1.9895196601282805E-13</v>
      </c>
      <c r="O97" s="14">
        <f>N97*VLOOKUP('Données projet'!$B$9,Paramètres!$A$1:$I$89,3,0)*VLOOKUP('Données projet'!$B$9,Paramètres!$A$1:$I$89,5,0)</f>
        <v>1.8001173884840681E-13</v>
      </c>
      <c r="P97" s="14">
        <f t="shared" si="87"/>
        <v>2.5254331426407198E-12</v>
      </c>
      <c r="Q97" s="22">
        <f t="shared" si="54"/>
        <v>4.7119831685935622E-12</v>
      </c>
      <c r="R97" s="62">
        <f t="shared" si="55"/>
        <v>293.33333333333803</v>
      </c>
      <c r="S97" s="62">
        <f ca="1">AVERAGE(OFFSET($R$3,0,0,'Données projet'!$E$9+1,1))-AVERAGE(OFFSET($H$3,0,0,'Données projet'!$E$9+1,1))</f>
        <v>302.6112905010138</v>
      </c>
      <c r="T97" s="62">
        <f t="shared" si="88"/>
        <v>423.44006663873375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0.38708451188370724</v>
      </c>
      <c r="AB97" s="23">
        <f>EXP(-LN(2)/2)*AB96+(1-EXP(-LN(2)/2))/(LN(2)/2)*V97*Y97*VLOOKUP('Données projet'!$B$9,Paramètres!$A$1:$I$89,3,0)*0.475*44/12</f>
        <v>1.4750087061510328E-9</v>
      </c>
      <c r="AC97" s="24">
        <f t="shared" si="57"/>
        <v>0.38708451335871596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274.00000000000006</v>
      </c>
      <c r="AJ97" s="14">
        <f>AI97*VLOOKUP('Données projet'!$B$10,Paramètres!$A$1:$I$89,3,0)*VLOOKUP('Données projet'!$B$10,Paramètres!$A$1:$I$89,5,0)</f>
        <v>277.83600000000007</v>
      </c>
      <c r="AK97" s="14">
        <f t="shared" si="89"/>
        <v>66.509487177652318</v>
      </c>
      <c r="AL97" s="22">
        <f t="shared" si="58"/>
        <v>599.73505683441124</v>
      </c>
      <c r="AM97" s="62">
        <f t="shared" si="59"/>
        <v>893.06839016774461</v>
      </c>
      <c r="AN97" s="62">
        <f ca="1">AVERAGE(OFFSET($AM$3,0,0,'Données projet'!$E$10+1,1))-AVERAGE(OFFSET($H$3,0,0,'Données projet'!$E$10+1,1))</f>
        <v>411.98877330238821</v>
      </c>
      <c r="AO97" s="62">
        <f t="shared" si="90"/>
        <v>256.4377087753457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-1.1368683772161603E-13</v>
      </c>
      <c r="BE97" s="14">
        <f>BD97*VLOOKUP('Données projet'!$B$11,Paramètres!$A$1:$I$89,3,0)*VLOOKUP('Données projet'!$B$11,Paramètres!$A$1:$I$89,5,0)</f>
        <v>-9.9316821433603781E-14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195.30963433439501</v>
      </c>
      <c r="BJ97" s="62">
        <f t="shared" si="92"/>
        <v>185.00219255324504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3.1797537831232096E-9</v>
      </c>
      <c r="BS97" s="24">
        <f t="shared" si="63"/>
        <v>3.1797537831232096E-9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3.8</v>
      </c>
      <c r="BY97" s="13">
        <f>IF('Données projet'!$A$114&gt;35,BY96+BX97-CG96,IF(A97&lt;'Données projet'!$A$114,$BV$205^A97,IF(A97='Données projet'!$A$114,'Données projet'!$B$114,BY96+BX97-CG96)))</f>
        <v>208.19999999999985</v>
      </c>
      <c r="BZ97" s="14">
        <f>BY97*VLOOKUP('Données projet'!$B$12,Paramètres!$A$1:$I$89,3,0)*VLOOKUP('Données projet'!$B$12,Paramètres!$A$1:$I$89,5,0)</f>
        <v>201.37103999999988</v>
      </c>
      <c r="CA97" s="14">
        <f t="shared" si="93"/>
        <v>50.045360910017756</v>
      </c>
      <c r="CB97" s="22">
        <f t="shared" si="64"/>
        <v>437.88356491828068</v>
      </c>
      <c r="CC97" s="62">
        <f t="shared" si="65"/>
        <v>731.216898251614</v>
      </c>
      <c r="CD97" s="62">
        <f ca="1">AVERAGE(OFFSET($CC$3,0,0,'Données projet'!$E$12+1,1))-AVERAGE(OFFSET($H$3,0,0,'Données projet'!$E$12+1,1))</f>
        <v>298.18906674058809</v>
      </c>
      <c r="CE97" s="62">
        <f t="shared" si="94"/>
        <v>154.08406475869634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1.9895196601282805E-13</v>
      </c>
      <c r="O98" s="14">
        <f>N98*VLOOKUP('Données projet'!$B$9,Paramètres!$A$1:$I$89,3,0)*VLOOKUP('Données projet'!$B$9,Paramètres!$A$1:$I$89,5,0)</f>
        <v>1.8001173884840681E-13</v>
      </c>
      <c r="P98" s="14">
        <f t="shared" si="87"/>
        <v>2.5254331426407198E-12</v>
      </c>
      <c r="Q98" s="22">
        <f t="shared" si="54"/>
        <v>4.7119831685935622E-12</v>
      </c>
      <c r="R98" s="62">
        <f t="shared" si="55"/>
        <v>293.33333333333803</v>
      </c>
      <c r="S98" s="62">
        <f ca="1">AVERAGE(OFFSET($R$3,0,0,'Données projet'!$E$9+1,1))-AVERAGE(OFFSET($H$3,0,0,'Données projet'!$E$9+1,1))</f>
        <v>302.6112905010138</v>
      </c>
      <c r="T98" s="62">
        <f t="shared" si="88"/>
        <v>423.44006663873375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0.37649966555035747</v>
      </c>
      <c r="AB98" s="23">
        <f>EXP(-LN(2)/2)*AB97+(1-EXP(-LN(2)/2))/(LN(2)/2)*V98*Y98*VLOOKUP('Données projet'!$B$9,Paramètres!$A$1:$I$89,3,0)*0.475*44/12</f>
        <v>1.0429886584285909E-9</v>
      </c>
      <c r="AC98" s="24">
        <f t="shared" si="57"/>
        <v>0.37649966659334611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279.00000000000006</v>
      </c>
      <c r="AJ98" s="14">
        <f>AI98*VLOOKUP('Données projet'!$B$10,Paramètres!$A$1:$I$89,3,0)*VLOOKUP('Données projet'!$B$10,Paramètres!$A$1:$I$89,5,0)</f>
        <v>282.90600000000006</v>
      </c>
      <c r="AK98" s="14">
        <f t="shared" si="89"/>
        <v>67.580760694123512</v>
      </c>
      <c r="AL98" s="22">
        <f t="shared" si="58"/>
        <v>610.43110820893185</v>
      </c>
      <c r="AM98" s="62">
        <f t="shared" si="59"/>
        <v>903.7644415422651</v>
      </c>
      <c r="AN98" s="62">
        <f ca="1">AVERAGE(OFFSET($AM$3,0,0,'Données projet'!$E$10+1,1))-AVERAGE(OFFSET($H$3,0,0,'Données projet'!$E$10+1,1))</f>
        <v>411.98877330238821</v>
      </c>
      <c r="AO98" s="62">
        <f t="shared" si="90"/>
        <v>256.4377087753457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-1.1368683772161603E-13</v>
      </c>
      <c r="BE98" s="14">
        <f>BD98*VLOOKUP('Données projet'!$B$11,Paramètres!$A$1:$I$89,3,0)*VLOOKUP('Données projet'!$B$11,Paramètres!$A$1:$I$89,5,0)</f>
        <v>-9.9316821433603781E-14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195.30963433439501</v>
      </c>
      <c r="BJ98" s="62">
        <f t="shared" si="92"/>
        <v>185.00219255324504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2.24842546255E-9</v>
      </c>
      <c r="BS98" s="24">
        <f t="shared" si="63"/>
        <v>2.24842546255E-9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212</v>
      </c>
      <c r="BW98" s="13">
        <f>VLOOKUP(A98,'Données projet'!$A$113:$I$133,9,0)</f>
        <v>3.8</v>
      </c>
      <c r="BX98" s="13">
        <f t="array" ref="BX98">INDEX(BW:BW,MIN(IF(ISNUMBER(BW98:BW294),ROW(BW98:BW294),"")))</f>
        <v>3.8</v>
      </c>
      <c r="BY98" s="13">
        <f>IF('Données projet'!$A$114&gt;35,BY97+BX98-CG97,IF(A98&lt;'Données projet'!$A$114,$BV$205^A98,IF(A98='Données projet'!$A$114,'Données projet'!$B$114,BY97+BX98-CG97)))</f>
        <v>211.99999999999986</v>
      </c>
      <c r="BZ98" s="14">
        <f>BY98*VLOOKUP('Données projet'!$B$12,Paramètres!$A$1:$I$89,3,0)*VLOOKUP('Données projet'!$B$12,Paramètres!$A$1:$I$89,5,0)</f>
        <v>205.04639999999986</v>
      </c>
      <c r="CA98" s="14">
        <f t="shared" si="93"/>
        <v>50.851600160721709</v>
      </c>
      <c r="CB98" s="22">
        <f t="shared" si="64"/>
        <v>445.68901694659007</v>
      </c>
      <c r="CC98" s="62">
        <f t="shared" si="65"/>
        <v>739.02235027992333</v>
      </c>
      <c r="CD98" s="62">
        <f ca="1">AVERAGE(OFFSET($CC$3,0,0,'Données projet'!$E$12+1,1))-AVERAGE(OFFSET($H$3,0,0,'Données projet'!$E$12+1,1))</f>
        <v>298.18906674058809</v>
      </c>
      <c r="CE98" s="62">
        <f t="shared" si="94"/>
        <v>154.08406475869634</v>
      </c>
      <c r="CF98" s="16">
        <f>IF(ISNA(VLOOKUP(A98,'Données projet'!$A$113:$I$133,3,0)),0,VLOOKUP(A98,'Données projet'!$A$113:$I$133,3,0))</f>
        <v>15</v>
      </c>
      <c r="CG98" s="16">
        <f>IF(ISNA(VLOOKUP(A98,'Données projet'!$A$113:$I$133,4,0)),0,VLOOKUP(A98,'Données projet'!$A$113:$I$133,4,0))</f>
        <v>14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1.9895196601282805E-13</v>
      </c>
      <c r="O99" s="14">
        <f>N99*VLOOKUP('Données projet'!$B$9,Paramètres!$A$1:$I$89,3,0)*VLOOKUP('Données projet'!$B$9,Paramètres!$A$1:$I$89,5,0)</f>
        <v>1.8001173884840681E-13</v>
      </c>
      <c r="P99" s="14">
        <f t="shared" si="87"/>
        <v>2.5254331426407198E-12</v>
      </c>
      <c r="Q99" s="22">
        <f t="shared" ref="Q99:Q130" si="107">(O99+P99)*0.475*44/12</f>
        <v>4.7119831685935622E-12</v>
      </c>
      <c r="R99" s="62">
        <f t="shared" si="55"/>
        <v>293.33333333333803</v>
      </c>
      <c r="S99" s="62">
        <f ca="1">AVERAGE(OFFSET($R$3,0,0,'Données projet'!$E$9+1,1))-AVERAGE(OFFSET($H$3,0,0,'Données projet'!$E$9+1,1))</f>
        <v>302.6112905010138</v>
      </c>
      <c r="T99" s="62">
        <f t="shared" si="88"/>
        <v>423.44006663873375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0.36620426239662601</v>
      </c>
      <c r="AB99" s="23">
        <f>EXP(-LN(2)/2)*AB98+(1-EXP(-LN(2)/2))/(LN(2)/2)*V99*Y99*VLOOKUP('Données projet'!$B$9,Paramètres!$A$1:$I$89,3,0)*0.475*44/12</f>
        <v>7.3750435307551638E-10</v>
      </c>
      <c r="AC99" s="24">
        <f t="shared" si="57"/>
        <v>0.36620426313413035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262.80000000000007</v>
      </c>
      <c r="AJ99" s="14">
        <f>AI99*VLOOKUP('Données projet'!$B$10,Paramètres!$A$1:$I$89,3,0)*VLOOKUP('Données projet'!$B$10,Paramètres!$A$1:$I$89,5,0)</f>
        <v>266.47920000000011</v>
      </c>
      <c r="AK99" s="14">
        <f t="shared" si="89"/>
        <v>64.101496824889679</v>
      </c>
      <c r="AL99" s="22">
        <f t="shared" si="58"/>
        <v>575.76138030334971</v>
      </c>
      <c r="AM99" s="62">
        <f t="shared" si="59"/>
        <v>869.09471363668308</v>
      </c>
      <c r="AN99" s="62">
        <f ca="1">AVERAGE(OFFSET($AM$3,0,0,'Données projet'!$E$10+1,1))-AVERAGE(OFFSET($H$3,0,0,'Données projet'!$E$10+1,1))</f>
        <v>411.98877330238821</v>
      </c>
      <c r="AO99" s="62">
        <f t="shared" si="90"/>
        <v>256.4377087753457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-1.1368683772161603E-13</v>
      </c>
      <c r="BE99" s="14">
        <f>BD99*VLOOKUP('Données projet'!$B$11,Paramètres!$A$1:$I$89,3,0)*VLOOKUP('Données projet'!$B$11,Paramètres!$A$1:$I$89,5,0)</f>
        <v>-9.9316821433603781E-14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195.30963433439501</v>
      </c>
      <c r="BJ99" s="62">
        <f t="shared" si="92"/>
        <v>185.00219255324504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1.5898768915616048E-9</v>
      </c>
      <c r="BS99" s="24">
        <f t="shared" si="63"/>
        <v>1.5898768915616048E-9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3.6</v>
      </c>
      <c r="BY99" s="13">
        <f>IF('Données projet'!$A$114&gt;35,BY98+BX99-CG98,IF(A99&lt;'Données projet'!$A$114,$BV$205^A99,IF(A99='Données projet'!$A$114,'Données projet'!$B$114,BY98+BX99-CG98)))</f>
        <v>201.59999999999985</v>
      </c>
      <c r="BZ99" s="14">
        <f>BY99*VLOOKUP('Données projet'!$B$12,Paramètres!$A$1:$I$89,3,0)*VLOOKUP('Données projet'!$B$12,Paramètres!$A$1:$I$89,5,0)</f>
        <v>194.98751999999985</v>
      </c>
      <c r="CA99" s="14">
        <f t="shared" si="93"/>
        <v>48.640954330020342</v>
      </c>
      <c r="CB99" s="22">
        <f t="shared" si="64"/>
        <v>424.31959279145184</v>
      </c>
      <c r="CC99" s="62">
        <f t="shared" si="65"/>
        <v>717.65292612478515</v>
      </c>
      <c r="CD99" s="62">
        <f ca="1">AVERAGE(OFFSET($CC$3,0,0,'Données projet'!$E$12+1,1))-AVERAGE(OFFSET($H$3,0,0,'Données projet'!$E$12+1,1))</f>
        <v>298.18906674058809</v>
      </c>
      <c r="CE99" s="62">
        <f t="shared" si="94"/>
        <v>154.08406475869634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1.9895196601282805E-13</v>
      </c>
      <c r="O100" s="14">
        <f>N100*VLOOKUP('Données projet'!$B$9,Paramètres!$A$1:$I$89,3,0)*VLOOKUP('Données projet'!$B$9,Paramètres!$A$1:$I$89,5,0)</f>
        <v>1.8001173884840681E-13</v>
      </c>
      <c r="P100" s="14">
        <f t="shared" si="87"/>
        <v>2.5254331426407198E-12</v>
      </c>
      <c r="Q100" s="22">
        <f t="shared" si="107"/>
        <v>4.7119831685935622E-12</v>
      </c>
      <c r="R100" s="62">
        <f t="shared" si="55"/>
        <v>293.33333333333803</v>
      </c>
      <c r="S100" s="62">
        <f ca="1">AVERAGE(OFFSET($R$3,0,0,'Données projet'!$E$9+1,1))-AVERAGE(OFFSET($H$3,0,0,'Données projet'!$E$9+1,1))</f>
        <v>302.6112905010138</v>
      </c>
      <c r="T100" s="62">
        <f t="shared" si="88"/>
        <v>423.44006663873375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0.3561903875835451</v>
      </c>
      <c r="AB100" s="23">
        <f>EXP(-LN(2)/2)*AB99+(1-EXP(-LN(2)/2))/(LN(2)/2)*V100*Y100*VLOOKUP('Données projet'!$B$9,Paramètres!$A$1:$I$89,3,0)*0.475*44/12</f>
        <v>5.2149432921429544E-10</v>
      </c>
      <c r="AC100" s="24">
        <f t="shared" si="57"/>
        <v>0.35619038810503945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267.60000000000008</v>
      </c>
      <c r="AJ100" s="14">
        <f>AI100*VLOOKUP('Données projet'!$B$10,Paramètres!$A$1:$I$89,3,0)*VLOOKUP('Données projet'!$B$10,Paramètres!$A$1:$I$89,5,0)</f>
        <v>271.34640000000007</v>
      </c>
      <c r="AK100" s="14">
        <f t="shared" si="89"/>
        <v>65.134926573557365</v>
      </c>
      <c r="AL100" s="22">
        <f t="shared" si="58"/>
        <v>586.03831044894594</v>
      </c>
      <c r="AM100" s="62">
        <f t="shared" si="59"/>
        <v>879.37164378227931</v>
      </c>
      <c r="AN100" s="62">
        <f ca="1">AVERAGE(OFFSET($AM$3,0,0,'Données projet'!$E$10+1,1))-AVERAGE(OFFSET($H$3,0,0,'Données projet'!$E$10+1,1))</f>
        <v>411.98877330238821</v>
      </c>
      <c r="AO100" s="62">
        <f t="shared" si="90"/>
        <v>256.4377087753457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-1.1368683772161603E-13</v>
      </c>
      <c r="BE100" s="14">
        <f>BD100*VLOOKUP('Données projet'!$B$11,Paramètres!$A$1:$I$89,3,0)*VLOOKUP('Données projet'!$B$11,Paramètres!$A$1:$I$89,5,0)</f>
        <v>-9.9316821433603781E-14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195.30963433439501</v>
      </c>
      <c r="BJ100" s="62">
        <f t="shared" si="92"/>
        <v>185.00219255324504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1.124212731275E-9</v>
      </c>
      <c r="BS100" s="24">
        <f t="shared" si="63"/>
        <v>1.124212731275E-9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3.6</v>
      </c>
      <c r="BY100" s="13">
        <f>IF('Données projet'!$A$114&gt;35,BY99+BX100-CG99,IF(A100&lt;'Données projet'!$A$114,$BV$205^A100,IF(A100='Données projet'!$A$114,'Données projet'!$B$114,BY99+BX100-CG99)))</f>
        <v>205.19999999999985</v>
      </c>
      <c r="BZ100" s="14">
        <f>BY100*VLOOKUP('Données projet'!$B$12,Paramètres!$A$1:$I$89,3,0)*VLOOKUP('Données projet'!$B$12,Paramètres!$A$1:$I$89,5,0)</f>
        <v>198.46943999999985</v>
      </c>
      <c r="CA100" s="14">
        <f t="shared" si="93"/>
        <v>49.407646717262132</v>
      </c>
      <c r="CB100" s="22">
        <f t="shared" si="64"/>
        <v>431.71925936589793</v>
      </c>
      <c r="CC100" s="62">
        <f t="shared" si="65"/>
        <v>725.05259269923124</v>
      </c>
      <c r="CD100" s="62">
        <f ca="1">AVERAGE(OFFSET($CC$3,0,0,'Données projet'!$E$12+1,1))-AVERAGE(OFFSET($H$3,0,0,'Données projet'!$E$12+1,1))</f>
        <v>298.18906674058809</v>
      </c>
      <c r="CE100" s="62">
        <f t="shared" si="94"/>
        <v>154.08406475869634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1.9895196601282805E-13</v>
      </c>
      <c r="O101" s="14">
        <f>N101*VLOOKUP('Données projet'!$B$9,Paramètres!$A$1:$I$89,3,0)*VLOOKUP('Données projet'!$B$9,Paramètres!$A$1:$I$89,5,0)</f>
        <v>1.8001173884840681E-13</v>
      </c>
      <c r="P101" s="14">
        <f t="shared" si="87"/>
        <v>2.5254331426407198E-12</v>
      </c>
      <c r="Q101" s="22">
        <f t="shared" si="107"/>
        <v>4.7119831685935622E-12</v>
      </c>
      <c r="R101" s="62">
        <f t="shared" si="55"/>
        <v>293.33333333333803</v>
      </c>
      <c r="S101" s="62">
        <f ca="1">AVERAGE(OFFSET($R$3,0,0,'Données projet'!$E$9+1,1))-AVERAGE(OFFSET($H$3,0,0,'Données projet'!$E$9+1,1))</f>
        <v>302.6112905010138</v>
      </c>
      <c r="T101" s="62">
        <f t="shared" si="88"/>
        <v>423.44006663873375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0.34645034270383468</v>
      </c>
      <c r="AB101" s="23">
        <f>EXP(-LN(2)/2)*AB100+(1-EXP(-LN(2)/2))/(LN(2)/2)*V101*Y101*VLOOKUP('Données projet'!$B$9,Paramètres!$A$1:$I$89,3,0)*0.475*44/12</f>
        <v>3.6875217653775819E-10</v>
      </c>
      <c r="AC101" s="24">
        <f t="shared" si="57"/>
        <v>0.34645034307258687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272.40000000000009</v>
      </c>
      <c r="AJ101" s="14">
        <f>AI101*VLOOKUP('Données projet'!$B$10,Paramètres!$A$1:$I$89,3,0)*VLOOKUP('Données projet'!$B$10,Paramètres!$A$1:$I$89,5,0)</f>
        <v>276.2136000000001</v>
      </c>
      <c r="AK101" s="14">
        <f t="shared" si="89"/>
        <v>66.166200760877473</v>
      </c>
      <c r="AL101" s="22">
        <f t="shared" si="58"/>
        <v>596.31148632519512</v>
      </c>
      <c r="AM101" s="62">
        <f t="shared" si="59"/>
        <v>889.64481965852838</v>
      </c>
      <c r="AN101" s="62">
        <f ca="1">AVERAGE(OFFSET($AM$3,0,0,'Données projet'!$E$10+1,1))-AVERAGE(OFFSET($H$3,0,0,'Données projet'!$E$10+1,1))</f>
        <v>411.98877330238821</v>
      </c>
      <c r="AO101" s="62">
        <f t="shared" si="90"/>
        <v>256.4377087753457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-1.1368683772161603E-13</v>
      </c>
      <c r="BE101" s="14">
        <f>BD101*VLOOKUP('Données projet'!$B$11,Paramètres!$A$1:$I$89,3,0)*VLOOKUP('Données projet'!$B$11,Paramètres!$A$1:$I$89,5,0)</f>
        <v>-9.9316821433603781E-14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195.30963433439501</v>
      </c>
      <c r="BJ101" s="62">
        <f t="shared" si="92"/>
        <v>185.00219255324504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7.949384457808024E-10</v>
      </c>
      <c r="BS101" s="24">
        <f t="shared" si="63"/>
        <v>7.949384457808024E-10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3.6</v>
      </c>
      <c r="BY101" s="13">
        <f>IF('Données projet'!$A$114&gt;35,BY100+BX101-CG100,IF(A101&lt;'Données projet'!$A$114,$BV$205^A101,IF(A101='Données projet'!$A$114,'Données projet'!$B$114,BY100+BX101-CG100)))</f>
        <v>208.79999999999984</v>
      </c>
      <c r="BZ101" s="14">
        <f>BY101*VLOOKUP('Données projet'!$B$12,Paramètres!$A$1:$I$89,3,0)*VLOOKUP('Données projet'!$B$12,Paramètres!$A$1:$I$89,5,0)</f>
        <v>201.95135999999985</v>
      </c>
      <c r="CA101" s="14">
        <f t="shared" si="93"/>
        <v>50.172774950657889</v>
      </c>
      <c r="CB101" s="22">
        <f t="shared" si="64"/>
        <v>439.11620170572888</v>
      </c>
      <c r="CC101" s="62">
        <f t="shared" si="65"/>
        <v>732.4495350390622</v>
      </c>
      <c r="CD101" s="62">
        <f ca="1">AVERAGE(OFFSET($CC$3,0,0,'Données projet'!$E$12+1,1))-AVERAGE(OFFSET($H$3,0,0,'Données projet'!$E$12+1,1))</f>
        <v>298.18906674058809</v>
      </c>
      <c r="CE101" s="62">
        <f t="shared" si="94"/>
        <v>154.08406475869634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1.9895196601282805E-13</v>
      </c>
      <c r="O102" s="14">
        <f>N102*VLOOKUP('Données projet'!$B$9,Paramètres!$A$1:$I$89,3,0)*VLOOKUP('Données projet'!$B$9,Paramètres!$A$1:$I$89,5,0)</f>
        <v>1.8001173884840681E-13</v>
      </c>
      <c r="P102" s="14">
        <f t="shared" si="87"/>
        <v>2.5254331426407198E-12</v>
      </c>
      <c r="Q102" s="22">
        <f t="shared" si="107"/>
        <v>4.7119831685935622E-12</v>
      </c>
      <c r="R102" s="62">
        <f t="shared" si="55"/>
        <v>293.33333333333803</v>
      </c>
      <c r="S102" s="62">
        <f ca="1">AVERAGE(OFFSET($R$3,0,0,'Données projet'!$E$9+1,1))-AVERAGE(OFFSET($H$3,0,0,'Données projet'!$E$9+1,1))</f>
        <v>302.6112905010138</v>
      </c>
      <c r="T102" s="62">
        <f t="shared" si="88"/>
        <v>423.44006663873375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0.33697663986356663</v>
      </c>
      <c r="AB102" s="23">
        <f>EXP(-LN(2)/2)*AB101+(1-EXP(-LN(2)/2))/(LN(2)/2)*V102*Y102*VLOOKUP('Données projet'!$B$9,Paramètres!$A$1:$I$89,3,0)*0.475*44/12</f>
        <v>2.6074716460714772E-10</v>
      </c>
      <c r="AC102" s="24">
        <f t="shared" si="57"/>
        <v>0.33697664012431378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277.2000000000001</v>
      </c>
      <c r="AJ102" s="14">
        <f>AI102*VLOOKUP('Données projet'!$B$10,Paramètres!$A$1:$I$89,3,0)*VLOOKUP('Données projet'!$B$10,Paramètres!$A$1:$I$89,5,0)</f>
        <v>281.08080000000012</v>
      </c>
      <c r="AK102" s="14">
        <f t="shared" si="89"/>
        <v>67.195361752546177</v>
      </c>
      <c r="AL102" s="22">
        <f t="shared" si="58"/>
        <v>606.58098171901804</v>
      </c>
      <c r="AM102" s="62">
        <f t="shared" si="59"/>
        <v>899.91431505235141</v>
      </c>
      <c r="AN102" s="62">
        <f ca="1">AVERAGE(OFFSET($AM$3,0,0,'Données projet'!$E$10+1,1))-AVERAGE(OFFSET($H$3,0,0,'Données projet'!$E$10+1,1))</f>
        <v>411.98877330238821</v>
      </c>
      <c r="AO102" s="62">
        <f t="shared" si="90"/>
        <v>256.4377087753457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-1.1368683772161603E-13</v>
      </c>
      <c r="BE102" s="14">
        <f>BD102*VLOOKUP('Données projet'!$B$11,Paramètres!$A$1:$I$89,3,0)*VLOOKUP('Données projet'!$B$11,Paramètres!$A$1:$I$89,5,0)</f>
        <v>-9.9316821433603781E-14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195.30963433439501</v>
      </c>
      <c r="BJ102" s="62">
        <f t="shared" si="92"/>
        <v>185.00219255324504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5.6210636563750001E-10</v>
      </c>
      <c r="BS102" s="24">
        <f t="shared" si="63"/>
        <v>5.6210636563750001E-10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3.6</v>
      </c>
      <c r="BY102" s="13">
        <f>IF('Données projet'!$A$114&gt;35,BY101+BX102-CG101,IF(A102&lt;'Données projet'!$A$114,$BV$205^A102,IF(A102='Données projet'!$A$114,'Données projet'!$B$114,BY101+BX102-CG101)))</f>
        <v>212.39999999999984</v>
      </c>
      <c r="BZ102" s="14">
        <f>BY102*VLOOKUP('Données projet'!$B$12,Paramètres!$A$1:$I$89,3,0)*VLOOKUP('Données projet'!$B$12,Paramètres!$A$1:$I$89,5,0)</f>
        <v>205.43327999999985</v>
      </c>
      <c r="CA102" s="14">
        <f t="shared" si="93"/>
        <v>50.93636911028527</v>
      </c>
      <c r="CB102" s="22">
        <f t="shared" si="64"/>
        <v>446.51047220041323</v>
      </c>
      <c r="CC102" s="62">
        <f t="shared" si="65"/>
        <v>739.84380553374649</v>
      </c>
      <c r="CD102" s="62">
        <f ca="1">AVERAGE(OFFSET($CC$3,0,0,'Données projet'!$E$12+1,1))-AVERAGE(OFFSET($H$3,0,0,'Données projet'!$E$12+1,1))</f>
        <v>298.18906674058809</v>
      </c>
      <c r="CE102" s="62">
        <f t="shared" si="94"/>
        <v>154.08406475869634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1.9895196601282805E-13</v>
      </c>
      <c r="O103" s="14">
        <f>N103*VLOOKUP('Données projet'!$B$9,Paramètres!$A$1:$I$89,3,0)*VLOOKUP('Données projet'!$B$9,Paramètres!$A$1:$I$89,5,0)</f>
        <v>1.8001173884840681E-13</v>
      </c>
      <c r="P103" s="14">
        <f t="shared" si="87"/>
        <v>2.5254331426407198E-12</v>
      </c>
      <c r="Q103" s="22">
        <f t="shared" si="107"/>
        <v>4.7119831685935622E-12</v>
      </c>
      <c r="R103" s="62">
        <f t="shared" si="55"/>
        <v>293.33333333333803</v>
      </c>
      <c r="S103" s="62">
        <f ca="1">AVERAGE(OFFSET($R$3,0,0,'Données projet'!$E$9+1,1))-AVERAGE(OFFSET($H$3,0,0,'Données projet'!$E$9+1,1))</f>
        <v>302.6112905010138</v>
      </c>
      <c r="T103" s="62">
        <f t="shared" si="88"/>
        <v>423.44006663873375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0.32776199592566607</v>
      </c>
      <c r="AB103" s="23">
        <f>EXP(-LN(2)/2)*AB102+(1-EXP(-LN(2)/2))/(LN(2)/2)*V103*Y103*VLOOKUP('Données projet'!$B$9,Paramètres!$A$1:$I$89,3,0)*0.475*44/12</f>
        <v>1.8437608826887909E-10</v>
      </c>
      <c r="AC103" s="24">
        <f t="shared" si="57"/>
        <v>0.32776199611004214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282.00000000000011</v>
      </c>
      <c r="AJ103" s="14">
        <f>AI103*VLOOKUP('Données projet'!$B$10,Paramètres!$A$1:$I$89,3,0)*VLOOKUP('Données projet'!$B$10,Paramètres!$A$1:$I$89,5,0)</f>
        <v>285.94800000000009</v>
      </c>
      <c r="AK103" s="14">
        <f t="shared" si="89"/>
        <v>68.222450362989363</v>
      </c>
      <c r="AL103" s="22">
        <f t="shared" si="58"/>
        <v>616.84686771553993</v>
      </c>
      <c r="AM103" s="62">
        <f t="shared" si="59"/>
        <v>910.18020104887319</v>
      </c>
      <c r="AN103" s="62">
        <f ca="1">AVERAGE(OFFSET($AM$3,0,0,'Données projet'!$E$10+1,1))-AVERAGE(OFFSET($H$3,0,0,'Données projet'!$E$10+1,1))</f>
        <v>411.98877330238821</v>
      </c>
      <c r="AO103" s="62">
        <f t="shared" si="90"/>
        <v>256.4377087753457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-1.1368683772161603E-13</v>
      </c>
      <c r="BE103" s="14">
        <f>BD103*VLOOKUP('Données projet'!$B$11,Paramètres!$A$1:$I$89,3,0)*VLOOKUP('Données projet'!$B$11,Paramètres!$A$1:$I$89,5,0)</f>
        <v>-9.9316821433603781E-14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195.30963433439501</v>
      </c>
      <c r="BJ103" s="62">
        <f t="shared" si="92"/>
        <v>185.00219255324504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3.974692228904012E-10</v>
      </c>
      <c r="BS103" s="24">
        <f t="shared" si="63"/>
        <v>3.974692228904012E-10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216</v>
      </c>
      <c r="BW103" s="13">
        <f>VLOOKUP(A103,'Données projet'!$A$113:$I$133,9,0)</f>
        <v>3.6</v>
      </c>
      <c r="BX103" s="13">
        <f t="array" ref="BX103">INDEX(BW:BW,MIN(IF(ISNUMBER(BW103:BW299),ROW(BW103:BW299),"")))</f>
        <v>3.6</v>
      </c>
      <c r="BY103" s="13">
        <f>IF('Données projet'!$A$114&gt;35,BY102+BX103-CG102,IF(A103&lt;'Données projet'!$A$114,$BV$205^A103,IF(A103='Données projet'!$A$114,'Données projet'!$B$114,BY102+BX103-CG102)))</f>
        <v>215.99999999999983</v>
      </c>
      <c r="BZ103" s="14">
        <f>BY103*VLOOKUP('Données projet'!$B$12,Paramètres!$A$1:$I$89,3,0)*VLOOKUP('Données projet'!$B$12,Paramètres!$A$1:$I$89,5,0)</f>
        <v>208.91519999999986</v>
      </c>
      <c r="CA103" s="14">
        <f t="shared" si="93"/>
        <v>51.698458198123326</v>
      </c>
      <c r="CB103" s="22">
        <f t="shared" si="64"/>
        <v>453.90212136173113</v>
      </c>
      <c r="CC103" s="62">
        <f t="shared" si="65"/>
        <v>747.23545469506439</v>
      </c>
      <c r="CD103" s="62">
        <f ca="1">AVERAGE(OFFSET($CC$3,0,0,'Données projet'!$E$12+1,1))-AVERAGE(OFFSET($H$3,0,0,'Données projet'!$E$12+1,1))</f>
        <v>298.18906674058809</v>
      </c>
      <c r="CE103" s="62">
        <f t="shared" si="94"/>
        <v>154.08406475869634</v>
      </c>
      <c r="CF103" s="16">
        <f>IF(ISNA(VLOOKUP(A103,'Données projet'!$A$113:$I$133,3,0)),0,VLOOKUP(A103,'Données projet'!$A$113:$I$133,3,0))</f>
        <v>16</v>
      </c>
      <c r="CG103" s="16">
        <f>IF(ISNA(VLOOKUP(A103,'Données projet'!$A$113:$I$133,4,0)),0,VLOOKUP(A103,'Données projet'!$A$113:$I$133,4,0))</f>
        <v>13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1.9895196601282805E-13</v>
      </c>
      <c r="O104" s="14">
        <f>N104*VLOOKUP('Données projet'!$B$9,Paramètres!$A$1:$I$89,3,0)*VLOOKUP('Données projet'!$B$9,Paramètres!$A$1:$I$89,5,0)</f>
        <v>1.8001173884840681E-13</v>
      </c>
      <c r="P104" s="14">
        <f t="shared" si="87"/>
        <v>2.5254331426407198E-12</v>
      </c>
      <c r="Q104" s="22">
        <f t="shared" si="107"/>
        <v>4.7119831685935622E-12</v>
      </c>
      <c r="R104" s="62">
        <f t="shared" si="55"/>
        <v>293.33333333333803</v>
      </c>
      <c r="S104" s="62">
        <f ca="1">AVERAGE(OFFSET($R$3,0,0,'Données projet'!$E$9+1,1))-AVERAGE(OFFSET($H$3,0,0,'Données projet'!$E$9+1,1))</f>
        <v>302.6112905010138</v>
      </c>
      <c r="T104" s="62">
        <f t="shared" si="88"/>
        <v>423.44006663873375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0.31879932691082447</v>
      </c>
      <c r="AB104" s="23">
        <f>EXP(-LN(2)/2)*AB103+(1-EXP(-LN(2)/2))/(LN(2)/2)*V104*Y104*VLOOKUP('Données projet'!$B$9,Paramètres!$A$1:$I$89,3,0)*0.475*44/12</f>
        <v>1.3037358230357386E-10</v>
      </c>
      <c r="AC104" s="24">
        <f t="shared" si="57"/>
        <v>0.31879932704119807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265.40000000000009</v>
      </c>
      <c r="AJ104" s="14">
        <f>AI104*VLOOKUP('Données projet'!$B$10,Paramètres!$A$1:$I$89,3,0)*VLOOKUP('Données projet'!$B$10,Paramètres!$A$1:$I$89,5,0)</f>
        <v>269.11560000000014</v>
      </c>
      <c r="AK104" s="14">
        <f t="shared" si="89"/>
        <v>64.661541462287133</v>
      </c>
      <c r="AL104" s="22">
        <f t="shared" si="58"/>
        <v>581.32852138015028</v>
      </c>
      <c r="AM104" s="62">
        <f t="shared" si="59"/>
        <v>874.66185471348354</v>
      </c>
      <c r="AN104" s="62">
        <f ca="1">AVERAGE(OFFSET($AM$3,0,0,'Données projet'!$E$10+1,1))-AVERAGE(OFFSET($H$3,0,0,'Données projet'!$E$10+1,1))</f>
        <v>411.98877330238821</v>
      </c>
      <c r="AO104" s="62">
        <f t="shared" si="90"/>
        <v>256.4377087753457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-1.1368683772161603E-13</v>
      </c>
      <c r="BE104" s="14">
        <f>BD104*VLOOKUP('Données projet'!$B$11,Paramètres!$A$1:$I$89,3,0)*VLOOKUP('Données projet'!$B$11,Paramètres!$A$1:$I$89,5,0)</f>
        <v>-9.9316821433603781E-14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195.30963433439501</v>
      </c>
      <c r="BJ104" s="62">
        <f t="shared" si="92"/>
        <v>185.00219255324504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2.8105318281875E-10</v>
      </c>
      <c r="BS104" s="24">
        <f t="shared" si="63"/>
        <v>2.8105318281875E-10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3.4</v>
      </c>
      <c r="BY104" s="13">
        <f>IF('Données projet'!$A$114&gt;35,BY103+BX104-CG103,IF(A104&lt;'Données projet'!$A$114,$BV$205^A104,IF(A104='Données projet'!$A$114,'Données projet'!$B$114,BY103+BX104-CG103)))</f>
        <v>206.39999999999984</v>
      </c>
      <c r="BZ104" s="14">
        <f>BY104*VLOOKUP('Données projet'!$B$12,Paramètres!$A$1:$I$89,3,0)*VLOOKUP('Données projet'!$B$12,Paramètres!$A$1:$I$89,5,0)</f>
        <v>199.63007999999982</v>
      </c>
      <c r="CA104" s="14">
        <f t="shared" si="93"/>
        <v>49.662861748339331</v>
      </c>
      <c r="CB104" s="22">
        <f t="shared" si="64"/>
        <v>434.18520687835735</v>
      </c>
      <c r="CC104" s="62">
        <f t="shared" si="65"/>
        <v>727.51854021169061</v>
      </c>
      <c r="CD104" s="62">
        <f ca="1">AVERAGE(OFFSET($CC$3,0,0,'Données projet'!$E$12+1,1))-AVERAGE(OFFSET($H$3,0,0,'Données projet'!$E$12+1,1))</f>
        <v>298.18906674058809</v>
      </c>
      <c r="CE104" s="62">
        <f t="shared" si="94"/>
        <v>154.08406475869634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1.9895196601282805E-13</v>
      </c>
      <c r="O105" s="14">
        <f>N105*VLOOKUP('Données projet'!$B$9,Paramètres!$A$1:$I$89,3,0)*VLOOKUP('Données projet'!$B$9,Paramètres!$A$1:$I$89,5,0)</f>
        <v>1.8001173884840681E-13</v>
      </c>
      <c r="P105" s="14">
        <f t="shared" si="87"/>
        <v>2.5254331426407198E-12</v>
      </c>
      <c r="Q105" s="22">
        <f t="shared" si="107"/>
        <v>4.7119831685935622E-12</v>
      </c>
      <c r="R105" s="62">
        <f t="shared" si="55"/>
        <v>293.33333333333803</v>
      </c>
      <c r="S105" s="62">
        <f ca="1">AVERAGE(OFFSET($R$3,0,0,'Données projet'!$E$9+1,1))-AVERAGE(OFFSET($H$3,0,0,'Données projet'!$E$9+1,1))</f>
        <v>302.6112905010138</v>
      </c>
      <c r="T105" s="62">
        <f t="shared" si="88"/>
        <v>423.44006663873375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0.31008174255151999</v>
      </c>
      <c r="AB105" s="23">
        <f>EXP(-LN(2)/2)*AB104+(1-EXP(-LN(2)/2))/(LN(2)/2)*V105*Y105*VLOOKUP('Données projet'!$B$9,Paramètres!$A$1:$I$89,3,0)*0.475*44/12</f>
        <v>9.2188044134439547E-11</v>
      </c>
      <c r="AC105" s="24">
        <f t="shared" si="57"/>
        <v>0.31008174264370802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269.80000000000007</v>
      </c>
      <c r="AJ105" s="14">
        <f>AI105*VLOOKUP('Données projet'!$B$10,Paramètres!$A$1:$I$89,3,0)*VLOOKUP('Données projet'!$B$10,Paramètres!$A$1:$I$89,5,0)</f>
        <v>273.57720000000012</v>
      </c>
      <c r="AK105" s="14">
        <f t="shared" si="89"/>
        <v>65.607858889915107</v>
      </c>
      <c r="AL105" s="22">
        <f t="shared" si="58"/>
        <v>590.74731089993566</v>
      </c>
      <c r="AM105" s="62">
        <f t="shared" si="59"/>
        <v>884.08064423326891</v>
      </c>
      <c r="AN105" s="62">
        <f ca="1">AVERAGE(OFFSET($AM$3,0,0,'Données projet'!$E$10+1,1))-AVERAGE(OFFSET($H$3,0,0,'Données projet'!$E$10+1,1))</f>
        <v>411.98877330238821</v>
      </c>
      <c r="AO105" s="62">
        <f t="shared" si="90"/>
        <v>256.4377087753457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-1.1368683772161603E-13</v>
      </c>
      <c r="BE105" s="14">
        <f>BD105*VLOOKUP('Données projet'!$B$11,Paramètres!$A$1:$I$89,3,0)*VLOOKUP('Données projet'!$B$11,Paramètres!$A$1:$I$89,5,0)</f>
        <v>-9.9316821433603781E-14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195.30963433439501</v>
      </c>
      <c r="BJ105" s="62">
        <f t="shared" si="92"/>
        <v>185.00219255324504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1.987346114452006E-10</v>
      </c>
      <c r="BS105" s="24">
        <f t="shared" si="63"/>
        <v>1.987346114452006E-10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3.4</v>
      </c>
      <c r="BY105" s="13">
        <f>IF('Données projet'!$A$114&gt;35,BY104+BX105-CG104,IF(A105&lt;'Données projet'!$A$114,$BV$205^A105,IF(A105='Données projet'!$A$114,'Données projet'!$B$114,BY104+BX105-CG104)))</f>
        <v>209.79999999999984</v>
      </c>
      <c r="BZ105" s="14">
        <f>BY105*VLOOKUP('Données projet'!$B$12,Paramètres!$A$1:$I$89,3,0)*VLOOKUP('Données projet'!$B$12,Paramètres!$A$1:$I$89,5,0)</f>
        <v>202.91855999999987</v>
      </c>
      <c r="CA105" s="14">
        <f t="shared" si="93"/>
        <v>50.385037061869774</v>
      </c>
      <c r="CB105" s="22">
        <f t="shared" si="64"/>
        <v>441.17043154942297</v>
      </c>
      <c r="CC105" s="62">
        <f t="shared" si="65"/>
        <v>734.50376488275629</v>
      </c>
      <c r="CD105" s="62">
        <f ca="1">AVERAGE(OFFSET($CC$3,0,0,'Données projet'!$E$12+1,1))-AVERAGE(OFFSET($H$3,0,0,'Données projet'!$E$12+1,1))</f>
        <v>298.18906674058809</v>
      </c>
      <c r="CE105" s="62">
        <f t="shared" si="94"/>
        <v>154.08406475869634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1.9895196601282805E-13</v>
      </c>
      <c r="O106" s="14">
        <f>N106*VLOOKUP('Données projet'!$B$9,Paramètres!$A$1:$I$89,3,0)*VLOOKUP('Données projet'!$B$9,Paramètres!$A$1:$I$89,5,0)</f>
        <v>1.8001173884840681E-13</v>
      </c>
      <c r="P106" s="14">
        <f t="shared" si="87"/>
        <v>2.5254331426407198E-12</v>
      </c>
      <c r="Q106" s="22">
        <f t="shared" si="107"/>
        <v>4.7119831685935622E-12</v>
      </c>
      <c r="R106" s="62">
        <f t="shared" si="55"/>
        <v>293.33333333333803</v>
      </c>
      <c r="S106" s="62">
        <f ca="1">AVERAGE(OFFSET($R$3,0,0,'Données projet'!$E$9+1,1))-AVERAGE(OFFSET($H$3,0,0,'Données projet'!$E$9+1,1))</f>
        <v>302.6112905010138</v>
      </c>
      <c r="T106" s="62">
        <f t="shared" si="88"/>
        <v>423.44006663873375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0.30160254099495853</v>
      </c>
      <c r="AB106" s="23">
        <f>EXP(-LN(2)/2)*AB105+(1-EXP(-LN(2)/2))/(LN(2)/2)*V106*Y106*VLOOKUP('Données projet'!$B$9,Paramètres!$A$1:$I$89,3,0)*0.475*44/12</f>
        <v>6.518679115178693E-11</v>
      </c>
      <c r="AC106" s="24">
        <f t="shared" si="57"/>
        <v>0.30160254106014533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274.20000000000005</v>
      </c>
      <c r="AJ106" s="14">
        <f>AI106*VLOOKUP('Données projet'!$B$10,Paramètres!$A$1:$I$89,3,0)*VLOOKUP('Données projet'!$B$10,Paramètres!$A$1:$I$89,5,0)</f>
        <v>278.03880000000009</v>
      </c>
      <c r="AK106" s="14">
        <f t="shared" si="89"/>
        <v>66.5523815477178</v>
      </c>
      <c r="AL106" s="22">
        <f t="shared" si="58"/>
        <v>600.16297452894207</v>
      </c>
      <c r="AM106" s="62">
        <f t="shared" si="59"/>
        <v>893.49630786227544</v>
      </c>
      <c r="AN106" s="62">
        <f ca="1">AVERAGE(OFFSET($AM$3,0,0,'Données projet'!$E$10+1,1))-AVERAGE(OFFSET($H$3,0,0,'Données projet'!$E$10+1,1))</f>
        <v>411.98877330238821</v>
      </c>
      <c r="AO106" s="62">
        <f t="shared" si="90"/>
        <v>256.4377087753457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-1.1368683772161603E-13</v>
      </c>
      <c r="BE106" s="14">
        <f>BD106*VLOOKUP('Données projet'!$B$11,Paramètres!$A$1:$I$89,3,0)*VLOOKUP('Données projet'!$B$11,Paramètres!$A$1:$I$89,5,0)</f>
        <v>-9.9316821433603781E-14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195.30963433439501</v>
      </c>
      <c r="BJ106" s="62">
        <f t="shared" si="92"/>
        <v>185.00219255324504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1.40526591409375E-10</v>
      </c>
      <c r="BS106" s="24">
        <f t="shared" si="63"/>
        <v>1.40526591409375E-10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3.4</v>
      </c>
      <c r="BY106" s="13">
        <f>IF('Données projet'!$A$114&gt;35,BY105+BX106-CG105,IF(A106&lt;'Données projet'!$A$114,$BV$205^A106,IF(A106='Données projet'!$A$114,'Données projet'!$B$114,BY105+BX106-CG105)))</f>
        <v>213.19999999999985</v>
      </c>
      <c r="BZ106" s="14">
        <f>BY106*VLOOKUP('Données projet'!$B$12,Paramètres!$A$1:$I$89,3,0)*VLOOKUP('Données projet'!$B$12,Paramètres!$A$1:$I$89,5,0)</f>
        <v>206.20703999999986</v>
      </c>
      <c r="CA106" s="14">
        <f t="shared" si="93"/>
        <v>51.105851308113039</v>
      </c>
      <c r="CB106" s="22">
        <f t="shared" si="64"/>
        <v>448.15328569496324</v>
      </c>
      <c r="CC106" s="62">
        <f t="shared" si="65"/>
        <v>741.48661902829656</v>
      </c>
      <c r="CD106" s="62">
        <f ca="1">AVERAGE(OFFSET($CC$3,0,0,'Données projet'!$E$12+1,1))-AVERAGE(OFFSET($H$3,0,0,'Données projet'!$E$12+1,1))</f>
        <v>298.18906674058809</v>
      </c>
      <c r="CE106" s="62">
        <f t="shared" si="94"/>
        <v>154.08406475869634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1.9895196601282805E-13</v>
      </c>
      <c r="O107" s="14">
        <f>N107*VLOOKUP('Données projet'!$B$9,Paramètres!$A$1:$I$89,3,0)*VLOOKUP('Données projet'!$B$9,Paramètres!$A$1:$I$89,5,0)</f>
        <v>1.8001173884840681E-13</v>
      </c>
      <c r="P107" s="14">
        <f t="shared" si="87"/>
        <v>2.5254331426407198E-12</v>
      </c>
      <c r="Q107" s="22">
        <f t="shared" si="107"/>
        <v>4.7119831685935622E-12</v>
      </c>
      <c r="R107" s="62">
        <f t="shared" si="55"/>
        <v>293.33333333333803</v>
      </c>
      <c r="S107" s="62">
        <f ca="1">AVERAGE(OFFSET($R$3,0,0,'Données projet'!$E$9+1,1))-AVERAGE(OFFSET($H$3,0,0,'Données projet'!$E$9+1,1))</f>
        <v>302.6112905010138</v>
      </c>
      <c r="T107" s="62">
        <f t="shared" si="88"/>
        <v>423.44006663873375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0.29335520365086309</v>
      </c>
      <c r="AB107" s="23">
        <f>EXP(-LN(2)/2)*AB106+(1-EXP(-LN(2)/2))/(LN(2)/2)*V107*Y107*VLOOKUP('Données projet'!$B$9,Paramètres!$A$1:$I$89,3,0)*0.475*44/12</f>
        <v>4.6094022067219774E-11</v>
      </c>
      <c r="AC107" s="24">
        <f t="shared" si="57"/>
        <v>0.29335520369695711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278.60000000000002</v>
      </c>
      <c r="AJ107" s="14">
        <f>AI107*VLOOKUP('Données projet'!$B$10,Paramètres!$A$1:$I$89,3,0)*VLOOKUP('Données projet'!$B$10,Paramètres!$A$1:$I$89,5,0)</f>
        <v>282.50040000000007</v>
      </c>
      <c r="AK107" s="14">
        <f t="shared" si="89"/>
        <v>67.495141560894439</v>
      </c>
      <c r="AL107" s="22">
        <f t="shared" si="58"/>
        <v>609.57556821855781</v>
      </c>
      <c r="AM107" s="62">
        <f t="shared" si="59"/>
        <v>902.90890155189118</v>
      </c>
      <c r="AN107" s="62">
        <f ca="1">AVERAGE(OFFSET($AM$3,0,0,'Données projet'!$E$10+1,1))-AVERAGE(OFFSET($H$3,0,0,'Données projet'!$E$10+1,1))</f>
        <v>411.98877330238821</v>
      </c>
      <c r="AO107" s="62">
        <f t="shared" si="90"/>
        <v>256.4377087753457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-1.1368683772161603E-13</v>
      </c>
      <c r="BE107" s="14">
        <f>BD107*VLOOKUP('Données projet'!$B$11,Paramètres!$A$1:$I$89,3,0)*VLOOKUP('Données projet'!$B$11,Paramètres!$A$1:$I$89,5,0)</f>
        <v>-9.9316821433603781E-14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195.30963433439501</v>
      </c>
      <c r="BJ107" s="62">
        <f t="shared" si="92"/>
        <v>185.00219255324504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9.93673057226003E-11</v>
      </c>
      <c r="BS107" s="24">
        <f t="shared" si="63"/>
        <v>9.93673057226003E-11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3.4</v>
      </c>
      <c r="BY107" s="13">
        <f>IF('Données projet'!$A$114&gt;35,BY106+BX107-CG106,IF(A107&lt;'Données projet'!$A$114,$BV$205^A107,IF(A107='Données projet'!$A$114,'Données projet'!$B$114,BY106+BX107-CG106)))</f>
        <v>216.59999999999985</v>
      </c>
      <c r="BZ107" s="14">
        <f>BY107*VLOOKUP('Données projet'!$B$12,Paramètres!$A$1:$I$89,3,0)*VLOOKUP('Données projet'!$B$12,Paramètres!$A$1:$I$89,5,0)</f>
        <v>209.49551999999989</v>
      </c>
      <c r="CA107" s="14">
        <f t="shared" si="93"/>
        <v>51.825328698764402</v>
      </c>
      <c r="CB107" s="22">
        <f t="shared" si="64"/>
        <v>455.13381148368109</v>
      </c>
      <c r="CC107" s="62">
        <f t="shared" si="65"/>
        <v>748.4671448170144</v>
      </c>
      <c r="CD107" s="62">
        <f ca="1">AVERAGE(OFFSET($CC$3,0,0,'Données projet'!$E$12+1,1))-AVERAGE(OFFSET($H$3,0,0,'Données projet'!$E$12+1,1))</f>
        <v>298.18906674058809</v>
      </c>
      <c r="CE107" s="62">
        <f t="shared" si="94"/>
        <v>154.08406475869634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1.9895196601282805E-13</v>
      </c>
      <c r="O108" s="14">
        <f>N108*VLOOKUP('Données projet'!$B$9,Paramètres!$A$1:$I$89,3,0)*VLOOKUP('Données projet'!$B$9,Paramètres!$A$1:$I$89,5,0)</f>
        <v>1.8001173884840681E-13</v>
      </c>
      <c r="P108" s="14">
        <f t="shared" si="87"/>
        <v>2.5254331426407198E-12</v>
      </c>
      <c r="Q108" s="22">
        <f t="shared" si="107"/>
        <v>4.7119831685935622E-12</v>
      </c>
      <c r="R108" s="62">
        <f t="shared" si="55"/>
        <v>293.33333333333803</v>
      </c>
      <c r="S108" s="62">
        <f ca="1">AVERAGE(OFFSET($R$3,0,0,'Données projet'!$E$9+1,1))-AVERAGE(OFFSET($H$3,0,0,'Données projet'!$E$9+1,1))</f>
        <v>302.6112905010138</v>
      </c>
      <c r="T108" s="62">
        <f t="shared" si="88"/>
        <v>423.44006663873375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0.28533339018015058</v>
      </c>
      <c r="AB108" s="23">
        <f>EXP(-LN(2)/2)*AB107+(1-EXP(-LN(2)/2))/(LN(2)/2)*V108*Y108*VLOOKUP('Données projet'!$B$9,Paramètres!$A$1:$I$89,3,0)*0.475*44/12</f>
        <v>3.2593395575893465E-11</v>
      </c>
      <c r="AC108" s="24">
        <f t="shared" si="57"/>
        <v>0.28533339021274395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283</v>
      </c>
      <c r="AG108" s="13">
        <f>VLOOKUP(A108,'Données projet'!$A$61:$I$81,9,0)</f>
        <v>4.4000000000000004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283</v>
      </c>
      <c r="AJ108" s="14">
        <f>AI108*VLOOKUP('Données projet'!$B$10,Paramètres!$A$1:$I$89,3,0)*VLOOKUP('Données projet'!$B$10,Paramètres!$A$1:$I$89,5,0)</f>
        <v>286.96200000000005</v>
      </c>
      <c r="AK108" s="14">
        <f t="shared" si="89"/>
        <v>68.436169981717853</v>
      </c>
      <c r="AL108" s="22">
        <f t="shared" si="58"/>
        <v>618.98514605149205</v>
      </c>
      <c r="AM108" s="62">
        <f t="shared" si="59"/>
        <v>912.31847938482542</v>
      </c>
      <c r="AN108" s="62">
        <f ca="1">AVERAGE(OFFSET($AM$3,0,0,'Données projet'!$E$10+1,1))-AVERAGE(OFFSET($H$3,0,0,'Données projet'!$E$10+1,1))</f>
        <v>411.98877330238821</v>
      </c>
      <c r="AO108" s="62">
        <f t="shared" si="90"/>
        <v>256.4377087753457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-1.1368683772161603E-13</v>
      </c>
      <c r="BE108" s="14">
        <f>BD108*VLOOKUP('Données projet'!$B$11,Paramètres!$A$1:$I$89,3,0)*VLOOKUP('Données projet'!$B$11,Paramètres!$A$1:$I$89,5,0)</f>
        <v>-9.9316821433603781E-14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195.30963433439501</v>
      </c>
      <c r="BJ108" s="62">
        <f t="shared" si="92"/>
        <v>185.00219255324504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7.0263295704687501E-11</v>
      </c>
      <c r="BS108" s="24">
        <f t="shared" si="63"/>
        <v>7.0263295704687501E-11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220</v>
      </c>
      <c r="BW108" s="13">
        <f>VLOOKUP(A108,'Données projet'!$A$113:$I$133,9,0)</f>
        <v>3.4</v>
      </c>
      <c r="BX108" s="13">
        <f t="array" ref="BX108">INDEX(BW:BW,MIN(IF(ISNUMBER(BW108:BW304),ROW(BW108:BW304),"")))</f>
        <v>3.4</v>
      </c>
      <c r="BY108" s="13">
        <f>IF('Données projet'!$A$114&gt;35,BY107+BX108-CG107,IF(A108&lt;'Données projet'!$A$114,$BV$205^A108,IF(A108='Données projet'!$A$114,'Données projet'!$B$114,BY107+BX108-CG107)))</f>
        <v>219.99999999999986</v>
      </c>
      <c r="BZ108" s="14">
        <f>BY108*VLOOKUP('Données projet'!$B$12,Paramètres!$A$1:$I$89,3,0)*VLOOKUP('Données projet'!$B$12,Paramètres!$A$1:$I$89,5,0)</f>
        <v>212.78399999999988</v>
      </c>
      <c r="CA108" s="14">
        <f t="shared" si="93"/>
        <v>52.543492641808065</v>
      </c>
      <c r="CB108" s="22">
        <f t="shared" si="64"/>
        <v>462.11204968448214</v>
      </c>
      <c r="CC108" s="62">
        <f t="shared" si="65"/>
        <v>755.4453830178154</v>
      </c>
      <c r="CD108" s="62">
        <f ca="1">AVERAGE(OFFSET($CC$3,0,0,'Données projet'!$E$12+1,1))-AVERAGE(OFFSET($H$3,0,0,'Données projet'!$E$12+1,1))</f>
        <v>298.18906674058809</v>
      </c>
      <c r="CE108" s="62">
        <f t="shared" si="94"/>
        <v>154.08406475869634</v>
      </c>
      <c r="CF108" s="16">
        <f>IF(ISNA(VLOOKUP(A108,'Données projet'!$A$113:$I$133,3,0)),0,VLOOKUP(A108,'Données projet'!$A$113:$I$133,3,0))</f>
        <v>17</v>
      </c>
      <c r="CG108" s="16">
        <f>IF(ISNA(VLOOKUP(A108,'Données projet'!$A$113:$I$133,4,0)),0,VLOOKUP(A108,'Données projet'!$A$113:$I$133,4,0))</f>
        <v>13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1.9895196601282805E-13</v>
      </c>
      <c r="O109" s="14">
        <f>N109*VLOOKUP('Données projet'!$B$9,Paramètres!$A$1:$I$89,3,0)*VLOOKUP('Données projet'!$B$9,Paramètres!$A$1:$I$89,5,0)</f>
        <v>1.8001173884840681E-13</v>
      </c>
      <c r="P109" s="14">
        <f t="shared" si="87"/>
        <v>2.5254331426407198E-12</v>
      </c>
      <c r="Q109" s="22">
        <f t="shared" si="107"/>
        <v>4.7119831685935622E-12</v>
      </c>
      <c r="R109" s="62">
        <f t="shared" si="55"/>
        <v>293.33333333333803</v>
      </c>
      <c r="S109" s="62">
        <f ca="1">AVERAGE(OFFSET($R$3,0,0,'Données projet'!$E$9+1,1))-AVERAGE(OFFSET($H$3,0,0,'Données projet'!$E$9+1,1))</f>
        <v>302.6112905010138</v>
      </c>
      <c r="T109" s="62">
        <f t="shared" si="88"/>
        <v>423.44006663873375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0.27753093362064352</v>
      </c>
      <c r="AB109" s="23">
        <f>EXP(-LN(2)/2)*AB108+(1-EXP(-LN(2)/2))/(LN(2)/2)*V109*Y109*VLOOKUP('Données projet'!$B$9,Paramètres!$A$1:$I$89,3,0)*0.475*44/12</f>
        <v>2.3047011033609887E-11</v>
      </c>
      <c r="AC109" s="24">
        <f t="shared" si="57"/>
        <v>0.27753093364369052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4.2</v>
      </c>
      <c r="AI109" s="14">
        <f>IF('Données projet'!$A$62&gt;35,AI108+AH109-AQ108,IF(A109&lt;'Données projet'!$A$62,$AF$205^A109,IF(A109='Données projet'!$A$62,'Données projet'!$B$62,AI108+AH109-AQ108)))</f>
        <v>267.2</v>
      </c>
      <c r="AJ109" s="14">
        <f>AI109*VLOOKUP('Données projet'!$B$10,Paramètres!$A$1:$I$89,3,0)*VLOOKUP('Données projet'!$B$10,Paramètres!$A$1:$I$89,5,0)</f>
        <v>270.94080000000002</v>
      </c>
      <c r="AK109" s="14">
        <f t="shared" si="89"/>
        <v>65.048890354155489</v>
      </c>
      <c r="AL109" s="22">
        <f t="shared" si="58"/>
        <v>585.1820440334875</v>
      </c>
      <c r="AM109" s="62">
        <f t="shared" si="59"/>
        <v>878.51537736682076</v>
      </c>
      <c r="AN109" s="62">
        <f ca="1">AVERAGE(OFFSET($AM$3,0,0,'Données projet'!$E$10+1,1))-AVERAGE(OFFSET($H$3,0,0,'Données projet'!$E$10+1,1))</f>
        <v>411.98877330238821</v>
      </c>
      <c r="AO109" s="62">
        <f t="shared" si="90"/>
        <v>256.4377087753457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-1.1368683772161603E-13</v>
      </c>
      <c r="BE109" s="14">
        <f>BD109*VLOOKUP('Données projet'!$B$11,Paramètres!$A$1:$I$89,3,0)*VLOOKUP('Données projet'!$B$11,Paramètres!$A$1:$I$89,5,0)</f>
        <v>-9.9316821433603781E-14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195.30963433439501</v>
      </c>
      <c r="BJ109" s="62">
        <f t="shared" si="92"/>
        <v>185.00219255324504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4.968365286130015E-11</v>
      </c>
      <c r="BS109" s="24">
        <f t="shared" si="63"/>
        <v>4.968365286130015E-11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3</v>
      </c>
      <c r="BY109" s="13">
        <f>IF('Données projet'!$A$114&gt;35,BY108+BX109-CG108,IF(A109&lt;'Données projet'!$A$114,$BV$205^A109,IF(A109='Données projet'!$A$114,'Données projet'!$B$114,BY108+BX109-CG108)))</f>
        <v>209.99999999999986</v>
      </c>
      <c r="BZ109" s="14">
        <f>BY109*VLOOKUP('Données projet'!$B$12,Paramètres!$A$1:$I$89,3,0)*VLOOKUP('Données projet'!$B$12,Paramètres!$A$1:$I$89,5,0)</f>
        <v>203.11199999999985</v>
      </c>
      <c r="CA109" s="14">
        <f t="shared" si="93"/>
        <v>50.427475336015782</v>
      </c>
      <c r="CB109" s="22">
        <f t="shared" si="64"/>
        <v>441.58125287689387</v>
      </c>
      <c r="CC109" s="62">
        <f t="shared" si="65"/>
        <v>734.91458621022718</v>
      </c>
      <c r="CD109" s="62">
        <f ca="1">AVERAGE(OFFSET($CC$3,0,0,'Données projet'!$E$12+1,1))-AVERAGE(OFFSET($H$3,0,0,'Données projet'!$E$12+1,1))</f>
        <v>298.18906674058809</v>
      </c>
      <c r="CE109" s="62">
        <f t="shared" si="94"/>
        <v>154.08406475869634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1.9895196601282805E-13</v>
      </c>
      <c r="O110" s="14">
        <f>N110*VLOOKUP('Données projet'!$B$9,Paramètres!$A$1:$I$89,3,0)*VLOOKUP('Données projet'!$B$9,Paramètres!$A$1:$I$89,5,0)</f>
        <v>1.8001173884840681E-13</v>
      </c>
      <c r="P110" s="14">
        <f t="shared" si="87"/>
        <v>2.5254331426407198E-12</v>
      </c>
      <c r="Q110" s="22">
        <f t="shared" si="107"/>
        <v>4.7119831685935622E-12</v>
      </c>
      <c r="R110" s="62">
        <f t="shared" si="55"/>
        <v>293.33333333333803</v>
      </c>
      <c r="S110" s="62">
        <f ca="1">AVERAGE(OFFSET($R$3,0,0,'Données projet'!$E$9+1,1))-AVERAGE(OFFSET($H$3,0,0,'Données projet'!$E$9+1,1))</f>
        <v>302.6112905010138</v>
      </c>
      <c r="T110" s="62">
        <f t="shared" si="88"/>
        <v>423.44006663873375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0.26994183564606955</v>
      </c>
      <c r="AB110" s="23">
        <f>EXP(-LN(2)/2)*AB109+(1-EXP(-LN(2)/2))/(LN(2)/2)*V110*Y110*VLOOKUP('Données projet'!$B$9,Paramètres!$A$1:$I$89,3,0)*0.475*44/12</f>
        <v>1.6296697787946733E-11</v>
      </c>
      <c r="AC110" s="24">
        <f t="shared" si="57"/>
        <v>0.26994183566236624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4.2</v>
      </c>
      <c r="AI110" s="14">
        <f>IF('Données projet'!$A$62&gt;35,AI109+AH110-AQ109,IF(A110&lt;'Données projet'!$A$62,$AF$205^A110,IF(A110='Données projet'!$A$62,'Données projet'!$B$62,AI109+AH110-AQ109)))</f>
        <v>271.39999999999998</v>
      </c>
      <c r="AJ110" s="14">
        <f>AI110*VLOOKUP('Données projet'!$B$10,Paramètres!$A$1:$I$89,3,0)*VLOOKUP('Données projet'!$B$10,Paramètres!$A$1:$I$89,5,0)</f>
        <v>275.19960000000003</v>
      </c>
      <c r="AK110" s="14">
        <f t="shared" si="89"/>
        <v>65.951527620662617</v>
      </c>
      <c r="AL110" s="22">
        <f t="shared" si="58"/>
        <v>594.17154727265404</v>
      </c>
      <c r="AM110" s="62">
        <f t="shared" si="59"/>
        <v>887.50488060598741</v>
      </c>
      <c r="AN110" s="62">
        <f ca="1">AVERAGE(OFFSET($AM$3,0,0,'Données projet'!$E$10+1,1))-AVERAGE(OFFSET($H$3,0,0,'Données projet'!$E$10+1,1))</f>
        <v>411.98877330238821</v>
      </c>
      <c r="AO110" s="62">
        <f t="shared" si="90"/>
        <v>256.4377087753457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-1.1368683772161603E-13</v>
      </c>
      <c r="BE110" s="14">
        <f>BD110*VLOOKUP('Données projet'!$B$11,Paramètres!$A$1:$I$89,3,0)*VLOOKUP('Données projet'!$B$11,Paramètres!$A$1:$I$89,5,0)</f>
        <v>-9.9316821433603781E-14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195.30963433439501</v>
      </c>
      <c r="BJ110" s="62">
        <f t="shared" si="92"/>
        <v>185.00219255324504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3.513164785234375E-11</v>
      </c>
      <c r="BS110" s="24">
        <f t="shared" si="63"/>
        <v>3.513164785234375E-11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3</v>
      </c>
      <c r="BY110" s="13">
        <f>IF('Données projet'!$A$114&gt;35,BY109+BX110-CG109,IF(A110&lt;'Données projet'!$A$114,$BV$205^A110,IF(A110='Données projet'!$A$114,'Données projet'!$B$114,BY109+BX110-CG109)))</f>
        <v>212.99999999999986</v>
      </c>
      <c r="BZ110" s="14">
        <f>BY110*VLOOKUP('Données projet'!$B$12,Paramètres!$A$1:$I$89,3,0)*VLOOKUP('Données projet'!$B$12,Paramètres!$A$1:$I$89,5,0)</f>
        <v>206.01359999999988</v>
      </c>
      <c r="CA110" s="14">
        <f t="shared" si="93"/>
        <v>51.063487709141434</v>
      </c>
      <c r="CB110" s="22">
        <f t="shared" si="64"/>
        <v>447.74259442675447</v>
      </c>
      <c r="CC110" s="62">
        <f t="shared" si="65"/>
        <v>741.07592776008778</v>
      </c>
      <c r="CD110" s="62">
        <f ca="1">AVERAGE(OFFSET($CC$3,0,0,'Données projet'!$E$12+1,1))-AVERAGE(OFFSET($H$3,0,0,'Données projet'!$E$12+1,1))</f>
        <v>298.18906674058809</v>
      </c>
      <c r="CE110" s="62">
        <f t="shared" si="94"/>
        <v>154.08406475869634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1.9895196601282805E-13</v>
      </c>
      <c r="O111" s="14">
        <f>N111*VLOOKUP('Données projet'!$B$9,Paramètres!$A$1:$I$89,3,0)*VLOOKUP('Données projet'!$B$9,Paramètres!$A$1:$I$89,5,0)</f>
        <v>1.8001173884840681E-13</v>
      </c>
      <c r="P111" s="14">
        <f t="shared" si="87"/>
        <v>2.5254331426407198E-12</v>
      </c>
      <c r="Q111" s="22">
        <f t="shared" si="107"/>
        <v>4.7119831685935622E-12</v>
      </c>
      <c r="R111" s="62">
        <f t="shared" si="55"/>
        <v>293.33333333333803</v>
      </c>
      <c r="S111" s="62">
        <f ca="1">AVERAGE(OFFSET($R$3,0,0,'Données projet'!$E$9+1,1))-AVERAGE(OFFSET($H$3,0,0,'Données projet'!$E$9+1,1))</f>
        <v>302.6112905010138</v>
      </c>
      <c r="T111" s="62">
        <f t="shared" si="88"/>
        <v>423.44006663873375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0.26256026195470361</v>
      </c>
      <c r="AB111" s="23">
        <f>EXP(-LN(2)/2)*AB110+(1-EXP(-LN(2)/2))/(LN(2)/2)*V111*Y111*VLOOKUP('Données projet'!$B$9,Paramètres!$A$1:$I$89,3,0)*0.475*44/12</f>
        <v>1.1523505516804943E-11</v>
      </c>
      <c r="AC111" s="24">
        <f t="shared" si="57"/>
        <v>0.26256026196622712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4.2</v>
      </c>
      <c r="AI111" s="14">
        <f>IF('Données projet'!$A$62&gt;35,AI110+AH111-AQ110,IF(A111&lt;'Données projet'!$A$62,$AF$205^A111,IF(A111='Données projet'!$A$62,'Données projet'!$B$62,AI110+AH111-AQ110)))</f>
        <v>275.59999999999997</v>
      </c>
      <c r="AJ111" s="14">
        <f>AI111*VLOOKUP('Données projet'!$B$10,Paramètres!$A$1:$I$89,3,0)*VLOOKUP('Données projet'!$B$10,Paramètres!$A$1:$I$89,5,0)</f>
        <v>279.45839999999998</v>
      </c>
      <c r="AK111" s="14">
        <f t="shared" si="89"/>
        <v>66.852540337772723</v>
      </c>
      <c r="AL111" s="22">
        <f t="shared" si="58"/>
        <v>603.15822108828741</v>
      </c>
      <c r="AM111" s="62">
        <f t="shared" si="59"/>
        <v>896.49155442162078</v>
      </c>
      <c r="AN111" s="62">
        <f ca="1">AVERAGE(OFFSET($AM$3,0,0,'Données projet'!$E$10+1,1))-AVERAGE(OFFSET($H$3,0,0,'Données projet'!$E$10+1,1))</f>
        <v>411.98877330238821</v>
      </c>
      <c r="AO111" s="62">
        <f t="shared" si="90"/>
        <v>256.4377087753457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-1.1368683772161603E-13</v>
      </c>
      <c r="BE111" s="14">
        <f>BD111*VLOOKUP('Données projet'!$B$11,Paramètres!$A$1:$I$89,3,0)*VLOOKUP('Données projet'!$B$11,Paramètres!$A$1:$I$89,5,0)</f>
        <v>-9.9316821433603781E-14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195.30963433439501</v>
      </c>
      <c r="BJ111" s="62">
        <f t="shared" si="92"/>
        <v>185.00219255324504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2.4841826430650075E-11</v>
      </c>
      <c r="BS111" s="24">
        <f t="shared" si="63"/>
        <v>2.4841826430650075E-11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3</v>
      </c>
      <c r="BY111" s="13">
        <f>IF('Données projet'!$A$114&gt;35,BY110+BX111-CG110,IF(A111&lt;'Données projet'!$A$114,$BV$205^A111,IF(A111='Données projet'!$A$114,'Données projet'!$B$114,BY110+BX111-CG110)))</f>
        <v>215.99999999999986</v>
      </c>
      <c r="BZ111" s="14">
        <f>BY111*VLOOKUP('Données projet'!$B$12,Paramètres!$A$1:$I$89,3,0)*VLOOKUP('Données projet'!$B$12,Paramètres!$A$1:$I$89,5,0)</f>
        <v>208.91519999999986</v>
      </c>
      <c r="CA111" s="14">
        <f t="shared" si="93"/>
        <v>51.698458198123326</v>
      </c>
      <c r="CB111" s="22">
        <f t="shared" si="64"/>
        <v>453.90212136173113</v>
      </c>
      <c r="CC111" s="62">
        <f t="shared" si="65"/>
        <v>747.23545469506439</v>
      </c>
      <c r="CD111" s="62">
        <f ca="1">AVERAGE(OFFSET($CC$3,0,0,'Données projet'!$E$12+1,1))-AVERAGE(OFFSET($H$3,0,0,'Données projet'!$E$12+1,1))</f>
        <v>298.18906674058809</v>
      </c>
      <c r="CE111" s="62">
        <f t="shared" si="94"/>
        <v>154.08406475869634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1.9895196601282805E-13</v>
      </c>
      <c r="O112" s="14">
        <f>N112*VLOOKUP('Données projet'!$B$9,Paramètres!$A$1:$I$89,3,0)*VLOOKUP('Données projet'!$B$9,Paramètres!$A$1:$I$89,5,0)</f>
        <v>1.8001173884840681E-13</v>
      </c>
      <c r="P112" s="14">
        <f t="shared" si="87"/>
        <v>2.5254331426407198E-12</v>
      </c>
      <c r="Q112" s="22">
        <f t="shared" si="107"/>
        <v>4.7119831685935622E-12</v>
      </c>
      <c r="R112" s="62">
        <f t="shared" si="55"/>
        <v>293.33333333333803</v>
      </c>
      <c r="S112" s="62">
        <f ca="1">AVERAGE(OFFSET($R$3,0,0,'Données projet'!$E$9+1,1))-AVERAGE(OFFSET($H$3,0,0,'Données projet'!$E$9+1,1))</f>
        <v>302.6112905010138</v>
      </c>
      <c r="T112" s="62">
        <f t="shared" si="88"/>
        <v>423.44006663873375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0.25538053778410813</v>
      </c>
      <c r="AB112" s="23">
        <f>EXP(-LN(2)/2)*AB111+(1-EXP(-LN(2)/2))/(LN(2)/2)*V112*Y112*VLOOKUP('Données projet'!$B$9,Paramètres!$A$1:$I$89,3,0)*0.475*44/12</f>
        <v>8.1483488939733663E-12</v>
      </c>
      <c r="AC112" s="24">
        <f t="shared" si="57"/>
        <v>0.2553805377922565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4.2</v>
      </c>
      <c r="AI112" s="14">
        <f>IF('Données projet'!$A$62&gt;35,AI111+AH112-AQ111,IF(A112&lt;'Données projet'!$A$62,$AF$205^A112,IF(A112='Données projet'!$A$62,'Données projet'!$B$62,AI111+AH112-AQ111)))</f>
        <v>279.79999999999995</v>
      </c>
      <c r="AJ112" s="14">
        <f>AI112*VLOOKUP('Données projet'!$B$10,Paramètres!$A$1:$I$89,3,0)*VLOOKUP('Données projet'!$B$10,Paramètres!$A$1:$I$89,5,0)</f>
        <v>283.71719999999999</v>
      </c>
      <c r="AK112" s="14">
        <f t="shared" si="89"/>
        <v>67.751956122170697</v>
      </c>
      <c r="AL112" s="22">
        <f t="shared" si="58"/>
        <v>612.14211357944725</v>
      </c>
      <c r="AM112" s="62">
        <f t="shared" si="59"/>
        <v>905.47544691278063</v>
      </c>
      <c r="AN112" s="62">
        <f ca="1">AVERAGE(OFFSET($AM$3,0,0,'Données projet'!$E$10+1,1))-AVERAGE(OFFSET($H$3,0,0,'Données projet'!$E$10+1,1))</f>
        <v>411.98877330238821</v>
      </c>
      <c r="AO112" s="62">
        <f t="shared" si="90"/>
        <v>256.4377087753457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-1.1368683772161603E-13</v>
      </c>
      <c r="BE112" s="14">
        <f>BD112*VLOOKUP('Données projet'!$B$11,Paramètres!$A$1:$I$89,3,0)*VLOOKUP('Données projet'!$B$11,Paramètres!$A$1:$I$89,5,0)</f>
        <v>-9.9316821433603781E-14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195.30963433439501</v>
      </c>
      <c r="BJ112" s="62">
        <f t="shared" si="92"/>
        <v>185.00219255324504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1.7565823926171875E-11</v>
      </c>
      <c r="BS112" s="24">
        <f t="shared" si="63"/>
        <v>1.7565823926171875E-11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3</v>
      </c>
      <c r="BY112" s="13">
        <f>IF('Données projet'!$A$114&gt;35,BY111+BX112-CG111,IF(A112&lt;'Données projet'!$A$114,$BV$205^A112,IF(A112='Données projet'!$A$114,'Données projet'!$B$114,BY111+BX112-CG111)))</f>
        <v>218.99999999999986</v>
      </c>
      <c r="BZ112" s="14">
        <f>BY112*VLOOKUP('Données projet'!$B$12,Paramètres!$A$1:$I$89,3,0)*VLOOKUP('Données projet'!$B$12,Paramètres!$A$1:$I$89,5,0)</f>
        <v>211.81679999999989</v>
      </c>
      <c r="CA112" s="14">
        <f t="shared" si="93"/>
        <v>52.332402945946782</v>
      </c>
      <c r="CB112" s="22">
        <f t="shared" si="64"/>
        <v>460.05986179752381</v>
      </c>
      <c r="CC112" s="62">
        <f t="shared" si="65"/>
        <v>753.39319513085707</v>
      </c>
      <c r="CD112" s="62">
        <f ca="1">AVERAGE(OFFSET($CC$3,0,0,'Données projet'!$E$12+1,1))-AVERAGE(OFFSET($H$3,0,0,'Données projet'!$E$12+1,1))</f>
        <v>298.18906674058809</v>
      </c>
      <c r="CE112" s="62">
        <f t="shared" si="94"/>
        <v>154.08406475869634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1.9895196601282805E-13</v>
      </c>
      <c r="O113" s="14">
        <f>N113*VLOOKUP('Données projet'!$B$9,Paramètres!$A$1:$I$89,3,0)*VLOOKUP('Données projet'!$B$9,Paramètres!$A$1:$I$89,5,0)</f>
        <v>1.8001173884840681E-13</v>
      </c>
      <c r="P113" s="14">
        <f t="shared" si="87"/>
        <v>2.5254331426407198E-12</v>
      </c>
      <c r="Q113" s="22">
        <f t="shared" si="107"/>
        <v>4.7119831685935622E-12</v>
      </c>
      <c r="R113" s="62">
        <f t="shared" si="55"/>
        <v>293.33333333333803</v>
      </c>
      <c r="S113" s="62">
        <f ca="1">AVERAGE(OFFSET($R$3,0,0,'Données projet'!$E$9+1,1))-AVERAGE(OFFSET($H$3,0,0,'Données projet'!$E$9+1,1))</f>
        <v>302.6112905010138</v>
      </c>
      <c r="T113" s="62">
        <f t="shared" si="88"/>
        <v>423.44006663873375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0.24839714354852288</v>
      </c>
      <c r="AB113" s="23">
        <f>EXP(-LN(2)/2)*AB112+(1-EXP(-LN(2)/2))/(LN(2)/2)*V113*Y113*VLOOKUP('Données projet'!$B$9,Paramètres!$A$1:$I$89,3,0)*0.475*44/12</f>
        <v>5.7617527584024717E-12</v>
      </c>
      <c r="AC113" s="24">
        <f t="shared" si="57"/>
        <v>0.24839714355428463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284</v>
      </c>
      <c r="AG113" s="13">
        <f>VLOOKUP(A113,'Données projet'!$A$61:$I$81,9,0)</f>
        <v>4.2</v>
      </c>
      <c r="AH113" s="13">
        <f t="array" ref="AH113">INDEX(AG:AG,MIN(IF(ISNUMBER(AG113:AG309),ROW(AG113:AG309),"")))</f>
        <v>4.2</v>
      </c>
      <c r="AI113" s="14">
        <f>IF('Données projet'!$A$62&gt;35,AI112+AH113-AQ112,IF(A113&lt;'Données projet'!$A$62,$AF$205^A113,IF(A113='Données projet'!$A$62,'Données projet'!$B$62,AI112+AH113-AQ112)))</f>
        <v>283.99999999999994</v>
      </c>
      <c r="AJ113" s="14">
        <f>AI113*VLOOKUP('Données projet'!$B$10,Paramètres!$A$1:$I$89,3,0)*VLOOKUP('Données projet'!$B$10,Paramètres!$A$1:$I$89,5,0)</f>
        <v>287.97599999999994</v>
      </c>
      <c r="AK113" s="14">
        <f t="shared" si="89"/>
        <v>68.649801713863141</v>
      </c>
      <c r="AL113" s="22">
        <f t="shared" si="58"/>
        <v>621.12327131831148</v>
      </c>
      <c r="AM113" s="62">
        <f t="shared" si="59"/>
        <v>914.45660465164474</v>
      </c>
      <c r="AN113" s="62">
        <f ca="1">AVERAGE(OFFSET($AM$3,0,0,'Données projet'!$E$10+1,1))-AVERAGE(OFFSET($H$3,0,0,'Données projet'!$E$10+1,1))</f>
        <v>411.98877330238821</v>
      </c>
      <c r="AO113" s="62">
        <f t="shared" si="90"/>
        <v>256.4377087753457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-1.1368683772161603E-13</v>
      </c>
      <c r="BE113" s="14">
        <f>BD113*VLOOKUP('Données projet'!$B$11,Paramètres!$A$1:$I$89,3,0)*VLOOKUP('Données projet'!$B$11,Paramètres!$A$1:$I$89,5,0)</f>
        <v>-9.9316821433603781E-14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195.30963433439501</v>
      </c>
      <c r="BJ113" s="62">
        <f t="shared" si="92"/>
        <v>185.00219255324504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1.2420913215325038E-11</v>
      </c>
      <c r="BS113" s="24">
        <f t="shared" si="63"/>
        <v>1.2420913215325038E-11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222</v>
      </c>
      <c r="BW113" s="13">
        <f>VLOOKUP(A113,'Données projet'!$A$113:$I$133,9,0)</f>
        <v>3</v>
      </c>
      <c r="BX113" s="13">
        <f t="array" ref="BX113">INDEX(BW:BW,MIN(IF(ISNUMBER(BW113:BW309),ROW(BW113:BW309),"")))</f>
        <v>3</v>
      </c>
      <c r="BY113" s="13">
        <f>IF('Données projet'!$A$114&gt;35,BY112+BX113-CG112,IF(A113&lt;'Données projet'!$A$114,$BV$205^A113,IF(A113='Données projet'!$A$114,'Données projet'!$B$114,BY112+BX113-CG112)))</f>
        <v>221.99999999999986</v>
      </c>
      <c r="BZ113" s="14">
        <f>BY113*VLOOKUP('Données projet'!$B$12,Paramètres!$A$1:$I$89,3,0)*VLOOKUP('Données projet'!$B$12,Paramètres!$A$1:$I$89,5,0)</f>
        <v>214.71839999999986</v>
      </c>
      <c r="CA113" s="14">
        <f t="shared" si="93"/>
        <v>52.965337627912696</v>
      </c>
      <c r="CB113" s="22">
        <f t="shared" si="64"/>
        <v>466.21584303528101</v>
      </c>
      <c r="CC113" s="62">
        <f t="shared" si="65"/>
        <v>759.54917636861433</v>
      </c>
      <c r="CD113" s="62">
        <f ca="1">AVERAGE(OFFSET($CC$3,0,0,'Données projet'!$E$12+1,1))-AVERAGE(OFFSET($H$3,0,0,'Données projet'!$E$12+1,1))</f>
        <v>298.18906674058809</v>
      </c>
      <c r="CE113" s="62">
        <f t="shared" si="94"/>
        <v>154.08406475869634</v>
      </c>
      <c r="CF113" s="16">
        <f>IF(ISNA(VLOOKUP(A113,'Données projet'!$A$113:$I$133,3,0)),0,VLOOKUP(A113,'Données projet'!$A$113:$I$133,3,0))</f>
        <v>18</v>
      </c>
      <c r="CG113" s="16">
        <f>IF(ISNA(VLOOKUP(A113,'Données projet'!$A$113:$I$133,4,0)),0,VLOOKUP(A113,'Données projet'!$A$113:$I$133,4,0))</f>
        <v>13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1.9895196601282805E-13</v>
      </c>
      <c r="O114" s="14">
        <f>N114*VLOOKUP('Données projet'!$B$9,Paramètres!$A$1:$I$89,3,0)*VLOOKUP('Données projet'!$B$9,Paramètres!$A$1:$I$89,5,0)</f>
        <v>1.8001173884840681E-13</v>
      </c>
      <c r="P114" s="14">
        <f t="shared" si="87"/>
        <v>2.5254331426407198E-12</v>
      </c>
      <c r="Q114" s="22">
        <f t="shared" si="107"/>
        <v>4.7119831685935622E-12</v>
      </c>
      <c r="R114" s="62">
        <f t="shared" si="55"/>
        <v>293.33333333333803</v>
      </c>
      <c r="S114" s="62">
        <f ca="1">AVERAGE(OFFSET($R$3,0,0,'Données projet'!$E$9+1,1))-AVERAGE(OFFSET($H$3,0,0,'Données projet'!$E$9+1,1))</f>
        <v>302.6112905010138</v>
      </c>
      <c r="T114" s="62">
        <f t="shared" si="88"/>
        <v>423.44006663873375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0.24160471059555047</v>
      </c>
      <c r="AB114" s="23">
        <f>EXP(-LN(2)/2)*AB113+(1-EXP(-LN(2)/2))/(LN(2)/2)*V114*Y114*VLOOKUP('Données projet'!$B$9,Paramètres!$A$1:$I$89,3,0)*0.475*44/12</f>
        <v>4.0741744469866832E-12</v>
      </c>
      <c r="AC114" s="24">
        <f t="shared" si="57"/>
        <v>0.24160471059962466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268.79999999999995</v>
      </c>
      <c r="AJ114" s="14">
        <f>AI114*VLOOKUP('Données projet'!$B$10,Paramètres!$A$1:$I$89,3,0)*VLOOKUP('Données projet'!$B$10,Paramètres!$A$1:$I$89,5,0)</f>
        <v>272.56319999999994</v>
      </c>
      <c r="AK114" s="14">
        <f t="shared" si="89"/>
        <v>65.392945522034609</v>
      </c>
      <c r="AL114" s="22">
        <f t="shared" si="58"/>
        <v>588.60695345087686</v>
      </c>
      <c r="AM114" s="62">
        <f t="shared" si="59"/>
        <v>881.94028678421023</v>
      </c>
      <c r="AN114" s="62">
        <f ca="1">AVERAGE(OFFSET($AM$3,0,0,'Données projet'!$E$10+1,1))-AVERAGE(OFFSET($H$3,0,0,'Données projet'!$E$10+1,1))</f>
        <v>411.98877330238821</v>
      </c>
      <c r="AO114" s="62">
        <f t="shared" si="90"/>
        <v>256.4377087753457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-1.1368683772161603E-13</v>
      </c>
      <c r="BE114" s="14">
        <f>BD114*VLOOKUP('Données projet'!$B$11,Paramètres!$A$1:$I$89,3,0)*VLOOKUP('Données projet'!$B$11,Paramètres!$A$1:$I$89,5,0)</f>
        <v>-9.9316821433603781E-14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195.30963433439501</v>
      </c>
      <c r="BJ114" s="62">
        <f t="shared" si="92"/>
        <v>185.00219255324504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8.7829119630859376E-12</v>
      </c>
      <c r="BS114" s="24">
        <f t="shared" si="63"/>
        <v>8.7829119630859376E-12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2.8</v>
      </c>
      <c r="BY114" s="13">
        <f>IF('Données projet'!$A$114&gt;35,BY113+BX114-CG113,IF(A114&lt;'Données projet'!$A$114,$BV$205^A114,IF(A114='Données projet'!$A$114,'Données projet'!$B$114,BY113+BX114-CG113)))</f>
        <v>211.79999999999987</v>
      </c>
      <c r="BZ114" s="14">
        <f>BY114*VLOOKUP('Données projet'!$B$12,Paramètres!$A$1:$I$89,3,0)*VLOOKUP('Données projet'!$B$12,Paramètres!$A$1:$I$89,5,0)</f>
        <v>204.85295999999988</v>
      </c>
      <c r="CA114" s="14">
        <f t="shared" si="93"/>
        <v>50.809208706178609</v>
      </c>
      <c r="CB114" s="22">
        <f t="shared" si="64"/>
        <v>445.27827716326078</v>
      </c>
      <c r="CC114" s="62">
        <f t="shared" si="65"/>
        <v>738.61161049659404</v>
      </c>
      <c r="CD114" s="62">
        <f ca="1">AVERAGE(OFFSET($CC$3,0,0,'Données projet'!$E$12+1,1))-AVERAGE(OFFSET($H$3,0,0,'Données projet'!$E$12+1,1))</f>
        <v>298.18906674058809</v>
      </c>
      <c r="CE114" s="62">
        <f t="shared" si="94"/>
        <v>154.08406475869634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1.9895196601282805E-13</v>
      </c>
      <c r="O115" s="14">
        <f>N115*VLOOKUP('Données projet'!$B$9,Paramètres!$A$1:$I$89,3,0)*VLOOKUP('Données projet'!$B$9,Paramètres!$A$1:$I$89,5,0)</f>
        <v>1.8001173884840681E-13</v>
      </c>
      <c r="P115" s="14">
        <f t="shared" si="87"/>
        <v>2.5254331426407198E-12</v>
      </c>
      <c r="Q115" s="22">
        <f t="shared" si="107"/>
        <v>4.7119831685935622E-12</v>
      </c>
      <c r="R115" s="62">
        <f t="shared" si="55"/>
        <v>293.33333333333803</v>
      </c>
      <c r="S115" s="62">
        <f ca="1">AVERAGE(OFFSET($R$3,0,0,'Données projet'!$E$9+1,1))-AVERAGE(OFFSET($H$3,0,0,'Données projet'!$E$9+1,1))</f>
        <v>302.6112905010138</v>
      </c>
      <c r="T115" s="62">
        <f t="shared" si="88"/>
        <v>423.44006663873375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0.2349980170788756</v>
      </c>
      <c r="AB115" s="23">
        <f>EXP(-LN(2)/2)*AB114+(1-EXP(-LN(2)/2))/(LN(2)/2)*V115*Y115*VLOOKUP('Données projet'!$B$9,Paramètres!$A$1:$I$89,3,0)*0.475*44/12</f>
        <v>2.8808763792012359E-12</v>
      </c>
      <c r="AC115" s="24">
        <f t="shared" si="57"/>
        <v>0.23499801708175649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272.59999999999997</v>
      </c>
      <c r="AJ115" s="14">
        <f>AI115*VLOOKUP('Données projet'!$B$10,Paramètres!$A$1:$I$89,3,0)*VLOOKUP('Données projet'!$B$10,Paramètres!$A$1:$I$89,5,0)</f>
        <v>276.41640000000001</v>
      </c>
      <c r="AK115" s="14">
        <f t="shared" si="89"/>
        <v>66.209124371313408</v>
      </c>
      <c r="AL115" s="22">
        <f t="shared" si="58"/>
        <v>596.7394549467042</v>
      </c>
      <c r="AM115" s="62">
        <f t="shared" si="59"/>
        <v>890.07278828003746</v>
      </c>
      <c r="AN115" s="62">
        <f ca="1">AVERAGE(OFFSET($AM$3,0,0,'Données projet'!$E$10+1,1))-AVERAGE(OFFSET($H$3,0,0,'Données projet'!$E$10+1,1))</f>
        <v>411.98877330238821</v>
      </c>
      <c r="AO115" s="62">
        <f t="shared" si="90"/>
        <v>256.4377087753457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-1.1368683772161603E-13</v>
      </c>
      <c r="BE115" s="14">
        <f>BD115*VLOOKUP('Données projet'!$B$11,Paramètres!$A$1:$I$89,3,0)*VLOOKUP('Données projet'!$B$11,Paramètres!$A$1:$I$89,5,0)</f>
        <v>-9.9316821433603781E-14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195.30963433439501</v>
      </c>
      <c r="BJ115" s="62">
        <f t="shared" si="92"/>
        <v>185.00219255324504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6.2104566076625188E-12</v>
      </c>
      <c r="BS115" s="24">
        <f t="shared" si="63"/>
        <v>6.2104566076625188E-12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2.8</v>
      </c>
      <c r="BY115" s="13">
        <f>IF('Données projet'!$A$114&gt;35,BY114+BX115-CG114,IF(A115&lt;'Données projet'!$A$114,$BV$205^A115,IF(A115='Données projet'!$A$114,'Données projet'!$B$114,BY114+BX115-CG114)))</f>
        <v>214.59999999999988</v>
      </c>
      <c r="BZ115" s="14">
        <f>BY115*VLOOKUP('Données projet'!$B$12,Paramètres!$A$1:$I$89,3,0)*VLOOKUP('Données projet'!$B$12,Paramètres!$A$1:$I$89,5,0)</f>
        <v>207.5611199999999</v>
      </c>
      <c r="CA115" s="14">
        <f t="shared" si="93"/>
        <v>51.40226725537709</v>
      </c>
      <c r="CB115" s="22">
        <f t="shared" si="64"/>
        <v>451.02789946978152</v>
      </c>
      <c r="CC115" s="62">
        <f t="shared" si="65"/>
        <v>744.36123280311483</v>
      </c>
      <c r="CD115" s="62">
        <f ca="1">AVERAGE(OFFSET($CC$3,0,0,'Données projet'!$E$12+1,1))-AVERAGE(OFFSET($H$3,0,0,'Données projet'!$E$12+1,1))</f>
        <v>298.18906674058809</v>
      </c>
      <c r="CE115" s="62">
        <f t="shared" si="94"/>
        <v>154.08406475869634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1.9895196601282805E-13</v>
      </c>
      <c r="O116" s="14">
        <f>N116*VLOOKUP('Données projet'!$B$9,Paramètres!$A$1:$I$89,3,0)*VLOOKUP('Données projet'!$B$9,Paramètres!$A$1:$I$89,5,0)</f>
        <v>1.8001173884840681E-13</v>
      </c>
      <c r="P116" s="14">
        <f t="shared" si="87"/>
        <v>2.5254331426407198E-12</v>
      </c>
      <c r="Q116" s="22">
        <f t="shared" si="107"/>
        <v>4.7119831685935622E-12</v>
      </c>
      <c r="R116" s="62">
        <f t="shared" si="55"/>
        <v>293.33333333333803</v>
      </c>
      <c r="S116" s="62">
        <f ca="1">AVERAGE(OFFSET($R$3,0,0,'Données projet'!$E$9+1,1))-AVERAGE(OFFSET($H$3,0,0,'Données projet'!$E$9+1,1))</f>
        <v>302.6112905010138</v>
      </c>
      <c r="T116" s="62">
        <f t="shared" si="88"/>
        <v>423.44006663873375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0.22857198394384512</v>
      </c>
      <c r="AB116" s="23">
        <f>EXP(-LN(2)/2)*AB115+(1-EXP(-LN(2)/2))/(LN(2)/2)*V116*Y116*VLOOKUP('Données projet'!$B$9,Paramètres!$A$1:$I$89,3,0)*0.475*44/12</f>
        <v>2.0370872234933416E-12</v>
      </c>
      <c r="AC116" s="24">
        <f t="shared" si="57"/>
        <v>0.22857198394588221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276.39999999999998</v>
      </c>
      <c r="AJ116" s="14">
        <f>AI116*VLOOKUP('Données projet'!$B$10,Paramètres!$A$1:$I$89,3,0)*VLOOKUP('Données projet'!$B$10,Paramètres!$A$1:$I$89,5,0)</f>
        <v>280.26960000000003</v>
      </c>
      <c r="AK116" s="14">
        <f t="shared" si="89"/>
        <v>67.023979919595945</v>
      </c>
      <c r="AL116" s="22">
        <f t="shared" si="58"/>
        <v>604.8696516932963</v>
      </c>
      <c r="AM116" s="62">
        <f t="shared" si="59"/>
        <v>898.20298502662968</v>
      </c>
      <c r="AN116" s="62">
        <f ca="1">AVERAGE(OFFSET($AM$3,0,0,'Données projet'!$E$10+1,1))-AVERAGE(OFFSET($H$3,0,0,'Données projet'!$E$10+1,1))</f>
        <v>411.98877330238821</v>
      </c>
      <c r="AO116" s="62">
        <f t="shared" si="90"/>
        <v>256.4377087753457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-1.1368683772161603E-13</v>
      </c>
      <c r="BE116" s="14">
        <f>BD116*VLOOKUP('Données projet'!$B$11,Paramètres!$A$1:$I$89,3,0)*VLOOKUP('Données projet'!$B$11,Paramètres!$A$1:$I$89,5,0)</f>
        <v>-9.9316821433603781E-14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195.30963433439501</v>
      </c>
      <c r="BJ116" s="62">
        <f t="shared" si="92"/>
        <v>185.00219255324504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4.3914559815429688E-12</v>
      </c>
      <c r="BS116" s="24">
        <f t="shared" si="63"/>
        <v>4.3914559815429688E-12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2.8</v>
      </c>
      <c r="BY116" s="13">
        <f>IF('Données projet'!$A$114&gt;35,BY115+BX116-CG115,IF(A116&lt;'Données projet'!$A$114,$BV$205^A116,IF(A116='Données projet'!$A$114,'Données projet'!$B$114,BY115+BX116-CG115)))</f>
        <v>217.39999999999989</v>
      </c>
      <c r="BZ116" s="14">
        <f>BY116*VLOOKUP('Données projet'!$B$12,Paramètres!$A$1:$I$89,3,0)*VLOOKUP('Données projet'!$B$12,Paramètres!$A$1:$I$89,5,0)</f>
        <v>210.2692799999999</v>
      </c>
      <c r="CA116" s="14">
        <f t="shared" si="93"/>
        <v>51.994425763876635</v>
      </c>
      <c r="CB116" s="22">
        <f t="shared" si="64"/>
        <v>456.77595420541826</v>
      </c>
      <c r="CC116" s="62">
        <f t="shared" si="65"/>
        <v>750.10928753875157</v>
      </c>
      <c r="CD116" s="62">
        <f ca="1">AVERAGE(OFFSET($CC$3,0,0,'Données projet'!$E$12+1,1))-AVERAGE(OFFSET($H$3,0,0,'Données projet'!$E$12+1,1))</f>
        <v>298.18906674058809</v>
      </c>
      <c r="CE116" s="62">
        <f t="shared" si="94"/>
        <v>154.08406475869634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1.9895196601282805E-13</v>
      </c>
      <c r="O117" s="14">
        <f>N117*VLOOKUP('Données projet'!$B$9,Paramètres!$A$1:$I$89,3,0)*VLOOKUP('Données projet'!$B$9,Paramètres!$A$1:$I$89,5,0)</f>
        <v>1.8001173884840681E-13</v>
      </c>
      <c r="P117" s="14">
        <f t="shared" si="87"/>
        <v>2.5254331426407198E-12</v>
      </c>
      <c r="Q117" s="22">
        <f t="shared" si="107"/>
        <v>4.7119831685935622E-12</v>
      </c>
      <c r="R117" s="62">
        <f t="shared" si="55"/>
        <v>293.33333333333803</v>
      </c>
      <c r="S117" s="62">
        <f ca="1">AVERAGE(OFFSET($R$3,0,0,'Données projet'!$E$9+1,1))-AVERAGE(OFFSET($H$3,0,0,'Données projet'!$E$9+1,1))</f>
        <v>302.6112905010138</v>
      </c>
      <c r="T117" s="62">
        <f t="shared" si="88"/>
        <v>423.44006663873375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0.22232167102282244</v>
      </c>
      <c r="AB117" s="23">
        <f>EXP(-LN(2)/2)*AB116+(1-EXP(-LN(2)/2))/(LN(2)/2)*V117*Y117*VLOOKUP('Données projet'!$B$9,Paramètres!$A$1:$I$89,3,0)*0.475*44/12</f>
        <v>1.4404381896006179E-12</v>
      </c>
      <c r="AC117" s="24">
        <f t="shared" si="57"/>
        <v>0.22232167102426287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280.2</v>
      </c>
      <c r="AJ117" s="14">
        <f>AI117*VLOOKUP('Données projet'!$B$10,Paramètres!$A$1:$I$89,3,0)*VLOOKUP('Données projet'!$B$10,Paramètres!$A$1:$I$89,5,0)</f>
        <v>284.12279999999998</v>
      </c>
      <c r="AK117" s="14">
        <f t="shared" si="89"/>
        <v>67.837532462585557</v>
      </c>
      <c r="AL117" s="22">
        <f t="shared" si="58"/>
        <v>612.99757903900309</v>
      </c>
      <c r="AM117" s="62">
        <f t="shared" si="59"/>
        <v>906.33091237233634</v>
      </c>
      <c r="AN117" s="62">
        <f ca="1">AVERAGE(OFFSET($AM$3,0,0,'Données projet'!$E$10+1,1))-AVERAGE(OFFSET($H$3,0,0,'Données projet'!$E$10+1,1))</f>
        <v>411.98877330238821</v>
      </c>
      <c r="AO117" s="62">
        <f t="shared" si="90"/>
        <v>256.4377087753457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-1.1368683772161603E-13</v>
      </c>
      <c r="BE117" s="14">
        <f>BD117*VLOOKUP('Données projet'!$B$11,Paramètres!$A$1:$I$89,3,0)*VLOOKUP('Données projet'!$B$11,Paramètres!$A$1:$I$89,5,0)</f>
        <v>-9.9316821433603781E-14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195.30963433439501</v>
      </c>
      <c r="BJ117" s="62">
        <f t="shared" si="92"/>
        <v>185.00219255324504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3.1052283038312594E-12</v>
      </c>
      <c r="BS117" s="24">
        <f t="shared" si="63"/>
        <v>3.1052283038312594E-12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2.8</v>
      </c>
      <c r="BY117" s="13">
        <f>IF('Données projet'!$A$114&gt;35,BY116+BX117-CG116,IF(A117&lt;'Données projet'!$A$114,$BV$205^A117,IF(A117='Données projet'!$A$114,'Données projet'!$B$114,BY116+BX117-CG116)))</f>
        <v>220.1999999999999</v>
      </c>
      <c r="BZ117" s="14">
        <f>BY117*VLOOKUP('Données projet'!$B$12,Paramètres!$A$1:$I$89,3,0)*VLOOKUP('Données projet'!$B$12,Paramètres!$A$1:$I$89,5,0)</f>
        <v>212.97743999999992</v>
      </c>
      <c r="CA117" s="14">
        <f t="shared" si="93"/>
        <v>52.585697164076983</v>
      </c>
      <c r="CB117" s="22">
        <f t="shared" si="64"/>
        <v>462.52246389410061</v>
      </c>
      <c r="CC117" s="62">
        <f t="shared" si="65"/>
        <v>755.85579722743387</v>
      </c>
      <c r="CD117" s="62">
        <f ca="1">AVERAGE(OFFSET($CC$3,0,0,'Données projet'!$E$12+1,1))-AVERAGE(OFFSET($H$3,0,0,'Données projet'!$E$12+1,1))</f>
        <v>298.18906674058809</v>
      </c>
      <c r="CE117" s="62">
        <f t="shared" si="94"/>
        <v>154.08406475869634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1.9895196601282805E-13</v>
      </c>
      <c r="O118" s="14">
        <f>N118*VLOOKUP('Données projet'!$B$9,Paramètres!$A$1:$I$89,3,0)*VLOOKUP('Données projet'!$B$9,Paramètres!$A$1:$I$89,5,0)</f>
        <v>1.8001173884840681E-13</v>
      </c>
      <c r="P118" s="14">
        <f t="shared" si="87"/>
        <v>2.5254331426407198E-12</v>
      </c>
      <c r="Q118" s="22">
        <f t="shared" si="107"/>
        <v>4.7119831685935622E-12</v>
      </c>
      <c r="R118" s="62">
        <f t="shared" si="55"/>
        <v>293.33333333333803</v>
      </c>
      <c r="S118" s="62">
        <f ca="1">AVERAGE(OFFSET($R$3,0,0,'Données projet'!$E$9+1,1))-AVERAGE(OFFSET($H$3,0,0,'Données projet'!$E$9+1,1))</f>
        <v>302.6112905010138</v>
      </c>
      <c r="T118" s="62">
        <f t="shared" si="88"/>
        <v>423.44006663873375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0.21624227323731479</v>
      </c>
      <c r="AB118" s="23">
        <f>EXP(-LN(2)/2)*AB117+(1-EXP(-LN(2)/2))/(LN(2)/2)*V118*Y118*VLOOKUP('Données projet'!$B$9,Paramètres!$A$1:$I$89,3,0)*0.475*44/12</f>
        <v>1.0185436117466708E-12</v>
      </c>
      <c r="AC118" s="24">
        <f t="shared" si="57"/>
        <v>0.21624227323833334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284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284</v>
      </c>
      <c r="AJ118" s="14">
        <f>AI118*VLOOKUP('Données projet'!$B$10,Paramètres!$A$1:$I$89,3,0)*VLOOKUP('Données projet'!$B$10,Paramètres!$A$1:$I$89,5,0)</f>
        <v>287.976</v>
      </c>
      <c r="AK118" s="14">
        <f t="shared" si="89"/>
        <v>68.649801713863141</v>
      </c>
      <c r="AL118" s="22">
        <f t="shared" si="58"/>
        <v>621.12327131831159</v>
      </c>
      <c r="AM118" s="62">
        <f t="shared" si="59"/>
        <v>914.45660465164497</v>
      </c>
      <c r="AN118" s="62">
        <f ca="1">AVERAGE(OFFSET($AM$3,0,0,'Données projet'!$E$10+1,1))-AVERAGE(OFFSET($H$3,0,0,'Données projet'!$E$10+1,1))</f>
        <v>411.98877330238821</v>
      </c>
      <c r="AO118" s="62">
        <f t="shared" si="90"/>
        <v>256.4377087753457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18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-1.1368683772161603E-13</v>
      </c>
      <c r="BE118" s="14">
        <f>BD118*VLOOKUP('Données projet'!$B$11,Paramètres!$A$1:$I$89,3,0)*VLOOKUP('Données projet'!$B$11,Paramètres!$A$1:$I$89,5,0)</f>
        <v>-9.9316821433603781E-14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195.30963433439501</v>
      </c>
      <c r="BJ118" s="62">
        <f t="shared" si="92"/>
        <v>185.00219255324504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2.1957279907714844E-12</v>
      </c>
      <c r="BS118" s="24">
        <f t="shared" si="63"/>
        <v>2.1957279907714844E-12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223</v>
      </c>
      <c r="BW118" s="13">
        <f>VLOOKUP(A118,'Données projet'!$A$113:$I$133,9,0)</f>
        <v>2.8</v>
      </c>
      <c r="BX118" s="13">
        <f t="array" ref="BX118">INDEX(BW:BW,MIN(IF(ISNUMBER(BW118:BW314),ROW(BW118:BW314),"")))</f>
        <v>2.8</v>
      </c>
      <c r="BY118" s="13">
        <f>IF('Données projet'!$A$114&gt;35,BY117+BX118-CG117,IF(A118&lt;'Données projet'!$A$114,$BV$205^A118,IF(A118='Données projet'!$A$114,'Données projet'!$B$114,BY117+BX118-CG117)))</f>
        <v>222.99999999999991</v>
      </c>
      <c r="BZ118" s="14">
        <f>BY118*VLOOKUP('Données projet'!$B$12,Paramètres!$A$1:$I$89,3,0)*VLOOKUP('Données projet'!$B$12,Paramètres!$A$1:$I$89,5,0)</f>
        <v>215.68559999999991</v>
      </c>
      <c r="CA118" s="14">
        <f t="shared" si="93"/>
        <v>53.176094040576679</v>
      </c>
      <c r="CB118" s="22">
        <f t="shared" si="64"/>
        <v>468.26745045400418</v>
      </c>
      <c r="CC118" s="62">
        <f t="shared" si="65"/>
        <v>761.60078378733749</v>
      </c>
      <c r="CD118" s="62">
        <f ca="1">AVERAGE(OFFSET($CC$3,0,0,'Données projet'!$E$12+1,1))-AVERAGE(OFFSET($H$3,0,0,'Données projet'!$E$12+1,1))</f>
        <v>298.18906674058809</v>
      </c>
      <c r="CE118" s="62">
        <f t="shared" si="94"/>
        <v>154.08406475869634</v>
      </c>
      <c r="CF118" s="16">
        <f>IF(ISNA(VLOOKUP(A118,'Données projet'!$A$113:$I$133,3,0)),0,VLOOKUP(A118,'Données projet'!$A$113:$I$133,3,0))</f>
        <v>19</v>
      </c>
      <c r="CG118" s="16">
        <f>IF(ISNA(VLOOKUP(A118,'Données projet'!$A$113:$I$133,4,0)),0,VLOOKUP(A118,'Données projet'!$A$113:$I$133,4,0))</f>
        <v>13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1.9895196601282805E-13</v>
      </c>
      <c r="O119" s="14">
        <f>N119*VLOOKUP('Données projet'!$B$9,Paramètres!$A$1:$I$89,3,0)*VLOOKUP('Données projet'!$B$9,Paramètres!$A$1:$I$89,5,0)</f>
        <v>1.8001173884840681E-13</v>
      </c>
      <c r="P119" s="14">
        <f t="shared" si="87"/>
        <v>2.5254331426407198E-12</v>
      </c>
      <c r="Q119" s="22">
        <f t="shared" si="107"/>
        <v>4.7119831685935622E-12</v>
      </c>
      <c r="R119" s="62">
        <f t="shared" si="55"/>
        <v>293.33333333333803</v>
      </c>
      <c r="S119" s="62">
        <f ca="1">AVERAGE(OFFSET($R$3,0,0,'Données projet'!$E$9+1,1))-AVERAGE(OFFSET($H$3,0,0,'Données projet'!$E$9+1,1))</f>
        <v>302.6112905010138</v>
      </c>
      <c r="T119" s="62">
        <f t="shared" si="88"/>
        <v>423.44006663873375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0.21032911690395351</v>
      </c>
      <c r="AB119" s="23">
        <f>EXP(-LN(2)/2)*AB118+(1-EXP(-LN(2)/2))/(LN(2)/2)*V119*Y119*VLOOKUP('Données projet'!$B$9,Paramètres!$A$1:$I$89,3,0)*0.475*44/12</f>
        <v>7.2021909480030896E-13</v>
      </c>
      <c r="AC119" s="24">
        <f t="shared" si="57"/>
        <v>0.21032911690467374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3.6</v>
      </c>
      <c r="AI119" s="14">
        <f>IF('Données projet'!$A$62&gt;35,AI118+AH119-AQ118,IF(A119&lt;'Données projet'!$A$62,$AF$205^A119,IF(A119='Données projet'!$A$62,'Données projet'!$B$62,AI118+AH119-AQ118)))</f>
        <v>269.60000000000002</v>
      </c>
      <c r="AJ119" s="14">
        <f>AI119*VLOOKUP('Données projet'!$B$10,Paramètres!$A$1:$I$89,3,0)*VLOOKUP('Données projet'!$B$10,Paramètres!$A$1:$I$89,5,0)</f>
        <v>273.37440000000004</v>
      </c>
      <c r="AK119" s="14">
        <f t="shared" si="89"/>
        <v>65.564883644654444</v>
      </c>
      <c r="AL119" s="22">
        <f t="shared" si="58"/>
        <v>590.31925234777316</v>
      </c>
      <c r="AM119" s="62">
        <f t="shared" si="59"/>
        <v>883.65258568110653</v>
      </c>
      <c r="AN119" s="62">
        <f ca="1">AVERAGE(OFFSET($AM$3,0,0,'Données projet'!$E$10+1,1))-AVERAGE(OFFSET($H$3,0,0,'Données projet'!$E$10+1,1))</f>
        <v>411.98877330238821</v>
      </c>
      <c r="AO119" s="62">
        <f t="shared" si="90"/>
        <v>256.4377087753457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-1.1368683772161603E-13</v>
      </c>
      <c r="BE119" s="14">
        <f>BD119*VLOOKUP('Données projet'!$B$11,Paramètres!$A$1:$I$89,3,0)*VLOOKUP('Données projet'!$B$11,Paramètres!$A$1:$I$89,5,0)</f>
        <v>-9.9316821433603781E-14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195.30963433439501</v>
      </c>
      <c r="BJ119" s="62">
        <f t="shared" si="92"/>
        <v>185.00219255324504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1.5526141519156297E-12</v>
      </c>
      <c r="BS119" s="24">
        <f t="shared" si="63"/>
        <v>1.5526141519156297E-12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2.4</v>
      </c>
      <c r="BY119" s="13">
        <f>IF('Données projet'!$A$114&gt;35,BY118+BX119-CG118,IF(A119&lt;'Données projet'!$A$114,$BV$205^A119,IF(A119='Données projet'!$A$114,'Données projet'!$B$114,BY118+BX119-CG118)))</f>
        <v>212.39999999999992</v>
      </c>
      <c r="BZ119" s="14">
        <f>BY119*VLOOKUP('Données projet'!$B$12,Paramètres!$A$1:$I$89,3,0)*VLOOKUP('Données projet'!$B$12,Paramètres!$A$1:$I$89,5,0)</f>
        <v>205.43327999999994</v>
      </c>
      <c r="CA119" s="14">
        <f t="shared" si="93"/>
        <v>50.93636911028532</v>
      </c>
      <c r="CB119" s="22">
        <f t="shared" si="64"/>
        <v>446.51047220041346</v>
      </c>
      <c r="CC119" s="62">
        <f t="shared" si="65"/>
        <v>739.84380553374672</v>
      </c>
      <c r="CD119" s="62">
        <f ca="1">AVERAGE(OFFSET($CC$3,0,0,'Données projet'!$E$12+1,1))-AVERAGE(OFFSET($H$3,0,0,'Données projet'!$E$12+1,1))</f>
        <v>298.18906674058809</v>
      </c>
      <c r="CE119" s="62">
        <f t="shared" si="94"/>
        <v>154.08406475869634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1.9895196601282805E-13</v>
      </c>
      <c r="O120" s="14">
        <f>N120*VLOOKUP('Données projet'!$B$9,Paramètres!$A$1:$I$89,3,0)*VLOOKUP('Données projet'!$B$9,Paramètres!$A$1:$I$89,5,0)</f>
        <v>1.8001173884840681E-13</v>
      </c>
      <c r="P120" s="14">
        <f t="shared" si="87"/>
        <v>2.5254331426407198E-12</v>
      </c>
      <c r="Q120" s="22">
        <f t="shared" si="107"/>
        <v>4.7119831685935622E-12</v>
      </c>
      <c r="R120" s="62">
        <f t="shared" si="55"/>
        <v>293.33333333333803</v>
      </c>
      <c r="S120" s="62">
        <f ca="1">AVERAGE(OFFSET($R$3,0,0,'Données projet'!$E$9+1,1))-AVERAGE(OFFSET($H$3,0,0,'Données projet'!$E$9+1,1))</f>
        <v>302.6112905010138</v>
      </c>
      <c r="T120" s="62">
        <f t="shared" si="88"/>
        <v>423.44006663873375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0.20457765614148735</v>
      </c>
      <c r="AB120" s="23">
        <f>EXP(-LN(2)/2)*AB119+(1-EXP(-LN(2)/2))/(LN(2)/2)*V120*Y120*VLOOKUP('Données projet'!$B$9,Paramètres!$A$1:$I$89,3,0)*0.475*44/12</f>
        <v>5.0927180587333539E-13</v>
      </c>
      <c r="AC120" s="24">
        <f t="shared" si="57"/>
        <v>0.20457765614199661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3.6</v>
      </c>
      <c r="AI120" s="14">
        <f>IF('Données projet'!$A$62&gt;35,AI119+AH120-AQ119,IF(A120&lt;'Données projet'!$A$62,$AF$205^A120,IF(A120='Données projet'!$A$62,'Données projet'!$B$62,AI119+AH120-AQ119)))</f>
        <v>273.20000000000005</v>
      </c>
      <c r="AJ120" s="14">
        <f>AI120*VLOOKUP('Données projet'!$B$10,Paramètres!$A$1:$I$89,3,0)*VLOOKUP('Données projet'!$B$10,Paramètres!$A$1:$I$89,5,0)</f>
        <v>277.02480000000008</v>
      </c>
      <c r="AK120" s="14">
        <f t="shared" si="89"/>
        <v>66.337873221533528</v>
      </c>
      <c r="AL120" s="22">
        <f t="shared" si="58"/>
        <v>598.02332252750432</v>
      </c>
      <c r="AM120" s="62">
        <f t="shared" si="59"/>
        <v>891.35665586083769</v>
      </c>
      <c r="AN120" s="62">
        <f ca="1">AVERAGE(OFFSET($AM$3,0,0,'Données projet'!$E$10+1,1))-AVERAGE(OFFSET($H$3,0,0,'Données projet'!$E$10+1,1))</f>
        <v>411.98877330238821</v>
      </c>
      <c r="AO120" s="62">
        <f t="shared" si="90"/>
        <v>256.4377087753457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-1.1368683772161603E-13</v>
      </c>
      <c r="BE120" s="14">
        <f>BD120*VLOOKUP('Données projet'!$B$11,Paramètres!$A$1:$I$89,3,0)*VLOOKUP('Données projet'!$B$11,Paramètres!$A$1:$I$89,5,0)</f>
        <v>-9.9316821433603781E-14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195.30963433439501</v>
      </c>
      <c r="BJ120" s="62">
        <f t="shared" si="92"/>
        <v>185.00219255324504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1.0978639953857422E-12</v>
      </c>
      <c r="BS120" s="24">
        <f t="shared" si="63"/>
        <v>1.0978639953857422E-12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2.4</v>
      </c>
      <c r="BY120" s="13">
        <f>IF('Données projet'!$A$114&gt;35,BY119+BX120-CG119,IF(A120&lt;'Données projet'!$A$114,$BV$205^A120,IF(A120='Données projet'!$A$114,'Données projet'!$B$114,BY119+BX120-CG119)))</f>
        <v>214.79999999999993</v>
      </c>
      <c r="BZ120" s="14">
        <f>BY120*VLOOKUP('Données projet'!$B$12,Paramètres!$A$1:$I$89,3,0)*VLOOKUP('Données projet'!$B$12,Paramètres!$A$1:$I$89,5,0)</f>
        <v>207.75455999999994</v>
      </c>
      <c r="CA120" s="14">
        <f t="shared" si="93"/>
        <v>51.444593984782131</v>
      </c>
      <c r="CB120" s="22">
        <f t="shared" si="64"/>
        <v>451.43852652349545</v>
      </c>
      <c r="CC120" s="62">
        <f t="shared" si="65"/>
        <v>744.77185985682877</v>
      </c>
      <c r="CD120" s="62">
        <f ca="1">AVERAGE(OFFSET($CC$3,0,0,'Données projet'!$E$12+1,1))-AVERAGE(OFFSET($H$3,0,0,'Données projet'!$E$12+1,1))</f>
        <v>298.18906674058809</v>
      </c>
      <c r="CE120" s="62">
        <f t="shared" si="94"/>
        <v>154.08406475869634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1.9895196601282805E-13</v>
      </c>
      <c r="O121" s="14">
        <f>N121*VLOOKUP('Données projet'!$B$9,Paramètres!$A$1:$I$89,3,0)*VLOOKUP('Données projet'!$B$9,Paramètres!$A$1:$I$89,5,0)</f>
        <v>1.8001173884840681E-13</v>
      </c>
      <c r="P121" s="14">
        <f t="shared" si="87"/>
        <v>2.5254331426407198E-12</v>
      </c>
      <c r="Q121" s="22">
        <f t="shared" si="107"/>
        <v>4.7119831685935622E-12</v>
      </c>
      <c r="R121" s="62">
        <f t="shared" si="55"/>
        <v>293.33333333333803</v>
      </c>
      <c r="S121" s="62">
        <f ca="1">AVERAGE(OFFSET($R$3,0,0,'Données projet'!$E$9+1,1))-AVERAGE(OFFSET($H$3,0,0,'Données projet'!$E$9+1,1))</f>
        <v>302.6112905010138</v>
      </c>
      <c r="T121" s="62">
        <f t="shared" si="88"/>
        <v>423.44006663873375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0.19898346937602701</v>
      </c>
      <c r="AB121" s="23">
        <f>EXP(-LN(2)/2)*AB120+(1-EXP(-LN(2)/2))/(LN(2)/2)*V121*Y121*VLOOKUP('Données projet'!$B$9,Paramètres!$A$1:$I$89,3,0)*0.475*44/12</f>
        <v>3.6010954740015448E-13</v>
      </c>
      <c r="AC121" s="24">
        <f t="shared" si="57"/>
        <v>0.19898346937638711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3.6</v>
      </c>
      <c r="AI121" s="14">
        <f>IF('Données projet'!$A$62&gt;35,AI120+AH121-AQ120,IF(A121&lt;'Données projet'!$A$62,$AF$205^A121,IF(A121='Données projet'!$A$62,'Données projet'!$B$62,AI120+AH121-AQ120)))</f>
        <v>276.80000000000007</v>
      </c>
      <c r="AJ121" s="14">
        <f>AI121*VLOOKUP('Données projet'!$B$10,Paramètres!$A$1:$I$89,3,0)*VLOOKUP('Données projet'!$B$10,Paramètres!$A$1:$I$89,5,0)</f>
        <v>280.67520000000007</v>
      </c>
      <c r="AK121" s="14">
        <f t="shared" si="89"/>
        <v>67.109678043026491</v>
      </c>
      <c r="AL121" s="22">
        <f t="shared" si="58"/>
        <v>605.72532925827124</v>
      </c>
      <c r="AM121" s="62">
        <f t="shared" si="59"/>
        <v>899.05866259160462</v>
      </c>
      <c r="AN121" s="62">
        <f ca="1">AVERAGE(OFFSET($AM$3,0,0,'Données projet'!$E$10+1,1))-AVERAGE(OFFSET($H$3,0,0,'Données projet'!$E$10+1,1))</f>
        <v>411.98877330238821</v>
      </c>
      <c r="AO121" s="62">
        <f t="shared" si="90"/>
        <v>256.4377087753457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-1.1368683772161603E-13</v>
      </c>
      <c r="BE121" s="14">
        <f>BD121*VLOOKUP('Données projet'!$B$11,Paramètres!$A$1:$I$89,3,0)*VLOOKUP('Données projet'!$B$11,Paramètres!$A$1:$I$89,5,0)</f>
        <v>-9.9316821433603781E-14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195.30963433439501</v>
      </c>
      <c r="BJ121" s="62">
        <f t="shared" si="92"/>
        <v>185.00219255324504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7.7630707595781485E-13</v>
      </c>
      <c r="BS121" s="24">
        <f t="shared" si="63"/>
        <v>7.7630707595781485E-13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2.4</v>
      </c>
      <c r="BY121" s="13">
        <f>IF('Données projet'!$A$114&gt;35,BY120+BX121-CG120,IF(A121&lt;'Données projet'!$A$114,$BV$205^A121,IF(A121='Données projet'!$A$114,'Données projet'!$B$114,BY120+BX121-CG120)))</f>
        <v>217.19999999999993</v>
      </c>
      <c r="BZ121" s="14">
        <f>BY121*VLOOKUP('Données projet'!$B$12,Paramètres!$A$1:$I$89,3,0)*VLOOKUP('Données projet'!$B$12,Paramètres!$A$1:$I$89,5,0)</f>
        <v>210.07583999999994</v>
      </c>
      <c r="CA121" s="14">
        <f t="shared" si="93"/>
        <v>51.952158298115599</v>
      </c>
      <c r="CB121" s="22">
        <f t="shared" si="64"/>
        <v>456.3654303692179</v>
      </c>
      <c r="CC121" s="62">
        <f t="shared" si="65"/>
        <v>749.69876370255122</v>
      </c>
      <c r="CD121" s="62">
        <f ca="1">AVERAGE(OFFSET($CC$3,0,0,'Données projet'!$E$12+1,1))-AVERAGE(OFFSET($H$3,0,0,'Données projet'!$E$12+1,1))</f>
        <v>298.18906674058809</v>
      </c>
      <c r="CE121" s="62">
        <f t="shared" si="94"/>
        <v>154.08406475869634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1.9895196601282805E-13</v>
      </c>
      <c r="O122" s="14">
        <f>N122*VLOOKUP('Données projet'!$B$9,Paramètres!$A$1:$I$89,3,0)*VLOOKUP('Données projet'!$B$9,Paramètres!$A$1:$I$89,5,0)</f>
        <v>1.8001173884840681E-13</v>
      </c>
      <c r="P122" s="14">
        <f t="shared" si="87"/>
        <v>2.5254331426407198E-12</v>
      </c>
      <c r="Q122" s="22">
        <f t="shared" si="107"/>
        <v>4.7119831685935622E-12</v>
      </c>
      <c r="R122" s="62">
        <f t="shared" si="55"/>
        <v>293.33333333333803</v>
      </c>
      <c r="S122" s="62">
        <f ca="1">AVERAGE(OFFSET($R$3,0,0,'Données projet'!$E$9+1,1))-AVERAGE(OFFSET($H$3,0,0,'Données projet'!$E$9+1,1))</f>
        <v>302.6112905010138</v>
      </c>
      <c r="T122" s="62">
        <f t="shared" si="88"/>
        <v>423.44006663873375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0.19354225594185367</v>
      </c>
      <c r="AB122" s="23">
        <f>EXP(-LN(2)/2)*AB121+(1-EXP(-LN(2)/2))/(LN(2)/2)*V122*Y122*VLOOKUP('Données projet'!$B$9,Paramètres!$A$1:$I$89,3,0)*0.475*44/12</f>
        <v>2.546359029366677E-13</v>
      </c>
      <c r="AC122" s="24">
        <f t="shared" si="57"/>
        <v>0.1935422559421083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3.6</v>
      </c>
      <c r="AI122" s="14">
        <f>IF('Données projet'!$A$62&gt;35,AI121+AH122-AQ121,IF(A122&lt;'Données projet'!$A$62,$AF$205^A122,IF(A122='Données projet'!$A$62,'Données projet'!$B$62,AI121+AH122-AQ121)))</f>
        <v>280.40000000000009</v>
      </c>
      <c r="AJ122" s="14">
        <f>AI122*VLOOKUP('Données projet'!$B$10,Paramètres!$A$1:$I$89,3,0)*VLOOKUP('Données projet'!$B$10,Paramètres!$A$1:$I$89,5,0)</f>
        <v>284.32560000000012</v>
      </c>
      <c r="AK122" s="14">
        <f t="shared" si="89"/>
        <v>67.880315299331201</v>
      </c>
      <c r="AL122" s="22">
        <f t="shared" si="58"/>
        <v>613.42530247966863</v>
      </c>
      <c r="AM122" s="62">
        <f t="shared" si="59"/>
        <v>906.758635813002</v>
      </c>
      <c r="AN122" s="62">
        <f ca="1">AVERAGE(OFFSET($AM$3,0,0,'Données projet'!$E$10+1,1))-AVERAGE(OFFSET($H$3,0,0,'Données projet'!$E$10+1,1))</f>
        <v>411.98877330238821</v>
      </c>
      <c r="AO122" s="62">
        <f t="shared" si="90"/>
        <v>256.4377087753457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-1.1368683772161603E-13</v>
      </c>
      <c r="BE122" s="14">
        <f>BD122*VLOOKUP('Données projet'!$B$11,Paramètres!$A$1:$I$89,3,0)*VLOOKUP('Données projet'!$B$11,Paramètres!$A$1:$I$89,5,0)</f>
        <v>-9.9316821433603781E-14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195.30963433439501</v>
      </c>
      <c r="BJ122" s="62">
        <f t="shared" si="92"/>
        <v>185.00219255324504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5.489319976928711E-13</v>
      </c>
      <c r="BS122" s="24">
        <f t="shared" si="63"/>
        <v>5.489319976928711E-13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2.4</v>
      </c>
      <c r="BY122" s="13">
        <f>IF('Données projet'!$A$114&gt;35,BY121+BX122-CG121,IF(A122&lt;'Données projet'!$A$114,$BV$205^A122,IF(A122='Données projet'!$A$114,'Données projet'!$B$114,BY121+BX122-CG121)))</f>
        <v>219.59999999999994</v>
      </c>
      <c r="BZ122" s="14">
        <f>BY122*VLOOKUP('Données projet'!$B$12,Paramètres!$A$1:$I$89,3,0)*VLOOKUP('Données projet'!$B$12,Paramètres!$A$1:$I$89,5,0)</f>
        <v>212.39711999999994</v>
      </c>
      <c r="CA122" s="14">
        <f t="shared" si="93"/>
        <v>52.459070194004759</v>
      </c>
      <c r="CB122" s="22">
        <f t="shared" si="64"/>
        <v>461.29119792122486</v>
      </c>
      <c r="CC122" s="62">
        <f t="shared" si="65"/>
        <v>754.62453125455818</v>
      </c>
      <c r="CD122" s="62">
        <f ca="1">AVERAGE(OFFSET($CC$3,0,0,'Données projet'!$E$12+1,1))-AVERAGE(OFFSET($H$3,0,0,'Données projet'!$E$12+1,1))</f>
        <v>298.18906674058809</v>
      </c>
      <c r="CE122" s="62">
        <f t="shared" si="94"/>
        <v>154.08406475869634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1.9895196601282805E-13</v>
      </c>
      <c r="O123" s="14">
        <f>N123*VLOOKUP('Données projet'!$B$9,Paramètres!$A$1:$I$89,3,0)*VLOOKUP('Données projet'!$B$9,Paramètres!$A$1:$I$89,5,0)</f>
        <v>1.8001173884840681E-13</v>
      </c>
      <c r="P123" s="14">
        <f t="shared" si="87"/>
        <v>2.5254331426407198E-12</v>
      </c>
      <c r="Q123" s="22">
        <f t="shared" si="107"/>
        <v>4.7119831685935622E-12</v>
      </c>
      <c r="R123" s="62">
        <f t="shared" si="55"/>
        <v>293.33333333333803</v>
      </c>
      <c r="S123" s="62">
        <f ca="1">AVERAGE(OFFSET($R$3,0,0,'Données projet'!$E$9+1,1))-AVERAGE(OFFSET($H$3,0,0,'Données projet'!$E$9+1,1))</f>
        <v>302.6112905010138</v>
      </c>
      <c r="T123" s="62">
        <f t="shared" si="88"/>
        <v>423.44006663873375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0.18824983277517879</v>
      </c>
      <c r="AB123" s="23">
        <f>EXP(-LN(2)/2)*AB122+(1-EXP(-LN(2)/2))/(LN(2)/2)*V123*Y123*VLOOKUP('Données projet'!$B$9,Paramètres!$A$1:$I$89,3,0)*0.475*44/12</f>
        <v>1.8005477370007724E-13</v>
      </c>
      <c r="AC123" s="24">
        <f t="shared" si="57"/>
        <v>0.18824983277535884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284</v>
      </c>
      <c r="AG123" s="13">
        <f>VLOOKUP(A123,'Données projet'!$A$61:$I$81,9,0)</f>
        <v>3.6</v>
      </c>
      <c r="AH123" s="13">
        <f t="array" ref="AH123">INDEX(AG:AG,MIN(IF(ISNUMBER(AG123:AG319),ROW(AG123:AG319),"")))</f>
        <v>3.6</v>
      </c>
      <c r="AI123" s="14">
        <f>IF('Données projet'!$A$62&gt;35,AI122+AH123-AQ122,IF(A123&lt;'Données projet'!$A$62,$AF$205^A123,IF(A123='Données projet'!$A$62,'Données projet'!$B$62,AI122+AH123-AQ122)))</f>
        <v>284.00000000000011</v>
      </c>
      <c r="AJ123" s="14">
        <f>AI123*VLOOKUP('Données projet'!$B$10,Paramètres!$A$1:$I$89,3,0)*VLOOKUP('Données projet'!$B$10,Paramètres!$A$1:$I$89,5,0)</f>
        <v>287.97600000000011</v>
      </c>
      <c r="AK123" s="14">
        <f t="shared" si="89"/>
        <v>68.649801713863141</v>
      </c>
      <c r="AL123" s="22">
        <f t="shared" si="58"/>
        <v>621.12327131831182</v>
      </c>
      <c r="AM123" s="62">
        <f t="shared" si="59"/>
        <v>914.45660465164519</v>
      </c>
      <c r="AN123" s="62">
        <f ca="1">AVERAGE(OFFSET($AM$3,0,0,'Données projet'!$E$10+1,1))-AVERAGE(OFFSET($H$3,0,0,'Données projet'!$E$10+1,1))</f>
        <v>411.98877330238821</v>
      </c>
      <c r="AO123" s="62">
        <f t="shared" si="90"/>
        <v>256.4377087753457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284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-1.1368683772161603E-13</v>
      </c>
      <c r="BE123" s="14">
        <f>BD123*VLOOKUP('Données projet'!$B$11,Paramètres!$A$1:$I$89,3,0)*VLOOKUP('Données projet'!$B$11,Paramètres!$A$1:$I$89,5,0)</f>
        <v>-9.9316821433603781E-14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195.30963433439501</v>
      </c>
      <c r="BJ123" s="62">
        <f t="shared" si="92"/>
        <v>185.00219255324504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3.8815353797890742E-13</v>
      </c>
      <c r="BS123" s="24">
        <f t="shared" si="63"/>
        <v>3.8815353797890742E-13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222</v>
      </c>
      <c r="BW123" s="13">
        <f>VLOOKUP(A123,'Données projet'!$A$113:$I$133,9,0)</f>
        <v>2.4</v>
      </c>
      <c r="BX123" s="13">
        <f t="array" ref="BX123">INDEX(BW:BW,MIN(IF(ISNUMBER(BW123:BW319),ROW(BW123:BW319),"")))</f>
        <v>2.4</v>
      </c>
      <c r="BY123" s="13">
        <f>IF('Données projet'!$A$114&gt;35,BY122+BX123-CG122,IF(A123&lt;'Données projet'!$A$114,$BV$205^A123,IF(A123='Données projet'!$A$114,'Données projet'!$B$114,BY122+BX123-CG122)))</f>
        <v>221.99999999999994</v>
      </c>
      <c r="BZ123" s="14">
        <f>BY123*VLOOKUP('Données projet'!$B$12,Paramètres!$A$1:$I$89,3,0)*VLOOKUP('Données projet'!$B$12,Paramètres!$A$1:$I$89,5,0)</f>
        <v>214.71839999999995</v>
      </c>
      <c r="CA123" s="14">
        <f t="shared" si="93"/>
        <v>52.965337627912746</v>
      </c>
      <c r="CB123" s="22">
        <f t="shared" si="64"/>
        <v>466.2158430352813</v>
      </c>
      <c r="CC123" s="62">
        <f t="shared" si="65"/>
        <v>759.54917636861455</v>
      </c>
      <c r="CD123" s="62">
        <f ca="1">AVERAGE(OFFSET($CC$3,0,0,'Données projet'!$E$12+1,1))-AVERAGE(OFFSET($H$3,0,0,'Données projet'!$E$12+1,1))</f>
        <v>298.18906674058809</v>
      </c>
      <c r="CE123" s="62">
        <f t="shared" si="94"/>
        <v>154.08406475869634</v>
      </c>
      <c r="CF123" s="16">
        <f>IF(ISNA(VLOOKUP(A123,'Données projet'!$A$113:$I$133,3,0)),0,VLOOKUP(A123,'Données projet'!$A$113:$I$133,3,0))</f>
        <v>20</v>
      </c>
      <c r="CG123" s="16">
        <f>IF(ISNA(VLOOKUP(A123,'Données projet'!$A$113:$I$133,4,0)),0,VLOOKUP(A123,'Données projet'!$A$113:$I$133,4,0))</f>
        <v>222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1.9895196601282805E-13</v>
      </c>
      <c r="O124" s="14">
        <f>N124*VLOOKUP('Données projet'!$B$9,Paramètres!$A$1:$I$89,3,0)*VLOOKUP('Données projet'!$B$9,Paramètres!$A$1:$I$89,5,0)</f>
        <v>1.8001173884840681E-13</v>
      </c>
      <c r="P124" s="14">
        <f t="shared" si="87"/>
        <v>2.5254331426407198E-12</v>
      </c>
      <c r="Q124" s="22">
        <f t="shared" si="107"/>
        <v>4.7119831685935622E-12</v>
      </c>
      <c r="R124" s="62">
        <f t="shared" si="55"/>
        <v>293.33333333333803</v>
      </c>
      <c r="S124" s="62">
        <f ca="1">AVERAGE(OFFSET($R$3,0,0,'Données projet'!$E$9+1,1))-AVERAGE(OFFSET($H$3,0,0,'Données projet'!$E$9+1,1))</f>
        <v>302.6112905010138</v>
      </c>
      <c r="T124" s="62">
        <f t="shared" si="88"/>
        <v>423.44006663873375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0.18310213119831306</v>
      </c>
      <c r="AB124" s="23">
        <f>EXP(-LN(2)/2)*AB123+(1-EXP(-LN(2)/2))/(LN(2)/2)*V124*Y124*VLOOKUP('Données projet'!$B$9,Paramètres!$A$1:$I$89,3,0)*0.475*44/12</f>
        <v>1.2731795146833385E-13</v>
      </c>
      <c r="AC124" s="24">
        <f t="shared" si="57"/>
        <v>0.18310213119844038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1.1527845344971866E-13</v>
      </c>
      <c r="AK124" s="14">
        <f t="shared" si="89"/>
        <v>1.7033846239409443E-12</v>
      </c>
      <c r="AL124" s="22">
        <f t="shared" si="58"/>
        <v>3.1675048597887374E-12</v>
      </c>
      <c r="AM124" s="62">
        <f t="shared" si="59"/>
        <v>293.3333333333365</v>
      </c>
      <c r="AN124" s="62">
        <f ca="1">AVERAGE(OFFSET($AM$3,0,0,'Données projet'!$E$10+1,1))-AVERAGE(OFFSET($H$3,0,0,'Données projet'!$E$10+1,1))</f>
        <v>411.98877330238821</v>
      </c>
      <c r="AO124" s="62">
        <f t="shared" si="90"/>
        <v>256.4377087753457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-1.1368683772161603E-13</v>
      </c>
      <c r="BE124" s="14">
        <f>BD124*VLOOKUP('Données projet'!$B$11,Paramètres!$A$1:$I$89,3,0)*VLOOKUP('Données projet'!$B$11,Paramètres!$A$1:$I$89,5,0)</f>
        <v>-9.9316821433603781E-14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195.30963433439501</v>
      </c>
      <c r="BJ124" s="62">
        <f t="shared" si="92"/>
        <v>185.00219255324504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2.7446599884643555E-13</v>
      </c>
      <c r="BS124" s="24">
        <f t="shared" si="63"/>
        <v>2.7446599884643555E-13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-5.6843418860808015E-14</v>
      </c>
      <c r="BZ124" s="14">
        <f>BY124*VLOOKUP('Données projet'!$B$12,Paramètres!$A$1:$I$89,3,0)*VLOOKUP('Données projet'!$B$12,Paramètres!$A$1:$I$89,5,0)</f>
        <v>-5.4978954722173515E-14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298.18906674058809</v>
      </c>
      <c r="CE124" s="62">
        <f t="shared" si="94"/>
        <v>154.08406475869634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1.9895196601282805E-13</v>
      </c>
      <c r="O125" s="14">
        <f>N125*VLOOKUP('Données projet'!$B$9,Paramètres!$A$1:$I$89,3,0)*VLOOKUP('Données projet'!$B$9,Paramètres!$A$1:$I$89,5,0)</f>
        <v>1.8001173884840681E-13</v>
      </c>
      <c r="P125" s="14">
        <f t="shared" si="87"/>
        <v>2.5254331426407198E-12</v>
      </c>
      <c r="Q125" s="22">
        <f t="shared" si="107"/>
        <v>4.7119831685935622E-12</v>
      </c>
      <c r="R125" s="62">
        <f t="shared" si="55"/>
        <v>293.33333333333803</v>
      </c>
      <c r="S125" s="62">
        <f ca="1">AVERAGE(OFFSET($R$3,0,0,'Données projet'!$E$9+1,1))-AVERAGE(OFFSET($H$3,0,0,'Données projet'!$E$9+1,1))</f>
        <v>302.6112905010138</v>
      </c>
      <c r="T125" s="62">
        <f t="shared" si="88"/>
        <v>423.44006663873375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0.1780951937917726</v>
      </c>
      <c r="AB125" s="23">
        <f>EXP(-LN(2)/2)*AB124+(1-EXP(-LN(2)/2))/(LN(2)/2)*V125*Y125*VLOOKUP('Données projet'!$B$9,Paramètres!$A$1:$I$89,3,0)*0.475*44/12</f>
        <v>9.0027386850038621E-14</v>
      </c>
      <c r="AC125" s="24">
        <f t="shared" si="57"/>
        <v>0.17809519379186264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1.1527845344971866E-13</v>
      </c>
      <c r="AK125" s="14">
        <f t="shared" si="89"/>
        <v>1.7033846239409443E-12</v>
      </c>
      <c r="AL125" s="22">
        <f t="shared" si="58"/>
        <v>3.1675048597887374E-12</v>
      </c>
      <c r="AM125" s="62">
        <f t="shared" si="59"/>
        <v>293.3333333333365</v>
      </c>
      <c r="AN125" s="62">
        <f ca="1">AVERAGE(OFFSET($AM$3,0,0,'Données projet'!$E$10+1,1))-AVERAGE(OFFSET($H$3,0,0,'Données projet'!$E$10+1,1))</f>
        <v>411.98877330238821</v>
      </c>
      <c r="AO125" s="62">
        <f t="shared" si="90"/>
        <v>256.4377087753457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-1.1368683772161603E-13</v>
      </c>
      <c r="BE125" s="14">
        <f>BD125*VLOOKUP('Données projet'!$B$11,Paramètres!$A$1:$I$89,3,0)*VLOOKUP('Données projet'!$B$11,Paramètres!$A$1:$I$89,5,0)</f>
        <v>-9.9316821433603781E-14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195.30963433439501</v>
      </c>
      <c r="BJ125" s="62">
        <f t="shared" si="92"/>
        <v>185.00219255324504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1.9407676898945371E-13</v>
      </c>
      <c r="BS125" s="24">
        <f t="shared" si="63"/>
        <v>1.9407676898945371E-13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-5.6843418860808015E-14</v>
      </c>
      <c r="BZ125" s="14">
        <f>BY125*VLOOKUP('Données projet'!$B$12,Paramètres!$A$1:$I$89,3,0)*VLOOKUP('Données projet'!$B$12,Paramètres!$A$1:$I$89,5,0)</f>
        <v>-5.4978954722173515E-14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298.18906674058809</v>
      </c>
      <c r="CE125" s="62">
        <f t="shared" si="94"/>
        <v>154.08406475869634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1.9895196601282805E-13</v>
      </c>
      <c r="O126" s="14">
        <f>N126*VLOOKUP('Données projet'!$B$9,Paramètres!$A$1:$I$89,3,0)*VLOOKUP('Données projet'!$B$9,Paramètres!$A$1:$I$89,5,0)</f>
        <v>1.8001173884840681E-13</v>
      </c>
      <c r="P126" s="14">
        <f t="shared" si="87"/>
        <v>2.5254331426407198E-12</v>
      </c>
      <c r="Q126" s="22">
        <f t="shared" si="107"/>
        <v>4.7119831685935622E-12</v>
      </c>
      <c r="R126" s="62">
        <f t="shared" si="55"/>
        <v>293.33333333333803</v>
      </c>
      <c r="S126" s="62">
        <f ca="1">AVERAGE(OFFSET($R$3,0,0,'Données projet'!$E$9+1,1))-AVERAGE(OFFSET($H$3,0,0,'Données projet'!$E$9+1,1))</f>
        <v>302.6112905010138</v>
      </c>
      <c r="T126" s="62">
        <f t="shared" si="88"/>
        <v>423.44006663873375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0.1732251713519174</v>
      </c>
      <c r="AB126" s="23">
        <f>EXP(-LN(2)/2)*AB125+(1-EXP(-LN(2)/2))/(LN(2)/2)*V126*Y126*VLOOKUP('Données projet'!$B$9,Paramètres!$A$1:$I$89,3,0)*0.475*44/12</f>
        <v>6.3658975734166924E-14</v>
      </c>
      <c r="AC126" s="24">
        <f t="shared" si="57"/>
        <v>0.17322517135198107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1.1527845344971866E-13</v>
      </c>
      <c r="AK126" s="14">
        <f t="shared" si="89"/>
        <v>1.7033846239409443E-12</v>
      </c>
      <c r="AL126" s="22">
        <f t="shared" si="58"/>
        <v>3.1675048597887374E-12</v>
      </c>
      <c r="AM126" s="62">
        <f t="shared" si="59"/>
        <v>293.3333333333365</v>
      </c>
      <c r="AN126" s="62">
        <f ca="1">AVERAGE(OFFSET($AM$3,0,0,'Données projet'!$E$10+1,1))-AVERAGE(OFFSET($H$3,0,0,'Données projet'!$E$10+1,1))</f>
        <v>411.98877330238821</v>
      </c>
      <c r="AO126" s="62">
        <f t="shared" si="90"/>
        <v>256.4377087753457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-1.1368683772161603E-13</v>
      </c>
      <c r="BE126" s="14">
        <f>BD126*VLOOKUP('Données projet'!$B$11,Paramètres!$A$1:$I$89,3,0)*VLOOKUP('Données projet'!$B$11,Paramètres!$A$1:$I$89,5,0)</f>
        <v>-9.9316821433603781E-14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195.30963433439501</v>
      </c>
      <c r="BJ126" s="62">
        <f t="shared" si="92"/>
        <v>185.00219255324504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1.3723299942321778E-13</v>
      </c>
      <c r="BS126" s="24">
        <f t="shared" si="63"/>
        <v>1.3723299942321778E-13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-5.6843418860808015E-14</v>
      </c>
      <c r="BZ126" s="14">
        <f>BY126*VLOOKUP('Données projet'!$B$12,Paramètres!$A$1:$I$89,3,0)*VLOOKUP('Données projet'!$B$12,Paramètres!$A$1:$I$89,5,0)</f>
        <v>-5.4978954722173515E-14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298.18906674058809</v>
      </c>
      <c r="CE126" s="62">
        <f t="shared" si="94"/>
        <v>154.08406475869634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1.9895196601282805E-13</v>
      </c>
      <c r="O127" s="14">
        <f>N127*VLOOKUP('Données projet'!$B$9,Paramètres!$A$1:$I$89,3,0)*VLOOKUP('Données projet'!$B$9,Paramètres!$A$1:$I$89,5,0)</f>
        <v>1.8001173884840681E-13</v>
      </c>
      <c r="P127" s="14">
        <f t="shared" si="87"/>
        <v>2.5254331426407198E-12</v>
      </c>
      <c r="Q127" s="22">
        <f t="shared" si="107"/>
        <v>4.7119831685935622E-12</v>
      </c>
      <c r="R127" s="62">
        <f t="shared" si="55"/>
        <v>293.33333333333803</v>
      </c>
      <c r="S127" s="62">
        <f ca="1">AVERAGE(OFFSET($R$3,0,0,'Données projet'!$E$9+1,1))-AVERAGE(OFFSET($H$3,0,0,'Données projet'!$E$9+1,1))</f>
        <v>302.6112905010138</v>
      </c>
      <c r="T127" s="62">
        <f t="shared" si="88"/>
        <v>423.44006663873375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0.16848831993178337</v>
      </c>
      <c r="AB127" s="23">
        <f>EXP(-LN(2)/2)*AB126+(1-EXP(-LN(2)/2))/(LN(2)/2)*V127*Y127*VLOOKUP('Données projet'!$B$9,Paramètres!$A$1:$I$89,3,0)*0.475*44/12</f>
        <v>4.501369342501931E-14</v>
      </c>
      <c r="AC127" s="24">
        <f t="shared" si="57"/>
        <v>0.16848831993182839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1.1527845344971866E-13</v>
      </c>
      <c r="AK127" s="14">
        <f t="shared" si="89"/>
        <v>1.7033846239409443E-12</v>
      </c>
      <c r="AL127" s="22">
        <f t="shared" si="58"/>
        <v>3.1675048597887374E-12</v>
      </c>
      <c r="AM127" s="62">
        <f t="shared" si="59"/>
        <v>293.3333333333365</v>
      </c>
      <c r="AN127" s="62">
        <f ca="1">AVERAGE(OFFSET($AM$3,0,0,'Données projet'!$E$10+1,1))-AVERAGE(OFFSET($H$3,0,0,'Données projet'!$E$10+1,1))</f>
        <v>411.98877330238821</v>
      </c>
      <c r="AO127" s="62">
        <f t="shared" si="90"/>
        <v>256.4377087753457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-1.1368683772161603E-13</v>
      </c>
      <c r="BE127" s="14">
        <f>BD127*VLOOKUP('Données projet'!$B$11,Paramètres!$A$1:$I$89,3,0)*VLOOKUP('Données projet'!$B$11,Paramètres!$A$1:$I$89,5,0)</f>
        <v>-9.9316821433603781E-14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195.30963433439501</v>
      </c>
      <c r="BJ127" s="62">
        <f t="shared" si="92"/>
        <v>185.00219255324504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9.7038384494726856E-14</v>
      </c>
      <c r="BS127" s="24">
        <f t="shared" si="63"/>
        <v>9.7038384494726856E-14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-5.6843418860808015E-14</v>
      </c>
      <c r="BZ127" s="14">
        <f>BY127*VLOOKUP('Données projet'!$B$12,Paramètres!$A$1:$I$89,3,0)*VLOOKUP('Données projet'!$B$12,Paramètres!$A$1:$I$89,5,0)</f>
        <v>-5.4978954722173515E-14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298.18906674058809</v>
      </c>
      <c r="CE127" s="62">
        <f t="shared" si="94"/>
        <v>154.08406475869634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1.9895196601282805E-13</v>
      </c>
      <c r="O128" s="14">
        <f>N128*VLOOKUP('Données projet'!$B$9,Paramètres!$A$1:$I$89,3,0)*VLOOKUP('Données projet'!$B$9,Paramètres!$A$1:$I$89,5,0)</f>
        <v>1.8001173884840681E-13</v>
      </c>
      <c r="P128" s="14">
        <f t="shared" si="87"/>
        <v>2.5254331426407198E-12</v>
      </c>
      <c r="Q128" s="22">
        <f t="shared" si="107"/>
        <v>4.7119831685935622E-12</v>
      </c>
      <c r="R128" s="62">
        <f t="shared" si="55"/>
        <v>293.33333333333803</v>
      </c>
      <c r="S128" s="62">
        <f ca="1">AVERAGE(OFFSET($R$3,0,0,'Données projet'!$E$9+1,1))-AVERAGE(OFFSET($H$3,0,0,'Données projet'!$E$9+1,1))</f>
        <v>302.6112905010138</v>
      </c>
      <c r="T128" s="62">
        <f t="shared" si="88"/>
        <v>423.44006663873375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0.16388099796283309</v>
      </c>
      <c r="AB128" s="23">
        <f>EXP(-LN(2)/2)*AB127+(1-EXP(-LN(2)/2))/(LN(2)/2)*V128*Y128*VLOOKUP('Données projet'!$B$9,Paramètres!$A$1:$I$89,3,0)*0.475*44/12</f>
        <v>3.1829487867083462E-14</v>
      </c>
      <c r="AC128" s="24">
        <f t="shared" si="57"/>
        <v>0.16388099796286493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1.1527845344971866E-13</v>
      </c>
      <c r="AK128" s="14">
        <f t="shared" si="89"/>
        <v>1.7033846239409443E-12</v>
      </c>
      <c r="AL128" s="22">
        <f t="shared" si="58"/>
        <v>3.1675048597887374E-12</v>
      </c>
      <c r="AM128" s="62">
        <f t="shared" si="59"/>
        <v>293.3333333333365</v>
      </c>
      <c r="AN128" s="62">
        <f ca="1">AVERAGE(OFFSET($AM$3,0,0,'Données projet'!$E$10+1,1))-AVERAGE(OFFSET($H$3,0,0,'Données projet'!$E$10+1,1))</f>
        <v>411.98877330238821</v>
      </c>
      <c r="AO128" s="62">
        <f t="shared" si="90"/>
        <v>256.4377087753457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-1.1368683772161603E-13</v>
      </c>
      <c r="BE128" s="14">
        <f>BD128*VLOOKUP('Données projet'!$B$11,Paramètres!$A$1:$I$89,3,0)*VLOOKUP('Données projet'!$B$11,Paramètres!$A$1:$I$89,5,0)</f>
        <v>-9.9316821433603781E-14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195.30963433439501</v>
      </c>
      <c r="BJ128" s="62">
        <f t="shared" si="92"/>
        <v>185.00219255324504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6.8616499711608888E-14</v>
      </c>
      <c r="BS128" s="24">
        <f t="shared" si="63"/>
        <v>6.8616499711608888E-14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-5.6843418860808015E-14</v>
      </c>
      <c r="BZ128" s="14">
        <f>BY128*VLOOKUP('Données projet'!$B$12,Paramètres!$A$1:$I$89,3,0)*VLOOKUP('Données projet'!$B$12,Paramètres!$A$1:$I$89,5,0)</f>
        <v>-5.4978954722173515E-14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298.18906674058809</v>
      </c>
      <c r="CE128" s="62">
        <f t="shared" si="94"/>
        <v>154.08406475869634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1.9895196601282805E-13</v>
      </c>
      <c r="O129" s="14">
        <f>N129*VLOOKUP('Données projet'!$B$9,Paramètres!$A$1:$I$89,3,0)*VLOOKUP('Données projet'!$B$9,Paramètres!$A$1:$I$89,5,0)</f>
        <v>1.8001173884840681E-13</v>
      </c>
      <c r="P129" s="14">
        <f t="shared" si="87"/>
        <v>2.5254331426407198E-12</v>
      </c>
      <c r="Q129" s="22">
        <f t="shared" si="107"/>
        <v>4.7119831685935622E-12</v>
      </c>
      <c r="R129" s="62">
        <f t="shared" si="55"/>
        <v>293.33333333333803</v>
      </c>
      <c r="S129" s="62">
        <f ca="1">AVERAGE(OFFSET($R$3,0,0,'Données projet'!$E$9+1,1))-AVERAGE(OFFSET($H$3,0,0,'Données projet'!$E$9+1,1))</f>
        <v>302.6112905010138</v>
      </c>
      <c r="T129" s="62">
        <f t="shared" si="88"/>
        <v>423.44006663873375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0.15939966345541229</v>
      </c>
      <c r="AB129" s="23">
        <f>EXP(-LN(2)/2)*AB128+(1-EXP(-LN(2)/2))/(LN(2)/2)*V129*Y129*VLOOKUP('Données projet'!$B$9,Paramètres!$A$1:$I$89,3,0)*0.475*44/12</f>
        <v>2.2506846712509655E-14</v>
      </c>
      <c r="AC129" s="24">
        <f t="shared" si="57"/>
        <v>0.1593996634554348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1.1527845344971866E-13</v>
      </c>
      <c r="AK129" s="14">
        <f t="shared" si="89"/>
        <v>1.7033846239409443E-12</v>
      </c>
      <c r="AL129" s="22">
        <f t="shared" si="58"/>
        <v>3.1675048597887374E-12</v>
      </c>
      <c r="AM129" s="62">
        <f t="shared" si="59"/>
        <v>293.3333333333365</v>
      </c>
      <c r="AN129" s="62">
        <f ca="1">AVERAGE(OFFSET($AM$3,0,0,'Données projet'!$E$10+1,1))-AVERAGE(OFFSET($H$3,0,0,'Données projet'!$E$10+1,1))</f>
        <v>411.98877330238821</v>
      </c>
      <c r="AO129" s="62">
        <f t="shared" si="90"/>
        <v>256.4377087753457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-1.1368683772161603E-13</v>
      </c>
      <c r="BE129" s="14">
        <f>BD129*VLOOKUP('Données projet'!$B$11,Paramètres!$A$1:$I$89,3,0)*VLOOKUP('Données projet'!$B$11,Paramètres!$A$1:$I$89,5,0)</f>
        <v>-9.9316821433603781E-14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195.30963433439501</v>
      </c>
      <c r="BJ129" s="62">
        <f t="shared" si="92"/>
        <v>185.00219255324504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4.8519192247363428E-14</v>
      </c>
      <c r="BS129" s="24">
        <f t="shared" si="63"/>
        <v>4.8519192247363428E-14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-5.6843418860808015E-14</v>
      </c>
      <c r="BZ129" s="14">
        <f>BY129*VLOOKUP('Données projet'!$B$12,Paramètres!$A$1:$I$89,3,0)*VLOOKUP('Données projet'!$B$12,Paramètres!$A$1:$I$89,5,0)</f>
        <v>-5.4978954722173515E-14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298.18906674058809</v>
      </c>
      <c r="CE129" s="62">
        <f t="shared" si="94"/>
        <v>154.08406475869634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1.9895196601282805E-13</v>
      </c>
      <c r="O130" s="14">
        <f>N130*VLOOKUP('Données projet'!$B$9,Paramètres!$A$1:$I$89,3,0)*VLOOKUP('Données projet'!$B$9,Paramètres!$A$1:$I$89,5,0)</f>
        <v>1.8001173884840681E-13</v>
      </c>
      <c r="P130" s="14">
        <f t="shared" si="87"/>
        <v>2.5254331426407198E-12</v>
      </c>
      <c r="Q130" s="22">
        <f t="shared" si="107"/>
        <v>4.7119831685935622E-12</v>
      </c>
      <c r="R130" s="62">
        <f t="shared" si="55"/>
        <v>293.33333333333803</v>
      </c>
      <c r="S130" s="62">
        <f ca="1">AVERAGE(OFFSET($R$3,0,0,'Données projet'!$E$9+1,1))-AVERAGE(OFFSET($H$3,0,0,'Données projet'!$E$9+1,1))</f>
        <v>302.6112905010138</v>
      </c>
      <c r="T130" s="62">
        <f t="shared" si="88"/>
        <v>423.44006663873375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0.15504087127576005</v>
      </c>
      <c r="AB130" s="23">
        <f>EXP(-LN(2)/2)*AB129+(1-EXP(-LN(2)/2))/(LN(2)/2)*V130*Y130*VLOOKUP('Données projet'!$B$9,Paramètres!$A$1:$I$89,3,0)*0.475*44/12</f>
        <v>1.5914743933541731E-14</v>
      </c>
      <c r="AC130" s="24">
        <f t="shared" si="57"/>
        <v>0.15504087127577595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1.1527845344971866E-13</v>
      </c>
      <c r="AK130" s="14">
        <f t="shared" si="89"/>
        <v>1.7033846239409443E-12</v>
      </c>
      <c r="AL130" s="22">
        <f t="shared" si="58"/>
        <v>3.1675048597887374E-12</v>
      </c>
      <c r="AM130" s="62">
        <f t="shared" si="59"/>
        <v>293.3333333333365</v>
      </c>
      <c r="AN130" s="62">
        <f ca="1">AVERAGE(OFFSET($AM$3,0,0,'Données projet'!$E$10+1,1))-AVERAGE(OFFSET($H$3,0,0,'Données projet'!$E$10+1,1))</f>
        <v>411.98877330238821</v>
      </c>
      <c r="AO130" s="62">
        <f t="shared" si="90"/>
        <v>256.4377087753457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-1.1368683772161603E-13</v>
      </c>
      <c r="BE130" s="14">
        <f>BD130*VLOOKUP('Données projet'!$B$11,Paramètres!$A$1:$I$89,3,0)*VLOOKUP('Données projet'!$B$11,Paramètres!$A$1:$I$89,5,0)</f>
        <v>-9.9316821433603781E-14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195.30963433439501</v>
      </c>
      <c r="BJ130" s="62">
        <f t="shared" si="92"/>
        <v>185.00219255324504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3.4308249855804444E-14</v>
      </c>
      <c r="BS130" s="24">
        <f t="shared" si="63"/>
        <v>3.4308249855804444E-14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-5.6843418860808015E-14</v>
      </c>
      <c r="BZ130" s="14">
        <f>BY130*VLOOKUP('Données projet'!$B$12,Paramètres!$A$1:$I$89,3,0)*VLOOKUP('Données projet'!$B$12,Paramètres!$A$1:$I$89,5,0)</f>
        <v>-5.4978954722173515E-14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298.18906674058809</v>
      </c>
      <c r="CE130" s="62">
        <f t="shared" si="94"/>
        <v>154.08406475869634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1.9895196601282805E-13</v>
      </c>
      <c r="O131" s="14">
        <f>N131*VLOOKUP('Données projet'!$B$9,Paramètres!$A$1:$I$89,3,0)*VLOOKUP('Données projet'!$B$9,Paramètres!$A$1:$I$89,5,0)</f>
        <v>1.8001173884840681E-13</v>
      </c>
      <c r="P131" s="14">
        <f t="shared" si="87"/>
        <v>2.5254331426407198E-12</v>
      </c>
      <c r="Q131" s="22">
        <f t="shared" ref="Q131:Q153" si="108">(O131+P131)*0.475*44/12</f>
        <v>4.7119831685935622E-12</v>
      </c>
      <c r="R131" s="62">
        <f t="shared" ref="R131:R194" si="109">Q131+(I131+J131)*44/12</f>
        <v>293.33333333333803</v>
      </c>
      <c r="S131" s="62">
        <f ca="1">AVERAGE(OFFSET($R$3,0,0,'Données projet'!$E$9+1,1))-AVERAGE(OFFSET($H$3,0,0,'Données projet'!$E$9+1,1))</f>
        <v>302.6112905010138</v>
      </c>
      <c r="T131" s="62">
        <f t="shared" si="88"/>
        <v>423.44006663873375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0.15080127049747932</v>
      </c>
      <c r="AB131" s="23">
        <f>EXP(-LN(2)/2)*AB130+(1-EXP(-LN(2)/2))/(LN(2)/2)*V131*Y131*VLOOKUP('Données projet'!$B$9,Paramètres!$A$1:$I$89,3,0)*0.475*44/12</f>
        <v>1.1253423356254828E-14</v>
      </c>
      <c r="AC131" s="24">
        <f t="shared" si="57"/>
        <v>0.15080127049749056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1.1527845344971866E-13</v>
      </c>
      <c r="AK131" s="14">
        <f t="shared" si="89"/>
        <v>1.7033846239409443E-12</v>
      </c>
      <c r="AL131" s="22">
        <f t="shared" si="58"/>
        <v>3.1675048597887374E-12</v>
      </c>
      <c r="AM131" s="62">
        <f t="shared" si="59"/>
        <v>293.3333333333365</v>
      </c>
      <c r="AN131" s="62">
        <f ca="1">AVERAGE(OFFSET($AM$3,0,0,'Données projet'!$E$10+1,1))-AVERAGE(OFFSET($H$3,0,0,'Données projet'!$E$10+1,1))</f>
        <v>411.98877330238821</v>
      </c>
      <c r="AO131" s="62">
        <f t="shared" si="90"/>
        <v>256.4377087753457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-1.1368683772161603E-13</v>
      </c>
      <c r="BE131" s="14">
        <f>BD131*VLOOKUP('Données projet'!$B$11,Paramètres!$A$1:$I$89,3,0)*VLOOKUP('Données projet'!$B$11,Paramètres!$A$1:$I$89,5,0)</f>
        <v>-9.9316821433603781E-14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195.30963433439501</v>
      </c>
      <c r="BJ131" s="62">
        <f t="shared" si="92"/>
        <v>185.00219255324504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2.4259596123681714E-14</v>
      </c>
      <c r="BS131" s="24">
        <f t="shared" si="63"/>
        <v>2.4259596123681714E-14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-5.6843418860808015E-14</v>
      </c>
      <c r="BZ131" s="14">
        <f>BY131*VLOOKUP('Données projet'!$B$12,Paramètres!$A$1:$I$89,3,0)*VLOOKUP('Données projet'!$B$12,Paramètres!$A$1:$I$89,5,0)</f>
        <v>-5.4978954722173515E-14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298.18906674058809</v>
      </c>
      <c r="CE131" s="62">
        <f t="shared" si="94"/>
        <v>154.08406475869634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1.9895196601282805E-13</v>
      </c>
      <c r="O132" s="14">
        <f>N132*VLOOKUP('Données projet'!$B$9,Paramètres!$A$1:$I$89,3,0)*VLOOKUP('Données projet'!$B$9,Paramètres!$A$1:$I$89,5,0)</f>
        <v>1.8001173884840681E-13</v>
      </c>
      <c r="P132" s="14">
        <f t="shared" si="87"/>
        <v>2.5254331426407198E-12</v>
      </c>
      <c r="Q132" s="22">
        <f t="shared" si="108"/>
        <v>4.7119831685935622E-12</v>
      </c>
      <c r="R132" s="62">
        <f t="shared" si="109"/>
        <v>293.33333333333803</v>
      </c>
      <c r="S132" s="62">
        <f ca="1">AVERAGE(OFFSET($R$3,0,0,'Données projet'!$E$9+1,1))-AVERAGE(OFFSET($H$3,0,0,'Données projet'!$E$9+1,1))</f>
        <v>302.6112905010138</v>
      </c>
      <c r="T132" s="62">
        <f t="shared" si="88"/>
        <v>423.44006663873375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0.1466776018254316</v>
      </c>
      <c r="AB132" s="23">
        <f>EXP(-LN(2)/2)*AB131+(1-EXP(-LN(2)/2))/(LN(2)/2)*V132*Y132*VLOOKUP('Données projet'!$B$9,Paramètres!$A$1:$I$89,3,0)*0.475*44/12</f>
        <v>7.9573719667708655E-15</v>
      </c>
      <c r="AC132" s="24">
        <f t="shared" ref="AC132:AC153" si="111">SUM(Z132:AB132)</f>
        <v>0.14667760182543957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1.1527845344971866E-13</v>
      </c>
      <c r="AK132" s="14">
        <f t="shared" si="89"/>
        <v>1.7033846239409443E-12</v>
      </c>
      <c r="AL132" s="22">
        <f t="shared" ref="AL132:AL153" si="112">(AJ132+AK132)*0.475*44/12</f>
        <v>3.1675048597887374E-12</v>
      </c>
      <c r="AM132" s="62">
        <f t="shared" ref="AM132:AM195" si="113">AL132+(AD132+AE132)*44/12</f>
        <v>293.3333333333365</v>
      </c>
      <c r="AN132" s="62">
        <f ca="1">AVERAGE(OFFSET($AM$3,0,0,'Données projet'!$E$10+1,1))-AVERAGE(OFFSET($H$3,0,0,'Données projet'!$E$10+1,1))</f>
        <v>411.98877330238821</v>
      </c>
      <c r="AO132" s="62">
        <f t="shared" si="90"/>
        <v>256.4377087753457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-1.1368683772161603E-13</v>
      </c>
      <c r="BE132" s="14">
        <f>BD132*VLOOKUP('Données projet'!$B$11,Paramètres!$A$1:$I$89,3,0)*VLOOKUP('Données projet'!$B$11,Paramètres!$A$1:$I$89,5,0)</f>
        <v>-9.9316821433603781E-14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195.30963433439501</v>
      </c>
      <c r="BJ132" s="62">
        <f t="shared" si="92"/>
        <v>185.00219255324504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1.7154124927902222E-14</v>
      </c>
      <c r="BS132" s="24">
        <f t="shared" ref="BS132:BS153" si="117">SUM(BP132:BR132)</f>
        <v>1.7154124927902222E-14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-5.6843418860808015E-14</v>
      </c>
      <c r="BZ132" s="14">
        <f>BY132*VLOOKUP('Données projet'!$B$12,Paramètres!$A$1:$I$89,3,0)*VLOOKUP('Données projet'!$B$12,Paramètres!$A$1:$I$89,5,0)</f>
        <v>-5.4978954722173515E-14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298.18906674058809</v>
      </c>
      <c r="CE132" s="62">
        <f t="shared" si="94"/>
        <v>154.08406475869634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1.9895196601282805E-13</v>
      </c>
      <c r="O133" s="14">
        <f>N133*VLOOKUP('Données projet'!$B$9,Paramètres!$A$1:$I$89,3,0)*VLOOKUP('Données projet'!$B$9,Paramètres!$A$1:$I$89,5,0)</f>
        <v>1.8001173884840681E-13</v>
      </c>
      <c r="P133" s="14">
        <f t="shared" ref="P133:P196" si="141">EXP(-1.0587+0.8836*LN(O133)+0.284)</f>
        <v>2.5254331426407198E-12</v>
      </c>
      <c r="Q133" s="22">
        <f t="shared" si="108"/>
        <v>4.7119831685935622E-12</v>
      </c>
      <c r="R133" s="62">
        <f t="shared" si="109"/>
        <v>293.33333333333803</v>
      </c>
      <c r="S133" s="62">
        <f ca="1">AVERAGE(OFFSET($R$3,0,0,'Données projet'!$E$9+1,1))-AVERAGE(OFFSET($H$3,0,0,'Données projet'!$E$9+1,1))</f>
        <v>302.6112905010138</v>
      </c>
      <c r="T133" s="62">
        <f t="shared" ref="T133:T196" si="142">$T$3</f>
        <v>423.44006663873375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0.14266669509007532</v>
      </c>
      <c r="AB133" s="23">
        <f>EXP(-LN(2)/2)*AB132+(1-EXP(-LN(2)/2))/(LN(2)/2)*V133*Y133*VLOOKUP('Données projet'!$B$9,Paramètres!$A$1:$I$89,3,0)*0.475*44/12</f>
        <v>5.6267116781274138E-15</v>
      </c>
      <c r="AC133" s="24">
        <f t="shared" si="111"/>
        <v>0.14266669509008095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1.1527845344971866E-13</v>
      </c>
      <c r="AK133" s="14">
        <f t="shared" ref="AK133:AK153" si="143">EXP(-1.0587+0.8836*LN(AJ133)+0.284)</f>
        <v>1.7033846239409443E-12</v>
      </c>
      <c r="AL133" s="22">
        <f t="shared" si="112"/>
        <v>3.1675048597887374E-12</v>
      </c>
      <c r="AM133" s="62">
        <f t="shared" si="113"/>
        <v>293.3333333333365</v>
      </c>
      <c r="AN133" s="62">
        <f ca="1">AVERAGE(OFFSET($AM$3,0,0,'Données projet'!$E$10+1,1))-AVERAGE(OFFSET($H$3,0,0,'Données projet'!$E$10+1,1))</f>
        <v>411.98877330238821</v>
      </c>
      <c r="AO133" s="62">
        <f t="shared" ref="AO133:AO196" si="144">$AO$3</f>
        <v>256.4377087753457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-1.1368683772161603E-13</v>
      </c>
      <c r="BE133" s="14">
        <f>BD133*VLOOKUP('Données projet'!$B$11,Paramètres!$A$1:$I$89,3,0)*VLOOKUP('Données projet'!$B$11,Paramètres!$A$1:$I$89,5,0)</f>
        <v>-9.9316821433603781E-14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195.30963433439501</v>
      </c>
      <c r="BJ133" s="62">
        <f t="shared" ref="BJ133:BJ196" si="146">$BJ$3</f>
        <v>185.00219255324504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1.2129798061840857E-14</v>
      </c>
      <c r="BS133" s="24">
        <f t="shared" si="117"/>
        <v>1.2129798061840857E-14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-5.6843418860808015E-14</v>
      </c>
      <c r="BZ133" s="14">
        <f>BY133*VLOOKUP('Données projet'!$B$12,Paramètres!$A$1:$I$89,3,0)*VLOOKUP('Données projet'!$B$12,Paramètres!$A$1:$I$89,5,0)</f>
        <v>-5.4978954722173515E-14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298.18906674058809</v>
      </c>
      <c r="CE133" s="62">
        <f t="shared" ref="CE133:CE196" si="148">$CE$3</f>
        <v>154.08406475869634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1.9895196601282805E-13</v>
      </c>
      <c r="O134" s="14">
        <f>N134*VLOOKUP('Données projet'!$B$9,Paramètres!$A$1:$I$89,3,0)*VLOOKUP('Données projet'!$B$9,Paramètres!$A$1:$I$89,5,0)</f>
        <v>1.8001173884840681E-13</v>
      </c>
      <c r="P134" s="14">
        <f t="shared" si="141"/>
        <v>2.5254331426407198E-12</v>
      </c>
      <c r="Q134" s="22">
        <f t="shared" si="108"/>
        <v>4.7119831685935622E-12</v>
      </c>
      <c r="R134" s="62">
        <f t="shared" si="109"/>
        <v>293.33333333333803</v>
      </c>
      <c r="S134" s="62">
        <f ca="1">AVERAGE(OFFSET($R$3,0,0,'Données projet'!$E$9+1,1))-AVERAGE(OFFSET($H$3,0,0,'Données projet'!$E$9+1,1))</f>
        <v>302.6112905010138</v>
      </c>
      <c r="T134" s="62">
        <f t="shared" si="142"/>
        <v>423.44006663873375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0.13876546681032179</v>
      </c>
      <c r="AB134" s="23">
        <f>EXP(-LN(2)/2)*AB133+(1-EXP(-LN(2)/2))/(LN(2)/2)*V134*Y134*VLOOKUP('Données projet'!$B$9,Paramètres!$A$1:$I$89,3,0)*0.475*44/12</f>
        <v>3.9786859833854328E-15</v>
      </c>
      <c r="AC134" s="24">
        <f t="shared" si="111"/>
        <v>0.13876546681032575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1.1527845344971866E-13</v>
      </c>
      <c r="AK134" s="14">
        <f t="shared" si="143"/>
        <v>1.7033846239409443E-12</v>
      </c>
      <c r="AL134" s="22">
        <f t="shared" si="112"/>
        <v>3.1675048597887374E-12</v>
      </c>
      <c r="AM134" s="62">
        <f t="shared" si="113"/>
        <v>293.3333333333365</v>
      </c>
      <c r="AN134" s="62">
        <f ca="1">AVERAGE(OFFSET($AM$3,0,0,'Données projet'!$E$10+1,1))-AVERAGE(OFFSET($H$3,0,0,'Données projet'!$E$10+1,1))</f>
        <v>411.98877330238821</v>
      </c>
      <c r="AO134" s="62">
        <f t="shared" si="144"/>
        <v>256.4377087753457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-1.1368683772161603E-13</v>
      </c>
      <c r="BE134" s="14">
        <f>BD134*VLOOKUP('Données projet'!$B$11,Paramètres!$A$1:$I$89,3,0)*VLOOKUP('Données projet'!$B$11,Paramètres!$A$1:$I$89,5,0)</f>
        <v>-9.9316821433603781E-14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195.30963433439501</v>
      </c>
      <c r="BJ134" s="62">
        <f t="shared" si="146"/>
        <v>185.00219255324504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8.577062463951111E-15</v>
      </c>
      <c r="BS134" s="24">
        <f t="shared" si="117"/>
        <v>8.577062463951111E-15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-5.6843418860808015E-14</v>
      </c>
      <c r="BZ134" s="14">
        <f>BY134*VLOOKUP('Données projet'!$B$12,Paramètres!$A$1:$I$89,3,0)*VLOOKUP('Données projet'!$B$12,Paramètres!$A$1:$I$89,5,0)</f>
        <v>-5.4978954722173515E-14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298.18906674058809</v>
      </c>
      <c r="CE134" s="62">
        <f t="shared" si="148"/>
        <v>154.08406475869634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1.9895196601282805E-13</v>
      </c>
      <c r="O135" s="14">
        <f>N135*VLOOKUP('Données projet'!$B$9,Paramètres!$A$1:$I$89,3,0)*VLOOKUP('Données projet'!$B$9,Paramètres!$A$1:$I$89,5,0)</f>
        <v>1.8001173884840681E-13</v>
      </c>
      <c r="P135" s="14">
        <f t="shared" si="141"/>
        <v>2.5254331426407198E-12</v>
      </c>
      <c r="Q135" s="22">
        <f t="shared" si="108"/>
        <v>4.7119831685935622E-12</v>
      </c>
      <c r="R135" s="62">
        <f t="shared" si="109"/>
        <v>293.33333333333803</v>
      </c>
      <c r="S135" s="62">
        <f ca="1">AVERAGE(OFFSET($R$3,0,0,'Données projet'!$E$9+1,1))-AVERAGE(OFFSET($H$3,0,0,'Données projet'!$E$9+1,1))</f>
        <v>302.6112905010138</v>
      </c>
      <c r="T135" s="62">
        <f t="shared" si="142"/>
        <v>423.44006663873375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0.1349709178230348</v>
      </c>
      <c r="AB135" s="23">
        <f>EXP(-LN(2)/2)*AB134+(1-EXP(-LN(2)/2))/(LN(2)/2)*V135*Y135*VLOOKUP('Données projet'!$B$9,Paramètres!$A$1:$I$89,3,0)*0.475*44/12</f>
        <v>2.8133558390637069E-15</v>
      </c>
      <c r="AC135" s="24">
        <f t="shared" si="111"/>
        <v>0.13497091782303761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1.1527845344971866E-13</v>
      </c>
      <c r="AK135" s="14">
        <f t="shared" si="143"/>
        <v>1.7033846239409443E-12</v>
      </c>
      <c r="AL135" s="22">
        <f t="shared" si="112"/>
        <v>3.1675048597887374E-12</v>
      </c>
      <c r="AM135" s="62">
        <f t="shared" si="113"/>
        <v>293.3333333333365</v>
      </c>
      <c r="AN135" s="62">
        <f ca="1">AVERAGE(OFFSET($AM$3,0,0,'Données projet'!$E$10+1,1))-AVERAGE(OFFSET($H$3,0,0,'Données projet'!$E$10+1,1))</f>
        <v>411.98877330238821</v>
      </c>
      <c r="AO135" s="62">
        <f t="shared" si="144"/>
        <v>256.4377087753457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-1.1368683772161603E-13</v>
      </c>
      <c r="BE135" s="14">
        <f>BD135*VLOOKUP('Données projet'!$B$11,Paramètres!$A$1:$I$89,3,0)*VLOOKUP('Données projet'!$B$11,Paramètres!$A$1:$I$89,5,0)</f>
        <v>-9.9316821433603781E-14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195.30963433439501</v>
      </c>
      <c r="BJ135" s="62">
        <f t="shared" si="146"/>
        <v>185.00219255324504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6.0648990309204285E-15</v>
      </c>
      <c r="BS135" s="24">
        <f t="shared" si="117"/>
        <v>6.0648990309204285E-15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-5.6843418860808015E-14</v>
      </c>
      <c r="BZ135" s="14">
        <f>BY135*VLOOKUP('Données projet'!$B$12,Paramètres!$A$1:$I$89,3,0)*VLOOKUP('Données projet'!$B$12,Paramètres!$A$1:$I$89,5,0)</f>
        <v>-5.4978954722173515E-14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298.18906674058809</v>
      </c>
      <c r="CE135" s="62">
        <f t="shared" si="148"/>
        <v>154.08406475869634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1.9895196601282805E-13</v>
      </c>
      <c r="O136" s="14">
        <f>N136*VLOOKUP('Données projet'!$B$9,Paramètres!$A$1:$I$89,3,0)*VLOOKUP('Données projet'!$B$9,Paramètres!$A$1:$I$89,5,0)</f>
        <v>1.8001173884840681E-13</v>
      </c>
      <c r="P136" s="14">
        <f t="shared" si="141"/>
        <v>2.5254331426407198E-12</v>
      </c>
      <c r="Q136" s="22">
        <f t="shared" si="108"/>
        <v>4.7119831685935622E-12</v>
      </c>
      <c r="R136" s="62">
        <f t="shared" si="109"/>
        <v>293.33333333333803</v>
      </c>
      <c r="S136" s="62">
        <f ca="1">AVERAGE(OFFSET($R$3,0,0,'Données projet'!$E$9+1,1))-AVERAGE(OFFSET($H$3,0,0,'Données projet'!$E$9+1,1))</f>
        <v>302.6112905010138</v>
      </c>
      <c r="T136" s="62">
        <f t="shared" si="142"/>
        <v>423.44006663873375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0.13128013097735183</v>
      </c>
      <c r="AB136" s="23">
        <f>EXP(-LN(2)/2)*AB135+(1-EXP(-LN(2)/2))/(LN(2)/2)*V136*Y136*VLOOKUP('Données projet'!$B$9,Paramètres!$A$1:$I$89,3,0)*0.475*44/12</f>
        <v>1.9893429916927164E-15</v>
      </c>
      <c r="AC136" s="24">
        <f t="shared" si="111"/>
        <v>0.13128013097735383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1.1527845344971866E-13</v>
      </c>
      <c r="AK136" s="14">
        <f t="shared" si="143"/>
        <v>1.7033846239409443E-12</v>
      </c>
      <c r="AL136" s="22">
        <f t="shared" si="112"/>
        <v>3.1675048597887374E-12</v>
      </c>
      <c r="AM136" s="62">
        <f t="shared" si="113"/>
        <v>293.3333333333365</v>
      </c>
      <c r="AN136" s="62">
        <f ca="1">AVERAGE(OFFSET($AM$3,0,0,'Données projet'!$E$10+1,1))-AVERAGE(OFFSET($H$3,0,0,'Données projet'!$E$10+1,1))</f>
        <v>411.98877330238821</v>
      </c>
      <c r="AO136" s="62">
        <f t="shared" si="144"/>
        <v>256.4377087753457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-1.1368683772161603E-13</v>
      </c>
      <c r="BE136" s="14">
        <f>BD136*VLOOKUP('Données projet'!$B$11,Paramètres!$A$1:$I$89,3,0)*VLOOKUP('Données projet'!$B$11,Paramètres!$A$1:$I$89,5,0)</f>
        <v>-9.9316821433603781E-14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195.30963433439501</v>
      </c>
      <c r="BJ136" s="62">
        <f t="shared" si="146"/>
        <v>185.00219255324504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4.2885312319755555E-15</v>
      </c>
      <c r="BS136" s="24">
        <f t="shared" si="117"/>
        <v>4.2885312319755555E-15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-5.6843418860808015E-14</v>
      </c>
      <c r="BZ136" s="14">
        <f>BY136*VLOOKUP('Données projet'!$B$12,Paramètres!$A$1:$I$89,3,0)*VLOOKUP('Données projet'!$B$12,Paramètres!$A$1:$I$89,5,0)</f>
        <v>-5.4978954722173515E-14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298.18906674058809</v>
      </c>
      <c r="CE136" s="62">
        <f t="shared" si="148"/>
        <v>154.08406475869634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1.9895196601282805E-13</v>
      </c>
      <c r="O137" s="14">
        <f>N137*VLOOKUP('Données projet'!$B$9,Paramètres!$A$1:$I$89,3,0)*VLOOKUP('Données projet'!$B$9,Paramètres!$A$1:$I$89,5,0)</f>
        <v>1.8001173884840681E-13</v>
      </c>
      <c r="P137" s="14">
        <f t="shared" si="141"/>
        <v>2.5254331426407198E-12</v>
      </c>
      <c r="Q137" s="22">
        <f t="shared" si="108"/>
        <v>4.7119831685935622E-12</v>
      </c>
      <c r="R137" s="62">
        <f t="shared" si="109"/>
        <v>293.33333333333803</v>
      </c>
      <c r="S137" s="62">
        <f ca="1">AVERAGE(OFFSET($R$3,0,0,'Données projet'!$E$9+1,1))-AVERAGE(OFFSET($H$3,0,0,'Données projet'!$E$9+1,1))</f>
        <v>302.6112905010138</v>
      </c>
      <c r="T137" s="62">
        <f t="shared" si="142"/>
        <v>423.44006663873375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0.12769026889205409</v>
      </c>
      <c r="AB137" s="23">
        <f>EXP(-LN(2)/2)*AB136+(1-EXP(-LN(2)/2))/(LN(2)/2)*V137*Y137*VLOOKUP('Données projet'!$B$9,Paramètres!$A$1:$I$89,3,0)*0.475*44/12</f>
        <v>1.4066779195318534E-15</v>
      </c>
      <c r="AC137" s="24">
        <f t="shared" si="111"/>
        <v>0.12769026889205551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1.1527845344971866E-13</v>
      </c>
      <c r="AK137" s="14">
        <f t="shared" si="143"/>
        <v>1.7033846239409443E-12</v>
      </c>
      <c r="AL137" s="22">
        <f t="shared" si="112"/>
        <v>3.1675048597887374E-12</v>
      </c>
      <c r="AM137" s="62">
        <f t="shared" si="113"/>
        <v>293.3333333333365</v>
      </c>
      <c r="AN137" s="62">
        <f ca="1">AVERAGE(OFFSET($AM$3,0,0,'Données projet'!$E$10+1,1))-AVERAGE(OFFSET($H$3,0,0,'Données projet'!$E$10+1,1))</f>
        <v>411.98877330238821</v>
      </c>
      <c r="AO137" s="62">
        <f t="shared" si="144"/>
        <v>256.4377087753457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-1.1368683772161603E-13</v>
      </c>
      <c r="BE137" s="14">
        <f>BD137*VLOOKUP('Données projet'!$B$11,Paramètres!$A$1:$I$89,3,0)*VLOOKUP('Données projet'!$B$11,Paramètres!$A$1:$I$89,5,0)</f>
        <v>-9.9316821433603781E-14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195.30963433439501</v>
      </c>
      <c r="BJ137" s="62">
        <f t="shared" si="146"/>
        <v>185.00219255324504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3.0324495154602142E-15</v>
      </c>
      <c r="BS137" s="24">
        <f t="shared" si="117"/>
        <v>3.0324495154602142E-15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-5.6843418860808015E-14</v>
      </c>
      <c r="BZ137" s="14">
        <f>BY137*VLOOKUP('Données projet'!$B$12,Paramètres!$A$1:$I$89,3,0)*VLOOKUP('Données projet'!$B$12,Paramètres!$A$1:$I$89,5,0)</f>
        <v>-5.4978954722173515E-14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298.18906674058809</v>
      </c>
      <c r="CE137" s="62">
        <f t="shared" si="148"/>
        <v>154.08406475869634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1.9895196601282805E-13</v>
      </c>
      <c r="O138" s="14">
        <f>N138*VLOOKUP('Données projet'!$B$9,Paramètres!$A$1:$I$89,3,0)*VLOOKUP('Données projet'!$B$9,Paramètres!$A$1:$I$89,5,0)</f>
        <v>1.8001173884840681E-13</v>
      </c>
      <c r="P138" s="14">
        <f t="shared" si="141"/>
        <v>2.5254331426407198E-12</v>
      </c>
      <c r="Q138" s="22">
        <f t="shared" si="108"/>
        <v>4.7119831685935622E-12</v>
      </c>
      <c r="R138" s="62">
        <f t="shared" si="109"/>
        <v>293.33333333333803</v>
      </c>
      <c r="S138" s="62">
        <f ca="1">AVERAGE(OFFSET($R$3,0,0,'Données projet'!$E$9+1,1))-AVERAGE(OFFSET($H$3,0,0,'Données projet'!$E$9+1,1))</f>
        <v>302.6112905010138</v>
      </c>
      <c r="T138" s="62">
        <f t="shared" si="142"/>
        <v>423.44006663873375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0.12419857177426147</v>
      </c>
      <c r="AB138" s="23">
        <f>EXP(-LN(2)/2)*AB137+(1-EXP(-LN(2)/2))/(LN(2)/2)*V138*Y138*VLOOKUP('Données projet'!$B$9,Paramètres!$A$1:$I$89,3,0)*0.475*44/12</f>
        <v>9.9467149584635819E-16</v>
      </c>
      <c r="AC138" s="24">
        <f t="shared" si="111"/>
        <v>0.12419857177426247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1.1527845344971866E-13</v>
      </c>
      <c r="AK138" s="14">
        <f t="shared" si="143"/>
        <v>1.7033846239409443E-12</v>
      </c>
      <c r="AL138" s="22">
        <f t="shared" si="112"/>
        <v>3.1675048597887374E-12</v>
      </c>
      <c r="AM138" s="62">
        <f t="shared" si="113"/>
        <v>293.3333333333365</v>
      </c>
      <c r="AN138" s="62">
        <f ca="1">AVERAGE(OFFSET($AM$3,0,0,'Données projet'!$E$10+1,1))-AVERAGE(OFFSET($H$3,0,0,'Données projet'!$E$10+1,1))</f>
        <v>411.98877330238821</v>
      </c>
      <c r="AO138" s="62">
        <f t="shared" si="144"/>
        <v>256.4377087753457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-1.1368683772161603E-13</v>
      </c>
      <c r="BE138" s="14">
        <f>BD138*VLOOKUP('Données projet'!$B$11,Paramètres!$A$1:$I$89,3,0)*VLOOKUP('Données projet'!$B$11,Paramètres!$A$1:$I$89,5,0)</f>
        <v>-9.9316821433603781E-14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195.30963433439501</v>
      </c>
      <c r="BJ138" s="62">
        <f t="shared" si="146"/>
        <v>185.00219255324504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2.1442656159877777E-15</v>
      </c>
      <c r="BS138" s="24">
        <f t="shared" si="117"/>
        <v>2.1442656159877777E-15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-5.6843418860808015E-14</v>
      </c>
      <c r="BZ138" s="14">
        <f>BY138*VLOOKUP('Données projet'!$B$12,Paramètres!$A$1:$I$89,3,0)*VLOOKUP('Données projet'!$B$12,Paramètres!$A$1:$I$89,5,0)</f>
        <v>-5.4978954722173515E-14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298.18906674058809</v>
      </c>
      <c r="CE138" s="62">
        <f t="shared" si="148"/>
        <v>154.08406475869634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1.9895196601282805E-13</v>
      </c>
      <c r="O139" s="14">
        <f>N139*VLOOKUP('Données projet'!$B$9,Paramètres!$A$1:$I$89,3,0)*VLOOKUP('Données projet'!$B$9,Paramètres!$A$1:$I$89,5,0)</f>
        <v>1.8001173884840681E-13</v>
      </c>
      <c r="P139" s="14">
        <f t="shared" si="141"/>
        <v>2.5254331426407198E-12</v>
      </c>
      <c r="Q139" s="22">
        <f t="shared" si="108"/>
        <v>4.7119831685935622E-12</v>
      </c>
      <c r="R139" s="62">
        <f t="shared" si="109"/>
        <v>293.33333333333803</v>
      </c>
      <c r="S139" s="62">
        <f ca="1">AVERAGE(OFFSET($R$3,0,0,'Données projet'!$E$9+1,1))-AVERAGE(OFFSET($H$3,0,0,'Données projet'!$E$9+1,1))</f>
        <v>302.6112905010138</v>
      </c>
      <c r="T139" s="62">
        <f t="shared" si="142"/>
        <v>423.44006663873375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0.12080235529777526</v>
      </c>
      <c r="AB139" s="23">
        <f>EXP(-LN(2)/2)*AB138+(1-EXP(-LN(2)/2))/(LN(2)/2)*V139*Y139*VLOOKUP('Données projet'!$B$9,Paramètres!$A$1:$I$89,3,0)*0.475*44/12</f>
        <v>7.0333895976592672E-16</v>
      </c>
      <c r="AC139" s="24">
        <f t="shared" si="111"/>
        <v>0.12080235529777597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1.1527845344971866E-13</v>
      </c>
      <c r="AK139" s="14">
        <f t="shared" si="143"/>
        <v>1.7033846239409443E-12</v>
      </c>
      <c r="AL139" s="22">
        <f t="shared" si="112"/>
        <v>3.1675048597887374E-12</v>
      </c>
      <c r="AM139" s="62">
        <f t="shared" si="113"/>
        <v>293.3333333333365</v>
      </c>
      <c r="AN139" s="62">
        <f ca="1">AVERAGE(OFFSET($AM$3,0,0,'Données projet'!$E$10+1,1))-AVERAGE(OFFSET($H$3,0,0,'Données projet'!$E$10+1,1))</f>
        <v>411.98877330238821</v>
      </c>
      <c r="AO139" s="62">
        <f t="shared" si="144"/>
        <v>256.4377087753457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-1.1368683772161603E-13</v>
      </c>
      <c r="BE139" s="14">
        <f>BD139*VLOOKUP('Données projet'!$B$11,Paramètres!$A$1:$I$89,3,0)*VLOOKUP('Données projet'!$B$11,Paramètres!$A$1:$I$89,5,0)</f>
        <v>-9.9316821433603781E-14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195.30963433439501</v>
      </c>
      <c r="BJ139" s="62">
        <f t="shared" si="146"/>
        <v>185.00219255324504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1.5162247577301071E-15</v>
      </c>
      <c r="BS139" s="24">
        <f t="shared" si="117"/>
        <v>1.5162247577301071E-15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-5.6843418860808015E-14</v>
      </c>
      <c r="BZ139" s="14">
        <f>BY139*VLOOKUP('Données projet'!$B$12,Paramètres!$A$1:$I$89,3,0)*VLOOKUP('Données projet'!$B$12,Paramètres!$A$1:$I$89,5,0)</f>
        <v>-5.4978954722173515E-14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298.18906674058809</v>
      </c>
      <c r="CE139" s="62">
        <f t="shared" si="148"/>
        <v>154.08406475869634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1.9895196601282805E-13</v>
      </c>
      <c r="O140" s="14">
        <f>N140*VLOOKUP('Données projet'!$B$9,Paramètres!$A$1:$I$89,3,0)*VLOOKUP('Données projet'!$B$9,Paramètres!$A$1:$I$89,5,0)</f>
        <v>1.8001173884840681E-13</v>
      </c>
      <c r="P140" s="14">
        <f t="shared" si="141"/>
        <v>2.5254331426407198E-12</v>
      </c>
      <c r="Q140" s="22">
        <f t="shared" si="108"/>
        <v>4.7119831685935622E-12</v>
      </c>
      <c r="R140" s="62">
        <f t="shared" si="109"/>
        <v>293.33333333333803</v>
      </c>
      <c r="S140" s="62">
        <f ca="1">AVERAGE(OFFSET($R$3,0,0,'Données projet'!$E$9+1,1))-AVERAGE(OFFSET($H$3,0,0,'Données projet'!$E$9+1,1))</f>
        <v>302.6112905010138</v>
      </c>
      <c r="T140" s="62">
        <f t="shared" si="142"/>
        <v>423.44006663873375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0.11749900853943783</v>
      </c>
      <c r="AB140" s="23">
        <f>EXP(-LN(2)/2)*AB139+(1-EXP(-LN(2)/2))/(LN(2)/2)*V140*Y140*VLOOKUP('Données projet'!$B$9,Paramètres!$A$1:$I$89,3,0)*0.475*44/12</f>
        <v>4.973357479231791E-16</v>
      </c>
      <c r="AC140" s="24">
        <f t="shared" si="111"/>
        <v>0.11749900853943833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1.1527845344971866E-13</v>
      </c>
      <c r="AK140" s="14">
        <f t="shared" si="143"/>
        <v>1.7033846239409443E-12</v>
      </c>
      <c r="AL140" s="22">
        <f t="shared" si="112"/>
        <v>3.1675048597887374E-12</v>
      </c>
      <c r="AM140" s="62">
        <f t="shared" si="113"/>
        <v>293.3333333333365</v>
      </c>
      <c r="AN140" s="62">
        <f ca="1">AVERAGE(OFFSET($AM$3,0,0,'Données projet'!$E$10+1,1))-AVERAGE(OFFSET($H$3,0,0,'Données projet'!$E$10+1,1))</f>
        <v>411.98877330238821</v>
      </c>
      <c r="AO140" s="62">
        <f t="shared" si="144"/>
        <v>256.4377087753457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-1.1368683772161603E-13</v>
      </c>
      <c r="BE140" s="14">
        <f>BD140*VLOOKUP('Données projet'!$B$11,Paramètres!$A$1:$I$89,3,0)*VLOOKUP('Données projet'!$B$11,Paramètres!$A$1:$I$89,5,0)</f>
        <v>-9.9316821433603781E-14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195.30963433439501</v>
      </c>
      <c r="BJ140" s="62">
        <f t="shared" si="146"/>
        <v>185.00219255324504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1.0721328079938889E-15</v>
      </c>
      <c r="BS140" s="24">
        <f t="shared" si="117"/>
        <v>1.0721328079938889E-15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-5.6843418860808015E-14</v>
      </c>
      <c r="BZ140" s="14">
        <f>BY140*VLOOKUP('Données projet'!$B$12,Paramètres!$A$1:$I$89,3,0)*VLOOKUP('Données projet'!$B$12,Paramètres!$A$1:$I$89,5,0)</f>
        <v>-5.4978954722173515E-14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298.18906674058809</v>
      </c>
      <c r="CE140" s="62">
        <f t="shared" si="148"/>
        <v>154.08406475869634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1.9895196601282805E-13</v>
      </c>
      <c r="O141" s="14">
        <f>N141*VLOOKUP('Données projet'!$B$9,Paramètres!$A$1:$I$89,3,0)*VLOOKUP('Données projet'!$B$9,Paramètres!$A$1:$I$89,5,0)</f>
        <v>1.8001173884840681E-13</v>
      </c>
      <c r="P141" s="14">
        <f t="shared" si="141"/>
        <v>2.5254331426407198E-12</v>
      </c>
      <c r="Q141" s="22">
        <f t="shared" si="108"/>
        <v>4.7119831685935622E-12</v>
      </c>
      <c r="R141" s="62">
        <f t="shared" si="109"/>
        <v>293.33333333333803</v>
      </c>
      <c r="S141" s="62">
        <f ca="1">AVERAGE(OFFSET($R$3,0,0,'Données projet'!$E$9+1,1))-AVERAGE(OFFSET($H$3,0,0,'Données projet'!$E$9+1,1))</f>
        <v>302.6112905010138</v>
      </c>
      <c r="T141" s="62">
        <f t="shared" si="142"/>
        <v>423.44006663873375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0.11428599197192259</v>
      </c>
      <c r="AB141" s="23">
        <f>EXP(-LN(2)/2)*AB140+(1-EXP(-LN(2)/2))/(LN(2)/2)*V141*Y141*VLOOKUP('Données projet'!$B$9,Paramètres!$A$1:$I$89,3,0)*0.475*44/12</f>
        <v>3.5166947988296336E-16</v>
      </c>
      <c r="AC141" s="24">
        <f t="shared" si="111"/>
        <v>0.11428599197192293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1.1527845344971866E-13</v>
      </c>
      <c r="AK141" s="14">
        <f t="shared" si="143"/>
        <v>1.7033846239409443E-12</v>
      </c>
      <c r="AL141" s="22">
        <f t="shared" si="112"/>
        <v>3.1675048597887374E-12</v>
      </c>
      <c r="AM141" s="62">
        <f t="shared" si="113"/>
        <v>293.3333333333365</v>
      </c>
      <c r="AN141" s="62">
        <f ca="1">AVERAGE(OFFSET($AM$3,0,0,'Données projet'!$E$10+1,1))-AVERAGE(OFFSET($H$3,0,0,'Données projet'!$E$10+1,1))</f>
        <v>411.98877330238821</v>
      </c>
      <c r="AO141" s="62">
        <f t="shared" si="144"/>
        <v>256.4377087753457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-1.1368683772161603E-13</v>
      </c>
      <c r="BE141" s="14">
        <f>BD141*VLOOKUP('Données projet'!$B$11,Paramètres!$A$1:$I$89,3,0)*VLOOKUP('Données projet'!$B$11,Paramètres!$A$1:$I$89,5,0)</f>
        <v>-9.9316821433603781E-14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195.30963433439501</v>
      </c>
      <c r="BJ141" s="62">
        <f t="shared" si="146"/>
        <v>185.00219255324504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7.5811237886505356E-16</v>
      </c>
      <c r="BS141" s="24">
        <f t="shared" si="117"/>
        <v>7.5811237886505356E-16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-5.6843418860808015E-14</v>
      </c>
      <c r="BZ141" s="14">
        <f>BY141*VLOOKUP('Données projet'!$B$12,Paramètres!$A$1:$I$89,3,0)*VLOOKUP('Données projet'!$B$12,Paramètres!$A$1:$I$89,5,0)</f>
        <v>-5.4978954722173515E-14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298.18906674058809</v>
      </c>
      <c r="CE141" s="62">
        <f t="shared" si="148"/>
        <v>154.08406475869634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1.9895196601282805E-13</v>
      </c>
      <c r="O142" s="14">
        <f>N142*VLOOKUP('Données projet'!$B$9,Paramètres!$A$1:$I$89,3,0)*VLOOKUP('Données projet'!$B$9,Paramètres!$A$1:$I$89,5,0)</f>
        <v>1.8001173884840681E-13</v>
      </c>
      <c r="P142" s="14">
        <f t="shared" si="141"/>
        <v>2.5254331426407198E-12</v>
      </c>
      <c r="Q142" s="22">
        <f t="shared" si="108"/>
        <v>4.7119831685935622E-12</v>
      </c>
      <c r="R142" s="62">
        <f t="shared" si="109"/>
        <v>293.33333333333803</v>
      </c>
      <c r="S142" s="62">
        <f ca="1">AVERAGE(OFFSET($R$3,0,0,'Données projet'!$E$9+1,1))-AVERAGE(OFFSET($H$3,0,0,'Données projet'!$E$9+1,1))</f>
        <v>302.6112905010138</v>
      </c>
      <c r="T142" s="62">
        <f t="shared" si="142"/>
        <v>423.44006663873375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0.11116083551141125</v>
      </c>
      <c r="AB142" s="23">
        <f>EXP(-LN(2)/2)*AB141+(1-EXP(-LN(2)/2))/(LN(2)/2)*V142*Y142*VLOOKUP('Données projet'!$B$9,Paramètres!$A$1:$I$89,3,0)*0.475*44/12</f>
        <v>2.4866787396158955E-16</v>
      </c>
      <c r="AC142" s="24">
        <f t="shared" si="111"/>
        <v>0.1111608355114115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1.1527845344971866E-13</v>
      </c>
      <c r="AK142" s="14">
        <f t="shared" si="143"/>
        <v>1.7033846239409443E-12</v>
      </c>
      <c r="AL142" s="22">
        <f t="shared" si="112"/>
        <v>3.1675048597887374E-12</v>
      </c>
      <c r="AM142" s="62">
        <f t="shared" si="113"/>
        <v>293.3333333333365</v>
      </c>
      <c r="AN142" s="62">
        <f ca="1">AVERAGE(OFFSET($AM$3,0,0,'Données projet'!$E$10+1,1))-AVERAGE(OFFSET($H$3,0,0,'Données projet'!$E$10+1,1))</f>
        <v>411.98877330238821</v>
      </c>
      <c r="AO142" s="62">
        <f t="shared" si="144"/>
        <v>256.4377087753457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-1.1368683772161603E-13</v>
      </c>
      <c r="BE142" s="14">
        <f>BD142*VLOOKUP('Données projet'!$B$11,Paramètres!$A$1:$I$89,3,0)*VLOOKUP('Données projet'!$B$11,Paramètres!$A$1:$I$89,5,0)</f>
        <v>-9.9316821433603781E-14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195.30963433439501</v>
      </c>
      <c r="BJ142" s="62">
        <f t="shared" si="146"/>
        <v>185.00219255324504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5.3606640399694443E-16</v>
      </c>
      <c r="BS142" s="24">
        <f t="shared" si="117"/>
        <v>5.3606640399694443E-16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-5.6843418860808015E-14</v>
      </c>
      <c r="BZ142" s="14">
        <f>BY142*VLOOKUP('Données projet'!$B$12,Paramètres!$A$1:$I$89,3,0)*VLOOKUP('Données projet'!$B$12,Paramètres!$A$1:$I$89,5,0)</f>
        <v>-5.4978954722173515E-14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298.18906674058809</v>
      </c>
      <c r="CE142" s="62">
        <f t="shared" si="148"/>
        <v>154.08406475869634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1.9895196601282805E-13</v>
      </c>
      <c r="O143" s="14">
        <f>N143*VLOOKUP('Données projet'!$B$9,Paramètres!$A$1:$I$89,3,0)*VLOOKUP('Données projet'!$B$9,Paramètres!$A$1:$I$89,5,0)</f>
        <v>1.8001173884840681E-13</v>
      </c>
      <c r="P143" s="14">
        <f t="shared" si="141"/>
        <v>2.5254331426407198E-12</v>
      </c>
      <c r="Q143" s="22">
        <f t="shared" si="108"/>
        <v>4.7119831685935622E-12</v>
      </c>
      <c r="R143" s="62">
        <f t="shared" si="109"/>
        <v>293.33333333333803</v>
      </c>
      <c r="S143" s="62">
        <f ca="1">AVERAGE(OFFSET($R$3,0,0,'Données projet'!$E$9+1,1))-AVERAGE(OFFSET($H$3,0,0,'Données projet'!$E$9+1,1))</f>
        <v>302.6112905010138</v>
      </c>
      <c r="T143" s="62">
        <f t="shared" si="142"/>
        <v>423.44006663873375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0.10812113661865742</v>
      </c>
      <c r="AB143" s="23">
        <f>EXP(-LN(2)/2)*AB142+(1-EXP(-LN(2)/2))/(LN(2)/2)*V143*Y143*VLOOKUP('Données projet'!$B$9,Paramètres!$A$1:$I$89,3,0)*0.475*44/12</f>
        <v>1.7583473994148168E-16</v>
      </c>
      <c r="AC143" s="24">
        <f t="shared" si="111"/>
        <v>0.1081211366186576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1.1527845344971866E-13</v>
      </c>
      <c r="AK143" s="14">
        <f t="shared" si="143"/>
        <v>1.7033846239409443E-12</v>
      </c>
      <c r="AL143" s="22">
        <f t="shared" si="112"/>
        <v>3.1675048597887374E-12</v>
      </c>
      <c r="AM143" s="62">
        <f t="shared" si="113"/>
        <v>293.3333333333365</v>
      </c>
      <c r="AN143" s="62">
        <f ca="1">AVERAGE(OFFSET($AM$3,0,0,'Données projet'!$E$10+1,1))-AVERAGE(OFFSET($H$3,0,0,'Données projet'!$E$10+1,1))</f>
        <v>411.98877330238821</v>
      </c>
      <c r="AO143" s="62">
        <f t="shared" si="144"/>
        <v>256.4377087753457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-1.1368683772161603E-13</v>
      </c>
      <c r="BE143" s="14">
        <f>BD143*VLOOKUP('Données projet'!$B$11,Paramètres!$A$1:$I$89,3,0)*VLOOKUP('Données projet'!$B$11,Paramètres!$A$1:$I$89,5,0)</f>
        <v>-9.9316821433603781E-14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195.30963433439501</v>
      </c>
      <c r="BJ143" s="62">
        <f t="shared" si="146"/>
        <v>185.00219255324504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3.7905618943252678E-16</v>
      </c>
      <c r="BS143" s="24">
        <f t="shared" si="117"/>
        <v>3.7905618943252678E-16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-5.6843418860808015E-14</v>
      </c>
      <c r="BZ143" s="14">
        <f>BY143*VLOOKUP('Données projet'!$B$12,Paramètres!$A$1:$I$89,3,0)*VLOOKUP('Données projet'!$B$12,Paramètres!$A$1:$I$89,5,0)</f>
        <v>-5.4978954722173515E-14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298.18906674058809</v>
      </c>
      <c r="CE143" s="62">
        <f t="shared" si="148"/>
        <v>154.08406475869634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1.9895196601282805E-13</v>
      </c>
      <c r="O144" s="14">
        <f>N144*VLOOKUP('Données projet'!$B$9,Paramètres!$A$1:$I$89,3,0)*VLOOKUP('Données projet'!$B$9,Paramètres!$A$1:$I$89,5,0)</f>
        <v>1.8001173884840681E-13</v>
      </c>
      <c r="P144" s="14">
        <f t="shared" si="141"/>
        <v>2.5254331426407198E-12</v>
      </c>
      <c r="Q144" s="22">
        <f t="shared" si="108"/>
        <v>4.7119831685935622E-12</v>
      </c>
      <c r="R144" s="62">
        <f t="shared" si="109"/>
        <v>293.33333333333803</v>
      </c>
      <c r="S144" s="62">
        <f ca="1">AVERAGE(OFFSET($R$3,0,0,'Données projet'!$E$9+1,1))-AVERAGE(OFFSET($H$3,0,0,'Données projet'!$E$9+1,1))</f>
        <v>302.6112905010138</v>
      </c>
      <c r="T144" s="62">
        <f t="shared" si="142"/>
        <v>423.44006663873375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0.10516455845197678</v>
      </c>
      <c r="AB144" s="23">
        <f>EXP(-LN(2)/2)*AB143+(1-EXP(-LN(2)/2))/(LN(2)/2)*V144*Y144*VLOOKUP('Données projet'!$B$9,Paramètres!$A$1:$I$89,3,0)*0.475*44/12</f>
        <v>1.2433393698079477E-16</v>
      </c>
      <c r="AC144" s="24">
        <f t="shared" si="111"/>
        <v>0.10516455845197691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1.1527845344971866E-13</v>
      </c>
      <c r="AK144" s="14">
        <f t="shared" si="143"/>
        <v>1.7033846239409443E-12</v>
      </c>
      <c r="AL144" s="22">
        <f t="shared" si="112"/>
        <v>3.1675048597887374E-12</v>
      </c>
      <c r="AM144" s="62">
        <f t="shared" si="113"/>
        <v>293.3333333333365</v>
      </c>
      <c r="AN144" s="62">
        <f ca="1">AVERAGE(OFFSET($AM$3,0,0,'Données projet'!$E$10+1,1))-AVERAGE(OFFSET($H$3,0,0,'Données projet'!$E$10+1,1))</f>
        <v>411.98877330238821</v>
      </c>
      <c r="AO144" s="62">
        <f t="shared" si="144"/>
        <v>256.4377087753457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-1.1368683772161603E-13</v>
      </c>
      <c r="BE144" s="14">
        <f>BD144*VLOOKUP('Données projet'!$B$11,Paramètres!$A$1:$I$89,3,0)*VLOOKUP('Données projet'!$B$11,Paramètres!$A$1:$I$89,5,0)</f>
        <v>-9.9316821433603781E-14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195.30963433439501</v>
      </c>
      <c r="BJ144" s="62">
        <f t="shared" si="146"/>
        <v>185.00219255324504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2.6803320199847222E-16</v>
      </c>
      <c r="BS144" s="24">
        <f t="shared" si="117"/>
        <v>2.6803320199847222E-16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-5.6843418860808015E-14</v>
      </c>
      <c r="BZ144" s="14">
        <f>BY144*VLOOKUP('Données projet'!$B$12,Paramètres!$A$1:$I$89,3,0)*VLOOKUP('Données projet'!$B$12,Paramètres!$A$1:$I$89,5,0)</f>
        <v>-5.4978954722173515E-14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298.18906674058809</v>
      </c>
      <c r="CE144" s="62">
        <f t="shared" si="148"/>
        <v>154.08406475869634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1.9895196601282805E-13</v>
      </c>
      <c r="O145" s="14">
        <f>N145*VLOOKUP('Données projet'!$B$9,Paramètres!$A$1:$I$89,3,0)*VLOOKUP('Données projet'!$B$9,Paramètres!$A$1:$I$89,5,0)</f>
        <v>1.8001173884840681E-13</v>
      </c>
      <c r="P145" s="14">
        <f t="shared" si="141"/>
        <v>2.5254331426407198E-12</v>
      </c>
      <c r="Q145" s="22">
        <f t="shared" si="108"/>
        <v>4.7119831685935622E-12</v>
      </c>
      <c r="R145" s="62">
        <f t="shared" si="109"/>
        <v>293.33333333333803</v>
      </c>
      <c r="S145" s="62">
        <f ca="1">AVERAGE(OFFSET($R$3,0,0,'Données projet'!$E$9+1,1))-AVERAGE(OFFSET($H$3,0,0,'Données projet'!$E$9+1,1))</f>
        <v>302.6112905010138</v>
      </c>
      <c r="T145" s="62">
        <f t="shared" si="142"/>
        <v>423.44006663873375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0.1022888280707437</v>
      </c>
      <c r="AB145" s="23">
        <f>EXP(-LN(2)/2)*AB144+(1-EXP(-LN(2)/2))/(LN(2)/2)*V145*Y145*VLOOKUP('Données projet'!$B$9,Paramètres!$A$1:$I$89,3,0)*0.475*44/12</f>
        <v>8.791736997074084E-17</v>
      </c>
      <c r="AC145" s="24">
        <f t="shared" si="111"/>
        <v>0.10228882807074378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1.1527845344971866E-13</v>
      </c>
      <c r="AK145" s="14">
        <f t="shared" si="143"/>
        <v>1.7033846239409443E-12</v>
      </c>
      <c r="AL145" s="22">
        <f t="shared" si="112"/>
        <v>3.1675048597887374E-12</v>
      </c>
      <c r="AM145" s="62">
        <f t="shared" si="113"/>
        <v>293.3333333333365</v>
      </c>
      <c r="AN145" s="62">
        <f ca="1">AVERAGE(OFFSET($AM$3,0,0,'Données projet'!$E$10+1,1))-AVERAGE(OFFSET($H$3,0,0,'Données projet'!$E$10+1,1))</f>
        <v>411.98877330238821</v>
      </c>
      <c r="AO145" s="62">
        <f t="shared" si="144"/>
        <v>256.4377087753457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-1.1368683772161603E-13</v>
      </c>
      <c r="BE145" s="14">
        <f>BD145*VLOOKUP('Données projet'!$B$11,Paramètres!$A$1:$I$89,3,0)*VLOOKUP('Données projet'!$B$11,Paramètres!$A$1:$I$89,5,0)</f>
        <v>-9.9316821433603781E-14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195.30963433439501</v>
      </c>
      <c r="BJ145" s="62">
        <f t="shared" si="146"/>
        <v>185.00219255324504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1.8952809471626339E-16</v>
      </c>
      <c r="BS145" s="24">
        <f t="shared" si="117"/>
        <v>1.8952809471626339E-16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-5.6843418860808015E-14</v>
      </c>
      <c r="BZ145" s="14">
        <f>BY145*VLOOKUP('Données projet'!$B$12,Paramètres!$A$1:$I$89,3,0)*VLOOKUP('Données projet'!$B$12,Paramètres!$A$1:$I$89,5,0)</f>
        <v>-5.4978954722173515E-14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298.18906674058809</v>
      </c>
      <c r="CE145" s="62">
        <f t="shared" si="148"/>
        <v>154.08406475869634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1.9895196601282805E-13</v>
      </c>
      <c r="O146" s="14">
        <f>N146*VLOOKUP('Données projet'!$B$9,Paramètres!$A$1:$I$89,3,0)*VLOOKUP('Données projet'!$B$9,Paramètres!$A$1:$I$89,5,0)</f>
        <v>1.8001173884840681E-13</v>
      </c>
      <c r="P146" s="14">
        <f t="shared" si="141"/>
        <v>2.5254331426407198E-12</v>
      </c>
      <c r="Q146" s="22">
        <f t="shared" si="108"/>
        <v>4.7119831685935622E-12</v>
      </c>
      <c r="R146" s="62">
        <f t="shared" si="109"/>
        <v>293.33333333333803</v>
      </c>
      <c r="S146" s="62">
        <f ca="1">AVERAGE(OFFSET($R$3,0,0,'Données projet'!$E$9+1,1))-AVERAGE(OFFSET($H$3,0,0,'Données projet'!$E$9+1,1))</f>
        <v>302.6112905010138</v>
      </c>
      <c r="T146" s="62">
        <f t="shared" si="142"/>
        <v>423.44006663873375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9.9491734688013533E-2</v>
      </c>
      <c r="AB146" s="23">
        <f>EXP(-LN(2)/2)*AB145+(1-EXP(-LN(2)/2))/(LN(2)/2)*V146*Y146*VLOOKUP('Données projet'!$B$9,Paramètres!$A$1:$I$89,3,0)*0.475*44/12</f>
        <v>6.2166968490397387E-17</v>
      </c>
      <c r="AC146" s="24">
        <f t="shared" si="111"/>
        <v>9.9491734688013589E-2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1.1527845344971866E-13</v>
      </c>
      <c r="AK146" s="14">
        <f t="shared" si="143"/>
        <v>1.7033846239409443E-12</v>
      </c>
      <c r="AL146" s="22">
        <f t="shared" si="112"/>
        <v>3.1675048597887374E-12</v>
      </c>
      <c r="AM146" s="62">
        <f t="shared" si="113"/>
        <v>293.3333333333365</v>
      </c>
      <c r="AN146" s="62">
        <f ca="1">AVERAGE(OFFSET($AM$3,0,0,'Données projet'!$E$10+1,1))-AVERAGE(OFFSET($H$3,0,0,'Données projet'!$E$10+1,1))</f>
        <v>411.98877330238821</v>
      </c>
      <c r="AO146" s="62">
        <f t="shared" si="144"/>
        <v>256.4377087753457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-1.1368683772161603E-13</v>
      </c>
      <c r="BE146" s="14">
        <f>BD146*VLOOKUP('Données projet'!$B$11,Paramètres!$A$1:$I$89,3,0)*VLOOKUP('Données projet'!$B$11,Paramètres!$A$1:$I$89,5,0)</f>
        <v>-9.9316821433603781E-14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195.30963433439501</v>
      </c>
      <c r="BJ146" s="62">
        <f t="shared" si="146"/>
        <v>185.00219255324504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1.3401660099923611E-16</v>
      </c>
      <c r="BS146" s="24">
        <f t="shared" si="117"/>
        <v>1.3401660099923611E-16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-5.6843418860808015E-14</v>
      </c>
      <c r="BZ146" s="14">
        <f>BY146*VLOOKUP('Données projet'!$B$12,Paramètres!$A$1:$I$89,3,0)*VLOOKUP('Données projet'!$B$12,Paramètres!$A$1:$I$89,5,0)</f>
        <v>-5.4978954722173515E-14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298.18906674058809</v>
      </c>
      <c r="CE146" s="62">
        <f t="shared" si="148"/>
        <v>154.08406475869634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1.9895196601282805E-13</v>
      </c>
      <c r="O147" s="14">
        <f>N147*VLOOKUP('Données projet'!$B$9,Paramètres!$A$1:$I$89,3,0)*VLOOKUP('Données projet'!$B$9,Paramètres!$A$1:$I$89,5,0)</f>
        <v>1.8001173884840681E-13</v>
      </c>
      <c r="P147" s="14">
        <f t="shared" si="141"/>
        <v>2.5254331426407198E-12</v>
      </c>
      <c r="Q147" s="22">
        <f t="shared" si="108"/>
        <v>4.7119831685935622E-12</v>
      </c>
      <c r="R147" s="62">
        <f t="shared" si="109"/>
        <v>293.33333333333803</v>
      </c>
      <c r="S147" s="62">
        <f ca="1">AVERAGE(OFFSET($R$3,0,0,'Données projet'!$E$9+1,1))-AVERAGE(OFFSET($H$3,0,0,'Données projet'!$E$9+1,1))</f>
        <v>302.6112905010138</v>
      </c>
      <c r="T147" s="62">
        <f t="shared" si="142"/>
        <v>423.44006663873375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9.6771127970926865E-2</v>
      </c>
      <c r="AB147" s="23">
        <f>EXP(-LN(2)/2)*AB146+(1-EXP(-LN(2)/2))/(LN(2)/2)*V147*Y147*VLOOKUP('Données projet'!$B$9,Paramètres!$A$1:$I$89,3,0)*0.475*44/12</f>
        <v>4.395868498537042E-17</v>
      </c>
      <c r="AC147" s="24">
        <f t="shared" si="111"/>
        <v>9.6771127970926907E-2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1.1527845344971866E-13</v>
      </c>
      <c r="AK147" s="14">
        <f t="shared" si="143"/>
        <v>1.7033846239409443E-12</v>
      </c>
      <c r="AL147" s="22">
        <f t="shared" si="112"/>
        <v>3.1675048597887374E-12</v>
      </c>
      <c r="AM147" s="62">
        <f t="shared" si="113"/>
        <v>293.3333333333365</v>
      </c>
      <c r="AN147" s="62">
        <f ca="1">AVERAGE(OFFSET($AM$3,0,0,'Données projet'!$E$10+1,1))-AVERAGE(OFFSET($H$3,0,0,'Données projet'!$E$10+1,1))</f>
        <v>411.98877330238821</v>
      </c>
      <c r="AO147" s="62">
        <f t="shared" si="144"/>
        <v>256.4377087753457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-1.1368683772161603E-13</v>
      </c>
      <c r="BE147" s="14">
        <f>BD147*VLOOKUP('Données projet'!$B$11,Paramètres!$A$1:$I$89,3,0)*VLOOKUP('Données projet'!$B$11,Paramètres!$A$1:$I$89,5,0)</f>
        <v>-9.9316821433603781E-14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195.30963433439501</v>
      </c>
      <c r="BJ147" s="62">
        <f t="shared" si="146"/>
        <v>185.00219255324504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9.4764047358131695E-17</v>
      </c>
      <c r="BS147" s="24">
        <f t="shared" si="117"/>
        <v>9.4764047358131695E-17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-5.6843418860808015E-14</v>
      </c>
      <c r="BZ147" s="14">
        <f>BY147*VLOOKUP('Données projet'!$B$12,Paramètres!$A$1:$I$89,3,0)*VLOOKUP('Données projet'!$B$12,Paramètres!$A$1:$I$89,5,0)</f>
        <v>-5.4978954722173515E-14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298.18906674058809</v>
      </c>
      <c r="CE147" s="62">
        <f t="shared" si="148"/>
        <v>154.08406475869634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1.9895196601282805E-13</v>
      </c>
      <c r="O148" s="14">
        <f>N148*VLOOKUP('Données projet'!$B$9,Paramètres!$A$1:$I$89,3,0)*VLOOKUP('Données projet'!$B$9,Paramètres!$A$1:$I$89,5,0)</f>
        <v>1.8001173884840681E-13</v>
      </c>
      <c r="P148" s="14">
        <f t="shared" si="141"/>
        <v>2.5254331426407198E-12</v>
      </c>
      <c r="Q148" s="22">
        <f t="shared" si="108"/>
        <v>4.7119831685935622E-12</v>
      </c>
      <c r="R148" s="62">
        <f t="shared" si="109"/>
        <v>293.33333333333803</v>
      </c>
      <c r="S148" s="62">
        <f ca="1">AVERAGE(OFFSET($R$3,0,0,'Données projet'!$E$9+1,1))-AVERAGE(OFFSET($H$3,0,0,'Données projet'!$E$9+1,1))</f>
        <v>302.6112905010138</v>
      </c>
      <c r="T148" s="62">
        <f t="shared" si="142"/>
        <v>423.44006663873375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9.4124916387589422E-2</v>
      </c>
      <c r="AB148" s="23">
        <f>EXP(-LN(2)/2)*AB147+(1-EXP(-LN(2)/2))/(LN(2)/2)*V148*Y148*VLOOKUP('Données projet'!$B$9,Paramètres!$A$1:$I$89,3,0)*0.475*44/12</f>
        <v>3.1083484245198693E-17</v>
      </c>
      <c r="AC148" s="24">
        <f t="shared" si="111"/>
        <v>9.412491638758945E-2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1.1527845344971866E-13</v>
      </c>
      <c r="AK148" s="14">
        <f t="shared" si="143"/>
        <v>1.7033846239409443E-12</v>
      </c>
      <c r="AL148" s="22">
        <f t="shared" si="112"/>
        <v>3.1675048597887374E-12</v>
      </c>
      <c r="AM148" s="62">
        <f t="shared" si="113"/>
        <v>293.3333333333365</v>
      </c>
      <c r="AN148" s="62">
        <f ca="1">AVERAGE(OFFSET($AM$3,0,0,'Données projet'!$E$10+1,1))-AVERAGE(OFFSET($H$3,0,0,'Données projet'!$E$10+1,1))</f>
        <v>411.98877330238821</v>
      </c>
      <c r="AO148" s="62">
        <f t="shared" si="144"/>
        <v>256.4377087753457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-1.1368683772161603E-13</v>
      </c>
      <c r="BE148" s="14">
        <f>BD148*VLOOKUP('Données projet'!$B$11,Paramètres!$A$1:$I$89,3,0)*VLOOKUP('Données projet'!$B$11,Paramètres!$A$1:$I$89,5,0)</f>
        <v>-9.9316821433603781E-14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195.30963433439501</v>
      </c>
      <c r="BJ148" s="62">
        <f t="shared" si="146"/>
        <v>185.00219255324504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6.7008300499618054E-17</v>
      </c>
      <c r="BS148" s="24">
        <f t="shared" si="117"/>
        <v>6.7008300499618054E-17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-5.6843418860808015E-14</v>
      </c>
      <c r="BZ148" s="14">
        <f>BY148*VLOOKUP('Données projet'!$B$12,Paramètres!$A$1:$I$89,3,0)*VLOOKUP('Données projet'!$B$12,Paramètres!$A$1:$I$89,5,0)</f>
        <v>-5.4978954722173515E-14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298.18906674058809</v>
      </c>
      <c r="CE148" s="62">
        <f t="shared" si="148"/>
        <v>154.08406475869634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1.9895196601282805E-13</v>
      </c>
      <c r="O149" s="14">
        <f>N149*VLOOKUP('Données projet'!$B$9,Paramètres!$A$1:$I$89,3,0)*VLOOKUP('Données projet'!$B$9,Paramètres!$A$1:$I$89,5,0)</f>
        <v>1.8001173884840681E-13</v>
      </c>
      <c r="P149" s="14">
        <f t="shared" si="141"/>
        <v>2.5254331426407198E-12</v>
      </c>
      <c r="Q149" s="22">
        <f t="shared" si="108"/>
        <v>4.7119831685935622E-12</v>
      </c>
      <c r="R149" s="62">
        <f t="shared" si="109"/>
        <v>293.33333333333803</v>
      </c>
      <c r="S149" s="62">
        <f ca="1">AVERAGE(OFFSET($R$3,0,0,'Données projet'!$E$9+1,1))-AVERAGE(OFFSET($H$3,0,0,'Données projet'!$E$9+1,1))</f>
        <v>302.6112905010138</v>
      </c>
      <c r="T149" s="62">
        <f t="shared" si="142"/>
        <v>423.44006663873375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9.1551065599156559E-2</v>
      </c>
      <c r="AB149" s="23">
        <f>EXP(-LN(2)/2)*AB148+(1-EXP(-LN(2)/2))/(LN(2)/2)*V149*Y149*VLOOKUP('Données projet'!$B$9,Paramètres!$A$1:$I$89,3,0)*0.475*44/12</f>
        <v>2.197934249268521E-17</v>
      </c>
      <c r="AC149" s="24">
        <f t="shared" si="111"/>
        <v>9.1551065599156586E-2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1.1527845344971866E-13</v>
      </c>
      <c r="AK149" s="14">
        <f t="shared" si="143"/>
        <v>1.7033846239409443E-12</v>
      </c>
      <c r="AL149" s="22">
        <f t="shared" si="112"/>
        <v>3.1675048597887374E-12</v>
      </c>
      <c r="AM149" s="62">
        <f t="shared" si="113"/>
        <v>293.3333333333365</v>
      </c>
      <c r="AN149" s="62">
        <f ca="1">AVERAGE(OFFSET($AM$3,0,0,'Données projet'!$E$10+1,1))-AVERAGE(OFFSET($H$3,0,0,'Données projet'!$E$10+1,1))</f>
        <v>411.98877330238821</v>
      </c>
      <c r="AO149" s="62">
        <f t="shared" si="144"/>
        <v>256.4377087753457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-1.1368683772161603E-13</v>
      </c>
      <c r="BE149" s="14">
        <f>BD149*VLOOKUP('Données projet'!$B$11,Paramètres!$A$1:$I$89,3,0)*VLOOKUP('Données projet'!$B$11,Paramètres!$A$1:$I$89,5,0)</f>
        <v>-9.9316821433603781E-14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195.30963433439501</v>
      </c>
      <c r="BJ149" s="62">
        <f t="shared" si="146"/>
        <v>185.00219255324504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4.7382023679065848E-17</v>
      </c>
      <c r="BS149" s="24">
        <f t="shared" si="117"/>
        <v>4.7382023679065848E-17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-5.6843418860808015E-14</v>
      </c>
      <c r="BZ149" s="14">
        <f>BY149*VLOOKUP('Données projet'!$B$12,Paramètres!$A$1:$I$89,3,0)*VLOOKUP('Données projet'!$B$12,Paramètres!$A$1:$I$89,5,0)</f>
        <v>-5.4978954722173515E-14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298.18906674058809</v>
      </c>
      <c r="CE149" s="62">
        <f t="shared" si="148"/>
        <v>154.08406475869634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1.9895196601282805E-13</v>
      </c>
      <c r="O150" s="14">
        <f>N150*VLOOKUP('Données projet'!$B$9,Paramètres!$A$1:$I$89,3,0)*VLOOKUP('Données projet'!$B$9,Paramètres!$A$1:$I$89,5,0)</f>
        <v>1.8001173884840681E-13</v>
      </c>
      <c r="P150" s="14">
        <f t="shared" si="141"/>
        <v>2.5254331426407198E-12</v>
      </c>
      <c r="Q150" s="22">
        <f t="shared" si="108"/>
        <v>4.7119831685935622E-12</v>
      </c>
      <c r="R150" s="62">
        <f t="shared" si="109"/>
        <v>293.33333333333803</v>
      </c>
      <c r="S150" s="62">
        <f ca="1">AVERAGE(OFFSET($R$3,0,0,'Données projet'!$E$9+1,1))-AVERAGE(OFFSET($H$3,0,0,'Données projet'!$E$9+1,1))</f>
        <v>302.6112905010138</v>
      </c>
      <c r="T150" s="62">
        <f t="shared" si="142"/>
        <v>423.44006663873375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8.904759689588633E-2</v>
      </c>
      <c r="AB150" s="23">
        <f>EXP(-LN(2)/2)*AB149+(1-EXP(-LN(2)/2))/(LN(2)/2)*V150*Y150*VLOOKUP('Données projet'!$B$9,Paramètres!$A$1:$I$89,3,0)*0.475*44/12</f>
        <v>1.5541742122599347E-17</v>
      </c>
      <c r="AC150" s="24">
        <f t="shared" si="111"/>
        <v>8.9047596895886344E-2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1.1527845344971866E-13</v>
      </c>
      <c r="AK150" s="14">
        <f t="shared" si="143"/>
        <v>1.7033846239409443E-12</v>
      </c>
      <c r="AL150" s="22">
        <f t="shared" si="112"/>
        <v>3.1675048597887374E-12</v>
      </c>
      <c r="AM150" s="62">
        <f t="shared" si="113"/>
        <v>293.3333333333365</v>
      </c>
      <c r="AN150" s="62">
        <f ca="1">AVERAGE(OFFSET($AM$3,0,0,'Données projet'!$E$10+1,1))-AVERAGE(OFFSET($H$3,0,0,'Données projet'!$E$10+1,1))</f>
        <v>411.98877330238821</v>
      </c>
      <c r="AO150" s="62">
        <f t="shared" si="144"/>
        <v>256.4377087753457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-1.1368683772161603E-13</v>
      </c>
      <c r="BE150" s="14">
        <f>BD150*VLOOKUP('Données projet'!$B$11,Paramètres!$A$1:$I$89,3,0)*VLOOKUP('Données projet'!$B$11,Paramètres!$A$1:$I$89,5,0)</f>
        <v>-9.9316821433603781E-14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195.30963433439501</v>
      </c>
      <c r="BJ150" s="62">
        <f t="shared" si="146"/>
        <v>185.00219255324504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3.3504150249809027E-17</v>
      </c>
      <c r="BS150" s="24">
        <f t="shared" si="117"/>
        <v>3.3504150249809027E-17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-5.6843418860808015E-14</v>
      </c>
      <c r="BZ150" s="14">
        <f>BY150*VLOOKUP('Données projet'!$B$12,Paramètres!$A$1:$I$89,3,0)*VLOOKUP('Données projet'!$B$12,Paramètres!$A$1:$I$89,5,0)</f>
        <v>-5.4978954722173515E-14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298.18906674058809</v>
      </c>
      <c r="CE150" s="62">
        <f t="shared" si="148"/>
        <v>154.08406475869634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1.9895196601282805E-13</v>
      </c>
      <c r="O151" s="14">
        <f>N151*VLOOKUP('Données projet'!$B$9,Paramètres!$A$1:$I$89,3,0)*VLOOKUP('Données projet'!$B$9,Paramètres!$A$1:$I$89,5,0)</f>
        <v>1.8001173884840681E-13</v>
      </c>
      <c r="P151" s="14">
        <f t="shared" si="141"/>
        <v>2.5254331426407198E-12</v>
      </c>
      <c r="Q151" s="22">
        <f t="shared" si="108"/>
        <v>4.7119831685935622E-12</v>
      </c>
      <c r="R151" s="62">
        <f t="shared" si="109"/>
        <v>293.33333333333803</v>
      </c>
      <c r="S151" s="62">
        <f ca="1">AVERAGE(OFFSET($R$3,0,0,'Données projet'!$E$9+1,1))-AVERAGE(OFFSET($H$3,0,0,'Données projet'!$E$9+1,1))</f>
        <v>302.6112905010138</v>
      </c>
      <c r="T151" s="62">
        <f t="shared" si="142"/>
        <v>423.44006663873375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8.6612585675958725E-2</v>
      </c>
      <c r="AB151" s="23">
        <f>EXP(-LN(2)/2)*AB150+(1-EXP(-LN(2)/2))/(LN(2)/2)*V151*Y151*VLOOKUP('Données projet'!$B$9,Paramètres!$A$1:$I$89,3,0)*0.475*44/12</f>
        <v>1.0989671246342605E-17</v>
      </c>
      <c r="AC151" s="24">
        <f t="shared" si="111"/>
        <v>8.6612585675958739E-2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1.1527845344971866E-13</v>
      </c>
      <c r="AK151" s="14">
        <f t="shared" si="143"/>
        <v>1.7033846239409443E-12</v>
      </c>
      <c r="AL151" s="22">
        <f t="shared" si="112"/>
        <v>3.1675048597887374E-12</v>
      </c>
      <c r="AM151" s="62">
        <f t="shared" si="113"/>
        <v>293.3333333333365</v>
      </c>
      <c r="AN151" s="62">
        <f ca="1">AVERAGE(OFFSET($AM$3,0,0,'Données projet'!$E$10+1,1))-AVERAGE(OFFSET($H$3,0,0,'Données projet'!$E$10+1,1))</f>
        <v>411.98877330238821</v>
      </c>
      <c r="AO151" s="62">
        <f t="shared" si="144"/>
        <v>256.4377087753457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-1.1368683772161603E-13</v>
      </c>
      <c r="BE151" s="14">
        <f>BD151*VLOOKUP('Données projet'!$B$11,Paramètres!$A$1:$I$89,3,0)*VLOOKUP('Données projet'!$B$11,Paramètres!$A$1:$I$89,5,0)</f>
        <v>-9.9316821433603781E-14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195.30963433439501</v>
      </c>
      <c r="BJ151" s="62">
        <f t="shared" si="146"/>
        <v>185.00219255324504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2.3691011839532924E-17</v>
      </c>
      <c r="BS151" s="24">
        <f t="shared" si="117"/>
        <v>2.3691011839532924E-17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-5.6843418860808015E-14</v>
      </c>
      <c r="BZ151" s="14">
        <f>BY151*VLOOKUP('Données projet'!$B$12,Paramètres!$A$1:$I$89,3,0)*VLOOKUP('Données projet'!$B$12,Paramètres!$A$1:$I$89,5,0)</f>
        <v>-5.4978954722173515E-14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298.18906674058809</v>
      </c>
      <c r="CE151" s="62">
        <f t="shared" si="148"/>
        <v>154.08406475869634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1.9895196601282805E-13</v>
      </c>
      <c r="O152" s="14">
        <f>N152*VLOOKUP('Données projet'!$B$9,Paramètres!$A$1:$I$89,3,0)*VLOOKUP('Données projet'!$B$9,Paramètres!$A$1:$I$89,5,0)</f>
        <v>1.8001173884840681E-13</v>
      </c>
      <c r="P152" s="14">
        <f t="shared" si="141"/>
        <v>2.5254331426407198E-12</v>
      </c>
      <c r="Q152" s="22">
        <f t="shared" si="108"/>
        <v>4.7119831685935622E-12</v>
      </c>
      <c r="R152" s="62">
        <f t="shared" si="109"/>
        <v>293.33333333333803</v>
      </c>
      <c r="S152" s="62">
        <f ca="1">AVERAGE(OFFSET($R$3,0,0,'Données projet'!$E$9+1,1))-AVERAGE(OFFSET($H$3,0,0,'Données projet'!$E$9+1,1))</f>
        <v>302.6112905010138</v>
      </c>
      <c r="T152" s="62">
        <f t="shared" si="142"/>
        <v>423.44006663873375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8.4244159965891713E-2</v>
      </c>
      <c r="AB152" s="23">
        <f>EXP(-LN(2)/2)*AB151+(1-EXP(-LN(2)/2))/(LN(2)/2)*V152*Y152*VLOOKUP('Données projet'!$B$9,Paramètres!$A$1:$I$89,3,0)*0.475*44/12</f>
        <v>7.7708710612996734E-18</v>
      </c>
      <c r="AC152" s="24">
        <f t="shared" si="111"/>
        <v>8.4244159965891727E-2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1.1527845344971866E-13</v>
      </c>
      <c r="AK152" s="14">
        <f t="shared" si="143"/>
        <v>1.7033846239409443E-12</v>
      </c>
      <c r="AL152" s="22">
        <f t="shared" si="112"/>
        <v>3.1675048597887374E-12</v>
      </c>
      <c r="AM152" s="62">
        <f t="shared" si="113"/>
        <v>293.3333333333365</v>
      </c>
      <c r="AN152" s="62">
        <f ca="1">AVERAGE(OFFSET($AM$3,0,0,'Données projet'!$E$10+1,1))-AVERAGE(OFFSET($H$3,0,0,'Données projet'!$E$10+1,1))</f>
        <v>411.98877330238821</v>
      </c>
      <c r="AO152" s="62">
        <f t="shared" si="144"/>
        <v>256.4377087753457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-1.1368683772161603E-13</v>
      </c>
      <c r="BE152" s="14">
        <f>BD152*VLOOKUP('Données projet'!$B$11,Paramètres!$A$1:$I$89,3,0)*VLOOKUP('Données projet'!$B$11,Paramètres!$A$1:$I$89,5,0)</f>
        <v>-9.9316821433603781E-14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195.30963433439501</v>
      </c>
      <c r="BJ152" s="62">
        <f t="shared" si="146"/>
        <v>185.00219255324504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1.6752075124904514E-17</v>
      </c>
      <c r="BS152" s="24">
        <f t="shared" si="117"/>
        <v>1.6752075124904514E-17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-5.6843418860808015E-14</v>
      </c>
      <c r="BZ152" s="14">
        <f>BY152*VLOOKUP('Données projet'!$B$12,Paramètres!$A$1:$I$89,3,0)*VLOOKUP('Données projet'!$B$12,Paramètres!$A$1:$I$89,5,0)</f>
        <v>-5.4978954722173515E-14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298.18906674058809</v>
      </c>
      <c r="CE152" s="62">
        <f t="shared" si="148"/>
        <v>154.08406475869634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1.9895196601282805E-13</v>
      </c>
      <c r="O153" s="14">
        <f>N153*VLOOKUP('Données projet'!$B$9,Paramètres!$A$1:$I$89,3,0)*VLOOKUP('Données projet'!$B$9,Paramètres!$A$1:$I$89,5,0)</f>
        <v>1.8001173884840681E-13</v>
      </c>
      <c r="P153" s="14">
        <f t="shared" si="141"/>
        <v>2.5254331426407198E-12</v>
      </c>
      <c r="Q153" s="22">
        <f t="shared" si="108"/>
        <v>4.7119831685935622E-12</v>
      </c>
      <c r="R153" s="62">
        <f t="shared" si="109"/>
        <v>293.33333333333803</v>
      </c>
      <c r="S153" s="62">
        <f ca="1">AVERAGE(OFFSET($R$3,0,0,'Données projet'!$E$9+1,1))-AVERAGE(OFFSET($H$3,0,0,'Données projet'!$E$9+1,1))</f>
        <v>302.6112905010138</v>
      </c>
      <c r="T153" s="62">
        <f t="shared" si="142"/>
        <v>423.44006663873375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8.1940498981416574E-2</v>
      </c>
      <c r="AB153" s="23">
        <f>EXP(-LN(2)/2)*AB152+(1-EXP(-LN(2)/2))/(LN(2)/2)*V153*Y153*VLOOKUP('Données projet'!$B$9,Paramètres!$A$1:$I$89,3,0)*0.475*44/12</f>
        <v>5.4948356231713025E-18</v>
      </c>
      <c r="AC153" s="24">
        <f t="shared" si="111"/>
        <v>8.1940498981416574E-2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1.1527845344971866E-13</v>
      </c>
      <c r="AK153" s="14">
        <f t="shared" si="143"/>
        <v>1.7033846239409443E-12</v>
      </c>
      <c r="AL153" s="22">
        <f t="shared" si="112"/>
        <v>3.1675048597887374E-12</v>
      </c>
      <c r="AM153" s="62">
        <f t="shared" si="113"/>
        <v>293.3333333333365</v>
      </c>
      <c r="AN153" s="62">
        <f ca="1">AVERAGE(OFFSET($AM$3,0,0,'Données projet'!$E$10+1,1))-AVERAGE(OFFSET($H$3,0,0,'Données projet'!$E$10+1,1))</f>
        <v>411.98877330238821</v>
      </c>
      <c r="AO153" s="62">
        <f t="shared" si="144"/>
        <v>256.4377087753457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-1.1368683772161603E-13</v>
      </c>
      <c r="BE153" s="14">
        <f>BD153*VLOOKUP('Données projet'!$B$11,Paramètres!$A$1:$I$89,3,0)*VLOOKUP('Données projet'!$B$11,Paramètres!$A$1:$I$89,5,0)</f>
        <v>-9.9316821433603781E-14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195.30963433439501</v>
      </c>
      <c r="BJ153" s="62">
        <f t="shared" si="146"/>
        <v>185.00219255324504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1.1845505919766462E-17</v>
      </c>
      <c r="BS153" s="24">
        <f t="shared" si="117"/>
        <v>1.1845505919766462E-17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-5.6843418860808015E-14</v>
      </c>
      <c r="BZ153" s="14">
        <f>BY153*VLOOKUP('Données projet'!$B$12,Paramètres!$A$1:$I$89,3,0)*VLOOKUP('Données projet'!$B$12,Paramètres!$A$1:$I$89,5,0)</f>
        <v>-5.4978954722173515E-14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298.18906674058809</v>
      </c>
      <c r="CE153" s="62">
        <f t="shared" si="148"/>
        <v>154.08406475869634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1.9895196601282805E-13</v>
      </c>
      <c r="O154" s="14">
        <f>N154*VLOOKUP('Données projet'!$B$9,Paramètres!$A$1:$I$89,3,0)*VLOOKUP('Données projet'!$B$9,Paramètres!$A$1:$I$89,5,0)</f>
        <v>1.8001173884840681E-13</v>
      </c>
      <c r="P154" s="14">
        <f t="shared" si="141"/>
        <v>2.5254331426407198E-12</v>
      </c>
      <c r="Q154" s="22">
        <f t="shared" ref="Q154:Q203" si="162">(O154+P154)*0.475*44/12</f>
        <v>4.7119831685935622E-12</v>
      </c>
      <c r="R154" s="62">
        <f t="shared" si="109"/>
        <v>293.33333333333803</v>
      </c>
      <c r="S154" s="62">
        <f ca="1">AVERAGE(OFFSET($R$3,0,0,'Données projet'!$E$9+1,1))-AVERAGE(OFFSET($H$3,0,0,'Données projet'!$E$9+1,1))</f>
        <v>302.6112905010138</v>
      </c>
      <c r="T154" s="62">
        <f t="shared" si="142"/>
        <v>423.44006663873375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7.9699831727706172E-2</v>
      </c>
      <c r="AB154" s="23">
        <f>EXP(-LN(2)/2)*AB153+(1-EXP(-LN(2)/2))/(LN(2)/2)*V154*Y154*VLOOKUP('Données projet'!$B$9,Paramètres!$A$1:$I$89,3,0)*0.475*44/12</f>
        <v>3.8854355306498367E-18</v>
      </c>
      <c r="AC154" s="24">
        <f t="shared" ref="AC154:AC203" si="163">SUM(Z154:AB154)</f>
        <v>7.9699831727706172E-2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1.1527845344971866E-13</v>
      </c>
      <c r="AK154" s="14">
        <f t="shared" ref="AK154:AK203" si="164">EXP(-1.0587+0.8836*LN(AJ154)+0.284)</f>
        <v>1.7033846239409443E-12</v>
      </c>
      <c r="AL154" s="22">
        <f t="shared" ref="AL154:AL203" si="165">(AJ154+AK154)*0.475*44/12</f>
        <v>3.1675048597887374E-12</v>
      </c>
      <c r="AM154" s="62">
        <f t="shared" si="113"/>
        <v>293.3333333333365</v>
      </c>
      <c r="AN154" s="62">
        <f ca="1">AVERAGE(OFFSET($AM$3,0,0,'Données projet'!$E$10+1,1))-AVERAGE(OFFSET($H$3,0,0,'Données projet'!$E$10+1,1))</f>
        <v>411.98877330238821</v>
      </c>
      <c r="AO154" s="62">
        <f t="shared" si="144"/>
        <v>256.4377087753457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-1.1368683772161603E-13</v>
      </c>
      <c r="BE154" s="14">
        <f>BD154*VLOOKUP('Données projet'!$B$11,Paramètres!$A$1:$I$89,3,0)*VLOOKUP('Données projet'!$B$11,Paramètres!$A$1:$I$89,5,0)</f>
        <v>-9.9316821433603781E-14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195.30963433439501</v>
      </c>
      <c r="BJ154" s="62">
        <f t="shared" si="146"/>
        <v>185.00219255324504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8.3760375624522568E-18</v>
      </c>
      <c r="BS154" s="24">
        <f t="shared" ref="BS154:BS203" si="169">SUM(BP154:BR154)</f>
        <v>8.3760375624522568E-18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-5.6843418860808015E-14</v>
      </c>
      <c r="BZ154" s="14">
        <f>BY154*VLOOKUP('Données projet'!$B$12,Paramètres!$A$1:$I$89,3,0)*VLOOKUP('Données projet'!$B$12,Paramètres!$A$1:$I$89,5,0)</f>
        <v>-5.4978954722173515E-14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298.18906674058809</v>
      </c>
      <c r="CE154" s="62">
        <f t="shared" si="148"/>
        <v>154.08406475869634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1.9895196601282805E-13</v>
      </c>
      <c r="O155" s="14">
        <f>N155*VLOOKUP('Données projet'!$B$9,Paramètres!$A$1:$I$89,3,0)*VLOOKUP('Données projet'!$B$9,Paramètres!$A$1:$I$89,5,0)</f>
        <v>1.8001173884840681E-13</v>
      </c>
      <c r="P155" s="14">
        <f t="shared" si="141"/>
        <v>2.5254331426407198E-12</v>
      </c>
      <c r="Q155" s="22">
        <f t="shared" si="162"/>
        <v>4.7119831685935622E-12</v>
      </c>
      <c r="R155" s="62">
        <f t="shared" si="109"/>
        <v>293.33333333333803</v>
      </c>
      <c r="S155" s="62">
        <f ca="1">AVERAGE(OFFSET($R$3,0,0,'Données projet'!$E$9+1,1))-AVERAGE(OFFSET($H$3,0,0,'Données projet'!$E$9+1,1))</f>
        <v>302.6112905010138</v>
      </c>
      <c r="T155" s="62">
        <f t="shared" si="142"/>
        <v>423.44006663873375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7.7520435637880053E-2</v>
      </c>
      <c r="AB155" s="23">
        <f>EXP(-LN(2)/2)*AB154+(1-EXP(-LN(2)/2))/(LN(2)/2)*V155*Y155*VLOOKUP('Données projet'!$B$9,Paramètres!$A$1:$I$89,3,0)*0.475*44/12</f>
        <v>2.7474178115856513E-18</v>
      </c>
      <c r="AC155" s="24">
        <f t="shared" si="163"/>
        <v>7.7520435637880053E-2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1.1527845344971866E-13</v>
      </c>
      <c r="AK155" s="14">
        <f t="shared" si="164"/>
        <v>1.7033846239409443E-12</v>
      </c>
      <c r="AL155" s="22">
        <f t="shared" si="165"/>
        <v>3.1675048597887374E-12</v>
      </c>
      <c r="AM155" s="62">
        <f t="shared" si="113"/>
        <v>293.3333333333365</v>
      </c>
      <c r="AN155" s="62">
        <f ca="1">AVERAGE(OFFSET($AM$3,0,0,'Données projet'!$E$10+1,1))-AVERAGE(OFFSET($H$3,0,0,'Données projet'!$E$10+1,1))</f>
        <v>411.98877330238821</v>
      </c>
      <c r="AO155" s="62">
        <f t="shared" si="144"/>
        <v>256.4377087753457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-1.1368683772161603E-13</v>
      </c>
      <c r="BE155" s="14">
        <f>BD155*VLOOKUP('Données projet'!$B$11,Paramètres!$A$1:$I$89,3,0)*VLOOKUP('Données projet'!$B$11,Paramètres!$A$1:$I$89,5,0)</f>
        <v>-9.9316821433603781E-14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195.30963433439501</v>
      </c>
      <c r="BJ155" s="62">
        <f t="shared" si="146"/>
        <v>185.00219255324504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5.9227529598832309E-18</v>
      </c>
      <c r="BS155" s="24">
        <f t="shared" si="169"/>
        <v>5.9227529598832309E-18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-5.6843418860808015E-14</v>
      </c>
      <c r="BZ155" s="14">
        <f>BY155*VLOOKUP('Données projet'!$B$12,Paramètres!$A$1:$I$89,3,0)*VLOOKUP('Données projet'!$B$12,Paramètres!$A$1:$I$89,5,0)</f>
        <v>-5.4978954722173515E-14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298.18906674058809</v>
      </c>
      <c r="CE155" s="62">
        <f t="shared" si="148"/>
        <v>154.08406475869634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1.9895196601282805E-13</v>
      </c>
      <c r="O156" s="14">
        <f>N156*VLOOKUP('Données projet'!$B$9,Paramètres!$A$1:$I$89,3,0)*VLOOKUP('Données projet'!$B$9,Paramètres!$A$1:$I$89,5,0)</f>
        <v>1.8001173884840681E-13</v>
      </c>
      <c r="P156" s="14">
        <f t="shared" si="141"/>
        <v>2.5254331426407198E-12</v>
      </c>
      <c r="Q156" s="22">
        <f t="shared" si="162"/>
        <v>4.7119831685935622E-12</v>
      </c>
      <c r="R156" s="62">
        <f t="shared" si="109"/>
        <v>293.33333333333803</v>
      </c>
      <c r="S156" s="62">
        <f ca="1">AVERAGE(OFFSET($R$3,0,0,'Données projet'!$E$9+1,1))-AVERAGE(OFFSET($H$3,0,0,'Données projet'!$E$9+1,1))</f>
        <v>302.6112905010138</v>
      </c>
      <c r="T156" s="62">
        <f t="shared" si="142"/>
        <v>423.44006663873375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7.5400635248739689E-2</v>
      </c>
      <c r="AB156" s="23">
        <f>EXP(-LN(2)/2)*AB155+(1-EXP(-LN(2)/2))/(LN(2)/2)*V156*Y156*VLOOKUP('Données projet'!$B$9,Paramètres!$A$1:$I$89,3,0)*0.475*44/12</f>
        <v>1.9427177653249183E-18</v>
      </c>
      <c r="AC156" s="24">
        <f t="shared" si="163"/>
        <v>7.5400635248739689E-2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1.1527845344971866E-13</v>
      </c>
      <c r="AK156" s="14">
        <f t="shared" si="164"/>
        <v>1.7033846239409443E-12</v>
      </c>
      <c r="AL156" s="22">
        <f t="shared" si="165"/>
        <v>3.1675048597887374E-12</v>
      </c>
      <c r="AM156" s="62">
        <f t="shared" si="113"/>
        <v>293.3333333333365</v>
      </c>
      <c r="AN156" s="62">
        <f ca="1">AVERAGE(OFFSET($AM$3,0,0,'Données projet'!$E$10+1,1))-AVERAGE(OFFSET($H$3,0,0,'Données projet'!$E$10+1,1))</f>
        <v>411.98877330238821</v>
      </c>
      <c r="AO156" s="62">
        <f t="shared" si="144"/>
        <v>256.4377087753457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-1.1368683772161603E-13</v>
      </c>
      <c r="BE156" s="14">
        <f>BD156*VLOOKUP('Données projet'!$B$11,Paramètres!$A$1:$I$89,3,0)*VLOOKUP('Données projet'!$B$11,Paramètres!$A$1:$I$89,5,0)</f>
        <v>-9.9316821433603781E-14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195.30963433439501</v>
      </c>
      <c r="BJ156" s="62">
        <f t="shared" si="146"/>
        <v>185.00219255324504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4.1880187812261284E-18</v>
      </c>
      <c r="BS156" s="24">
        <f t="shared" si="169"/>
        <v>4.1880187812261284E-18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-5.6843418860808015E-14</v>
      </c>
      <c r="BZ156" s="14">
        <f>BY156*VLOOKUP('Données projet'!$B$12,Paramètres!$A$1:$I$89,3,0)*VLOOKUP('Données projet'!$B$12,Paramètres!$A$1:$I$89,5,0)</f>
        <v>-5.4978954722173515E-14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298.18906674058809</v>
      </c>
      <c r="CE156" s="62">
        <f t="shared" si="148"/>
        <v>154.08406475869634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1.9895196601282805E-13</v>
      </c>
      <c r="O157" s="14">
        <f>N157*VLOOKUP('Données projet'!$B$9,Paramètres!$A$1:$I$89,3,0)*VLOOKUP('Données projet'!$B$9,Paramètres!$A$1:$I$89,5,0)</f>
        <v>1.8001173884840681E-13</v>
      </c>
      <c r="P157" s="14">
        <f t="shared" si="141"/>
        <v>2.5254331426407198E-12</v>
      </c>
      <c r="Q157" s="22">
        <f t="shared" si="162"/>
        <v>4.7119831685935622E-12</v>
      </c>
      <c r="R157" s="62">
        <f t="shared" si="109"/>
        <v>293.33333333333803</v>
      </c>
      <c r="S157" s="62">
        <f ca="1">AVERAGE(OFFSET($R$3,0,0,'Données projet'!$E$9+1,1))-AVERAGE(OFFSET($H$3,0,0,'Données projet'!$E$9+1,1))</f>
        <v>302.6112905010138</v>
      </c>
      <c r="T157" s="62">
        <f t="shared" si="142"/>
        <v>423.44006663873375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7.3338800912715829E-2</v>
      </c>
      <c r="AB157" s="23">
        <f>EXP(-LN(2)/2)*AB156+(1-EXP(-LN(2)/2))/(LN(2)/2)*V157*Y157*VLOOKUP('Données projet'!$B$9,Paramètres!$A$1:$I$89,3,0)*0.475*44/12</f>
        <v>1.3737089057928256E-18</v>
      </c>
      <c r="AC157" s="24">
        <f t="shared" si="163"/>
        <v>7.3338800912715829E-2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1.1527845344971866E-13</v>
      </c>
      <c r="AK157" s="14">
        <f t="shared" si="164"/>
        <v>1.7033846239409443E-12</v>
      </c>
      <c r="AL157" s="22">
        <f t="shared" si="165"/>
        <v>3.1675048597887374E-12</v>
      </c>
      <c r="AM157" s="62">
        <f t="shared" si="113"/>
        <v>293.3333333333365</v>
      </c>
      <c r="AN157" s="62">
        <f ca="1">AVERAGE(OFFSET($AM$3,0,0,'Données projet'!$E$10+1,1))-AVERAGE(OFFSET($H$3,0,0,'Données projet'!$E$10+1,1))</f>
        <v>411.98877330238821</v>
      </c>
      <c r="AO157" s="62">
        <f t="shared" si="144"/>
        <v>256.4377087753457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-1.1368683772161603E-13</v>
      </c>
      <c r="BE157" s="14">
        <f>BD157*VLOOKUP('Données projet'!$B$11,Paramètres!$A$1:$I$89,3,0)*VLOOKUP('Données projet'!$B$11,Paramètres!$A$1:$I$89,5,0)</f>
        <v>-9.9316821433603781E-14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195.30963433439501</v>
      </c>
      <c r="BJ157" s="62">
        <f t="shared" si="146"/>
        <v>185.00219255324504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2.9613764799416155E-18</v>
      </c>
      <c r="BS157" s="24">
        <f t="shared" si="169"/>
        <v>2.9613764799416155E-18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-5.6843418860808015E-14</v>
      </c>
      <c r="BZ157" s="14">
        <f>BY157*VLOOKUP('Données projet'!$B$12,Paramètres!$A$1:$I$89,3,0)*VLOOKUP('Données projet'!$B$12,Paramètres!$A$1:$I$89,5,0)</f>
        <v>-5.4978954722173515E-14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298.18906674058809</v>
      </c>
      <c r="CE157" s="62">
        <f t="shared" si="148"/>
        <v>154.08406475869634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1.9895196601282805E-13</v>
      </c>
      <c r="O158" s="14">
        <f>N158*VLOOKUP('Données projet'!$B$9,Paramètres!$A$1:$I$89,3,0)*VLOOKUP('Données projet'!$B$9,Paramètres!$A$1:$I$89,5,0)</f>
        <v>1.8001173884840681E-13</v>
      </c>
      <c r="P158" s="14">
        <f t="shared" si="141"/>
        <v>2.5254331426407198E-12</v>
      </c>
      <c r="Q158" s="22">
        <f t="shared" si="162"/>
        <v>4.7119831685935622E-12</v>
      </c>
      <c r="R158" s="62">
        <f t="shared" si="109"/>
        <v>293.33333333333803</v>
      </c>
      <c r="S158" s="62">
        <f ca="1">AVERAGE(OFFSET($R$3,0,0,'Données projet'!$E$9+1,1))-AVERAGE(OFFSET($H$3,0,0,'Données projet'!$E$9+1,1))</f>
        <v>302.6112905010138</v>
      </c>
      <c r="T158" s="62">
        <f t="shared" si="142"/>
        <v>423.44006663873375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7.1333347545037687E-2</v>
      </c>
      <c r="AB158" s="23">
        <f>EXP(-LN(2)/2)*AB157+(1-EXP(-LN(2)/2))/(LN(2)/2)*V158*Y158*VLOOKUP('Données projet'!$B$9,Paramètres!$A$1:$I$89,3,0)*0.475*44/12</f>
        <v>9.7135888266245917E-19</v>
      </c>
      <c r="AC158" s="24">
        <f t="shared" si="163"/>
        <v>7.1333347545037687E-2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1.1527845344971866E-13</v>
      </c>
      <c r="AK158" s="14">
        <f t="shared" si="164"/>
        <v>1.7033846239409443E-12</v>
      </c>
      <c r="AL158" s="22">
        <f t="shared" si="165"/>
        <v>3.1675048597887374E-12</v>
      </c>
      <c r="AM158" s="62">
        <f t="shared" si="113"/>
        <v>293.3333333333365</v>
      </c>
      <c r="AN158" s="62">
        <f ca="1">AVERAGE(OFFSET($AM$3,0,0,'Données projet'!$E$10+1,1))-AVERAGE(OFFSET($H$3,0,0,'Données projet'!$E$10+1,1))</f>
        <v>411.98877330238821</v>
      </c>
      <c r="AO158" s="62">
        <f t="shared" si="144"/>
        <v>256.4377087753457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-1.1368683772161603E-13</v>
      </c>
      <c r="BE158" s="14">
        <f>BD158*VLOOKUP('Données projet'!$B$11,Paramètres!$A$1:$I$89,3,0)*VLOOKUP('Données projet'!$B$11,Paramètres!$A$1:$I$89,5,0)</f>
        <v>-9.9316821433603781E-14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195.30963433439501</v>
      </c>
      <c r="BJ158" s="62">
        <f t="shared" si="146"/>
        <v>185.00219255324504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2.0940093906130642E-18</v>
      </c>
      <c r="BS158" s="24">
        <f t="shared" si="169"/>
        <v>2.0940093906130642E-18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-5.6843418860808015E-14</v>
      </c>
      <c r="BZ158" s="14">
        <f>BY158*VLOOKUP('Données projet'!$B$12,Paramètres!$A$1:$I$89,3,0)*VLOOKUP('Données projet'!$B$12,Paramètres!$A$1:$I$89,5,0)</f>
        <v>-5.4978954722173515E-14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298.18906674058809</v>
      </c>
      <c r="CE158" s="62">
        <f t="shared" si="148"/>
        <v>154.08406475869634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1.9895196601282805E-13</v>
      </c>
      <c r="O159" s="14">
        <f>N159*VLOOKUP('Données projet'!$B$9,Paramètres!$A$1:$I$89,3,0)*VLOOKUP('Données projet'!$B$9,Paramètres!$A$1:$I$89,5,0)</f>
        <v>1.8001173884840681E-13</v>
      </c>
      <c r="P159" s="14">
        <f t="shared" si="141"/>
        <v>2.5254331426407198E-12</v>
      </c>
      <c r="Q159" s="22">
        <f t="shared" si="162"/>
        <v>4.7119831685935622E-12</v>
      </c>
      <c r="R159" s="62">
        <f t="shared" si="109"/>
        <v>293.33333333333803</v>
      </c>
      <c r="S159" s="62">
        <f ca="1">AVERAGE(OFFSET($R$3,0,0,'Données projet'!$E$9+1,1))-AVERAGE(OFFSET($H$3,0,0,'Données projet'!$E$9+1,1))</f>
        <v>302.6112905010138</v>
      </c>
      <c r="T159" s="62">
        <f t="shared" si="142"/>
        <v>423.44006663873375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6.9382733405160921E-2</v>
      </c>
      <c r="AB159" s="23">
        <f>EXP(-LN(2)/2)*AB158+(1-EXP(-LN(2)/2))/(LN(2)/2)*V159*Y159*VLOOKUP('Données projet'!$B$9,Paramètres!$A$1:$I$89,3,0)*0.475*44/12</f>
        <v>6.8685445289641282E-19</v>
      </c>
      <c r="AC159" s="24">
        <f t="shared" si="163"/>
        <v>6.9382733405160921E-2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1.1527845344971866E-13</v>
      </c>
      <c r="AK159" s="14">
        <f t="shared" si="164"/>
        <v>1.7033846239409443E-12</v>
      </c>
      <c r="AL159" s="22">
        <f t="shared" si="165"/>
        <v>3.1675048597887374E-12</v>
      </c>
      <c r="AM159" s="62">
        <f t="shared" si="113"/>
        <v>293.3333333333365</v>
      </c>
      <c r="AN159" s="62">
        <f ca="1">AVERAGE(OFFSET($AM$3,0,0,'Données projet'!$E$10+1,1))-AVERAGE(OFFSET($H$3,0,0,'Données projet'!$E$10+1,1))</f>
        <v>411.98877330238821</v>
      </c>
      <c r="AO159" s="62">
        <f t="shared" si="144"/>
        <v>256.4377087753457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-1.1368683772161603E-13</v>
      </c>
      <c r="BE159" s="14">
        <f>BD159*VLOOKUP('Données projet'!$B$11,Paramètres!$A$1:$I$89,3,0)*VLOOKUP('Données projet'!$B$11,Paramètres!$A$1:$I$89,5,0)</f>
        <v>-9.9316821433603781E-14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195.30963433439501</v>
      </c>
      <c r="BJ159" s="62">
        <f t="shared" si="146"/>
        <v>185.00219255324504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1.4806882399708077E-18</v>
      </c>
      <c r="BS159" s="24">
        <f t="shared" si="169"/>
        <v>1.4806882399708077E-18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-5.6843418860808015E-14</v>
      </c>
      <c r="BZ159" s="14">
        <f>BY159*VLOOKUP('Données projet'!$B$12,Paramètres!$A$1:$I$89,3,0)*VLOOKUP('Données projet'!$B$12,Paramètres!$A$1:$I$89,5,0)</f>
        <v>-5.4978954722173515E-14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298.18906674058809</v>
      </c>
      <c r="CE159" s="62">
        <f t="shared" si="148"/>
        <v>154.08406475869634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1.9895196601282805E-13</v>
      </c>
      <c r="O160" s="14">
        <f>N160*VLOOKUP('Données projet'!$B$9,Paramètres!$A$1:$I$89,3,0)*VLOOKUP('Données projet'!$B$9,Paramètres!$A$1:$I$89,5,0)</f>
        <v>1.8001173884840681E-13</v>
      </c>
      <c r="P160" s="14">
        <f t="shared" si="141"/>
        <v>2.5254331426407198E-12</v>
      </c>
      <c r="Q160" s="22">
        <f t="shared" si="162"/>
        <v>4.7119831685935622E-12</v>
      </c>
      <c r="R160" s="62">
        <f t="shared" si="109"/>
        <v>293.33333333333803</v>
      </c>
      <c r="S160" s="62">
        <f ca="1">AVERAGE(OFFSET($R$3,0,0,'Données projet'!$E$9+1,1))-AVERAGE(OFFSET($H$3,0,0,'Données projet'!$E$9+1,1))</f>
        <v>302.6112905010138</v>
      </c>
      <c r="T160" s="62">
        <f t="shared" si="142"/>
        <v>423.44006663873375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6.7485458911517415E-2</v>
      </c>
      <c r="AB160" s="23">
        <f>EXP(-LN(2)/2)*AB159+(1-EXP(-LN(2)/2))/(LN(2)/2)*V160*Y160*VLOOKUP('Données projet'!$B$9,Paramètres!$A$1:$I$89,3,0)*0.475*44/12</f>
        <v>4.8567944133122959E-19</v>
      </c>
      <c r="AC160" s="24">
        <f t="shared" si="163"/>
        <v>6.7485458911517415E-2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1.1527845344971866E-13</v>
      </c>
      <c r="AK160" s="14">
        <f t="shared" si="164"/>
        <v>1.7033846239409443E-12</v>
      </c>
      <c r="AL160" s="22">
        <f t="shared" si="165"/>
        <v>3.1675048597887374E-12</v>
      </c>
      <c r="AM160" s="62">
        <f t="shared" si="113"/>
        <v>293.3333333333365</v>
      </c>
      <c r="AN160" s="62">
        <f ca="1">AVERAGE(OFFSET($AM$3,0,0,'Données projet'!$E$10+1,1))-AVERAGE(OFFSET($H$3,0,0,'Données projet'!$E$10+1,1))</f>
        <v>411.98877330238821</v>
      </c>
      <c r="AO160" s="62">
        <f t="shared" si="144"/>
        <v>256.4377087753457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-1.1368683772161603E-13</v>
      </c>
      <c r="BE160" s="14">
        <f>BD160*VLOOKUP('Données projet'!$B$11,Paramètres!$A$1:$I$89,3,0)*VLOOKUP('Données projet'!$B$11,Paramètres!$A$1:$I$89,5,0)</f>
        <v>-9.9316821433603781E-14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195.30963433439501</v>
      </c>
      <c r="BJ160" s="62">
        <f t="shared" si="146"/>
        <v>185.00219255324504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1.0470046953065321E-18</v>
      </c>
      <c r="BS160" s="24">
        <f t="shared" si="169"/>
        <v>1.0470046953065321E-18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-5.6843418860808015E-14</v>
      </c>
      <c r="BZ160" s="14">
        <f>BY160*VLOOKUP('Données projet'!$B$12,Paramètres!$A$1:$I$89,3,0)*VLOOKUP('Données projet'!$B$12,Paramètres!$A$1:$I$89,5,0)</f>
        <v>-5.4978954722173515E-14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298.18906674058809</v>
      </c>
      <c r="CE160" s="62">
        <f t="shared" si="148"/>
        <v>154.08406475869634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1.9895196601282805E-13</v>
      </c>
      <c r="O161" s="14">
        <f>N161*VLOOKUP('Données projet'!$B$9,Paramètres!$A$1:$I$89,3,0)*VLOOKUP('Données projet'!$B$9,Paramètres!$A$1:$I$89,5,0)</f>
        <v>1.8001173884840681E-13</v>
      </c>
      <c r="P161" s="14">
        <f t="shared" si="141"/>
        <v>2.5254331426407198E-12</v>
      </c>
      <c r="Q161" s="22">
        <f t="shared" si="162"/>
        <v>4.7119831685935622E-12</v>
      </c>
      <c r="R161" s="62">
        <f t="shared" si="109"/>
        <v>293.33333333333803</v>
      </c>
      <c r="S161" s="62">
        <f ca="1">AVERAGE(OFFSET($R$3,0,0,'Données projet'!$E$9+1,1))-AVERAGE(OFFSET($H$3,0,0,'Données projet'!$E$9+1,1))</f>
        <v>302.6112905010138</v>
      </c>
      <c r="T161" s="62">
        <f t="shared" si="142"/>
        <v>423.44006663873375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6.564006548867593E-2</v>
      </c>
      <c r="AB161" s="23">
        <f>EXP(-LN(2)/2)*AB160+(1-EXP(-LN(2)/2))/(LN(2)/2)*V161*Y161*VLOOKUP('Données projet'!$B$9,Paramètres!$A$1:$I$89,3,0)*0.475*44/12</f>
        <v>3.4342722644820641E-19</v>
      </c>
      <c r="AC161" s="24">
        <f t="shared" si="163"/>
        <v>6.564006548867593E-2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1.1527845344971866E-13</v>
      </c>
      <c r="AK161" s="14">
        <f t="shared" si="164"/>
        <v>1.7033846239409443E-12</v>
      </c>
      <c r="AL161" s="22">
        <f t="shared" si="165"/>
        <v>3.1675048597887374E-12</v>
      </c>
      <c r="AM161" s="62">
        <f t="shared" si="113"/>
        <v>293.3333333333365</v>
      </c>
      <c r="AN161" s="62">
        <f ca="1">AVERAGE(OFFSET($AM$3,0,0,'Données projet'!$E$10+1,1))-AVERAGE(OFFSET($H$3,0,0,'Données projet'!$E$10+1,1))</f>
        <v>411.98877330238821</v>
      </c>
      <c r="AO161" s="62">
        <f t="shared" si="144"/>
        <v>256.4377087753457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-1.1368683772161603E-13</v>
      </c>
      <c r="BE161" s="14">
        <f>BD161*VLOOKUP('Données projet'!$B$11,Paramètres!$A$1:$I$89,3,0)*VLOOKUP('Données projet'!$B$11,Paramètres!$A$1:$I$89,5,0)</f>
        <v>-9.9316821433603781E-14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195.30963433439501</v>
      </c>
      <c r="BJ161" s="62">
        <f t="shared" si="146"/>
        <v>185.00219255324504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7.4034411998540387E-19</v>
      </c>
      <c r="BS161" s="24">
        <f t="shared" si="169"/>
        <v>7.4034411998540387E-19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-5.6843418860808015E-14</v>
      </c>
      <c r="BZ161" s="14">
        <f>BY161*VLOOKUP('Données projet'!$B$12,Paramètres!$A$1:$I$89,3,0)*VLOOKUP('Données projet'!$B$12,Paramètres!$A$1:$I$89,5,0)</f>
        <v>-5.4978954722173515E-14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298.18906674058809</v>
      </c>
      <c r="CE161" s="62">
        <f t="shared" si="148"/>
        <v>154.08406475869634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1.9895196601282805E-13</v>
      </c>
      <c r="O162" s="14">
        <f>N162*VLOOKUP('Données projet'!$B$9,Paramètres!$A$1:$I$89,3,0)*VLOOKUP('Données projet'!$B$9,Paramètres!$A$1:$I$89,5,0)</f>
        <v>1.8001173884840681E-13</v>
      </c>
      <c r="P162" s="14">
        <f t="shared" si="141"/>
        <v>2.5254331426407198E-12</v>
      </c>
      <c r="Q162" s="22">
        <f t="shared" si="162"/>
        <v>4.7119831685935622E-12</v>
      </c>
      <c r="R162" s="62">
        <f t="shared" si="109"/>
        <v>293.33333333333803</v>
      </c>
      <c r="S162" s="62">
        <f ca="1">AVERAGE(OFFSET($R$3,0,0,'Données projet'!$E$9+1,1))-AVERAGE(OFFSET($H$3,0,0,'Données projet'!$E$9+1,1))</f>
        <v>302.6112905010138</v>
      </c>
      <c r="T162" s="62">
        <f t="shared" si="142"/>
        <v>423.44006663873375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6.384513444602706E-2</v>
      </c>
      <c r="AB162" s="23">
        <f>EXP(-LN(2)/2)*AB161+(1-EXP(-LN(2)/2))/(LN(2)/2)*V162*Y162*VLOOKUP('Données projet'!$B$9,Paramètres!$A$1:$I$89,3,0)*0.475*44/12</f>
        <v>2.4283972066561479E-19</v>
      </c>
      <c r="AC162" s="24">
        <f t="shared" si="163"/>
        <v>6.384513444602706E-2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1.1527845344971866E-13</v>
      </c>
      <c r="AK162" s="14">
        <f t="shared" si="164"/>
        <v>1.7033846239409443E-12</v>
      </c>
      <c r="AL162" s="22">
        <f t="shared" si="165"/>
        <v>3.1675048597887374E-12</v>
      </c>
      <c r="AM162" s="62">
        <f t="shared" si="113"/>
        <v>293.3333333333365</v>
      </c>
      <c r="AN162" s="62">
        <f ca="1">AVERAGE(OFFSET($AM$3,0,0,'Données projet'!$E$10+1,1))-AVERAGE(OFFSET($H$3,0,0,'Données projet'!$E$10+1,1))</f>
        <v>411.98877330238821</v>
      </c>
      <c r="AO162" s="62">
        <f t="shared" si="144"/>
        <v>256.4377087753457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-1.1368683772161603E-13</v>
      </c>
      <c r="BE162" s="14">
        <f>BD162*VLOOKUP('Données projet'!$B$11,Paramètres!$A$1:$I$89,3,0)*VLOOKUP('Données projet'!$B$11,Paramètres!$A$1:$I$89,5,0)</f>
        <v>-9.9316821433603781E-14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195.30963433439501</v>
      </c>
      <c r="BJ162" s="62">
        <f t="shared" si="146"/>
        <v>185.00219255324504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5.2350234765326605E-19</v>
      </c>
      <c r="BS162" s="24">
        <f t="shared" si="169"/>
        <v>5.2350234765326605E-19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-5.6843418860808015E-14</v>
      </c>
      <c r="BZ162" s="14">
        <f>BY162*VLOOKUP('Données projet'!$B$12,Paramètres!$A$1:$I$89,3,0)*VLOOKUP('Données projet'!$B$12,Paramètres!$A$1:$I$89,5,0)</f>
        <v>-5.4978954722173515E-14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298.18906674058809</v>
      </c>
      <c r="CE162" s="62">
        <f t="shared" si="148"/>
        <v>154.08406475869634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1.9895196601282805E-13</v>
      </c>
      <c r="O163" s="14">
        <f>N163*VLOOKUP('Données projet'!$B$9,Paramètres!$A$1:$I$89,3,0)*VLOOKUP('Données projet'!$B$9,Paramètres!$A$1:$I$89,5,0)</f>
        <v>1.8001173884840681E-13</v>
      </c>
      <c r="P163" s="14">
        <f t="shared" si="141"/>
        <v>2.5254331426407198E-12</v>
      </c>
      <c r="Q163" s="22">
        <f t="shared" si="162"/>
        <v>4.7119831685935622E-12</v>
      </c>
      <c r="R163" s="62">
        <f t="shared" si="109"/>
        <v>293.33333333333803</v>
      </c>
      <c r="S163" s="62">
        <f ca="1">AVERAGE(OFFSET($R$3,0,0,'Données projet'!$E$9+1,1))-AVERAGE(OFFSET($H$3,0,0,'Données projet'!$E$9+1,1))</f>
        <v>302.6112905010138</v>
      </c>
      <c r="T163" s="62">
        <f t="shared" si="142"/>
        <v>423.44006663873375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6.2099285887130748E-2</v>
      </c>
      <c r="AB163" s="23">
        <f>EXP(-LN(2)/2)*AB162+(1-EXP(-LN(2)/2))/(LN(2)/2)*V163*Y163*VLOOKUP('Données projet'!$B$9,Paramètres!$A$1:$I$89,3,0)*0.475*44/12</f>
        <v>1.717136132241032E-19</v>
      </c>
      <c r="AC163" s="24">
        <f t="shared" si="163"/>
        <v>6.2099285887130748E-2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1.1527845344971866E-13</v>
      </c>
      <c r="AK163" s="14">
        <f t="shared" si="164"/>
        <v>1.7033846239409443E-12</v>
      </c>
      <c r="AL163" s="22">
        <f t="shared" si="165"/>
        <v>3.1675048597887374E-12</v>
      </c>
      <c r="AM163" s="62">
        <f t="shared" si="113"/>
        <v>293.3333333333365</v>
      </c>
      <c r="AN163" s="62">
        <f ca="1">AVERAGE(OFFSET($AM$3,0,0,'Données projet'!$E$10+1,1))-AVERAGE(OFFSET($H$3,0,0,'Données projet'!$E$10+1,1))</f>
        <v>411.98877330238821</v>
      </c>
      <c r="AO163" s="62">
        <f t="shared" si="144"/>
        <v>256.4377087753457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-1.1368683772161603E-13</v>
      </c>
      <c r="BE163" s="14">
        <f>BD163*VLOOKUP('Données projet'!$B$11,Paramètres!$A$1:$I$89,3,0)*VLOOKUP('Données projet'!$B$11,Paramètres!$A$1:$I$89,5,0)</f>
        <v>-9.9316821433603781E-14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195.30963433439501</v>
      </c>
      <c r="BJ163" s="62">
        <f t="shared" si="146"/>
        <v>185.00219255324504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3.7017205999270193E-19</v>
      </c>
      <c r="BS163" s="24">
        <f t="shared" si="169"/>
        <v>3.7017205999270193E-19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-5.6843418860808015E-14</v>
      </c>
      <c r="BZ163" s="14">
        <f>BY163*VLOOKUP('Données projet'!$B$12,Paramètres!$A$1:$I$89,3,0)*VLOOKUP('Données projet'!$B$12,Paramètres!$A$1:$I$89,5,0)</f>
        <v>-5.4978954722173515E-14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298.18906674058809</v>
      </c>
      <c r="CE163" s="62">
        <f t="shared" si="148"/>
        <v>154.08406475869634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1.9895196601282805E-13</v>
      </c>
      <c r="O164" s="14">
        <f>N164*VLOOKUP('Données projet'!$B$9,Paramètres!$A$1:$I$89,3,0)*VLOOKUP('Données projet'!$B$9,Paramètres!$A$1:$I$89,5,0)</f>
        <v>1.8001173884840681E-13</v>
      </c>
      <c r="P164" s="14">
        <f t="shared" si="141"/>
        <v>2.5254331426407198E-12</v>
      </c>
      <c r="Q164" s="22">
        <f t="shared" si="162"/>
        <v>4.7119831685935622E-12</v>
      </c>
      <c r="R164" s="62">
        <f t="shared" si="109"/>
        <v>293.33333333333803</v>
      </c>
      <c r="S164" s="62">
        <f ca="1">AVERAGE(OFFSET($R$3,0,0,'Données projet'!$E$9+1,1))-AVERAGE(OFFSET($H$3,0,0,'Données projet'!$E$9+1,1))</f>
        <v>302.6112905010138</v>
      </c>
      <c r="T164" s="62">
        <f t="shared" si="142"/>
        <v>423.44006663873375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6.0401177648887645E-2</v>
      </c>
      <c r="AB164" s="23">
        <f>EXP(-LN(2)/2)*AB163+(1-EXP(-LN(2)/2))/(LN(2)/2)*V164*Y164*VLOOKUP('Données projet'!$B$9,Paramètres!$A$1:$I$89,3,0)*0.475*44/12</f>
        <v>1.214198603328074E-19</v>
      </c>
      <c r="AC164" s="24">
        <f t="shared" si="163"/>
        <v>6.0401177648887645E-2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1.1527845344971866E-13</v>
      </c>
      <c r="AK164" s="14">
        <f t="shared" si="164"/>
        <v>1.7033846239409443E-12</v>
      </c>
      <c r="AL164" s="22">
        <f t="shared" si="165"/>
        <v>3.1675048597887374E-12</v>
      </c>
      <c r="AM164" s="62">
        <f t="shared" si="113"/>
        <v>293.3333333333365</v>
      </c>
      <c r="AN164" s="62">
        <f ca="1">AVERAGE(OFFSET($AM$3,0,0,'Données projet'!$E$10+1,1))-AVERAGE(OFFSET($H$3,0,0,'Données projet'!$E$10+1,1))</f>
        <v>411.98877330238821</v>
      </c>
      <c r="AO164" s="62">
        <f t="shared" si="144"/>
        <v>256.4377087753457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-1.1368683772161603E-13</v>
      </c>
      <c r="BE164" s="14">
        <f>BD164*VLOOKUP('Données projet'!$B$11,Paramètres!$A$1:$I$89,3,0)*VLOOKUP('Données projet'!$B$11,Paramètres!$A$1:$I$89,5,0)</f>
        <v>-9.9316821433603781E-14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195.30963433439501</v>
      </c>
      <c r="BJ164" s="62">
        <f t="shared" si="146"/>
        <v>185.00219255324504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2.6175117382663302E-19</v>
      </c>
      <c r="BS164" s="24">
        <f t="shared" si="169"/>
        <v>2.6175117382663302E-19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-5.6843418860808015E-14</v>
      </c>
      <c r="BZ164" s="14">
        <f>BY164*VLOOKUP('Données projet'!$B$12,Paramètres!$A$1:$I$89,3,0)*VLOOKUP('Données projet'!$B$12,Paramètres!$A$1:$I$89,5,0)</f>
        <v>-5.4978954722173515E-14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298.18906674058809</v>
      </c>
      <c r="CE164" s="62">
        <f t="shared" si="148"/>
        <v>154.08406475869634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1.9895196601282805E-13</v>
      </c>
      <c r="O165" s="14">
        <f>N165*VLOOKUP('Données projet'!$B$9,Paramètres!$A$1:$I$89,3,0)*VLOOKUP('Données projet'!$B$9,Paramètres!$A$1:$I$89,5,0)</f>
        <v>1.8001173884840681E-13</v>
      </c>
      <c r="P165" s="14">
        <f t="shared" si="141"/>
        <v>2.5254331426407198E-12</v>
      </c>
      <c r="Q165" s="22">
        <f t="shared" si="162"/>
        <v>4.7119831685935622E-12</v>
      </c>
      <c r="R165" s="62">
        <f t="shared" si="109"/>
        <v>293.33333333333803</v>
      </c>
      <c r="S165" s="62">
        <f ca="1">AVERAGE(OFFSET($R$3,0,0,'Données projet'!$E$9+1,1))-AVERAGE(OFFSET($H$3,0,0,'Données projet'!$E$9+1,1))</f>
        <v>302.6112905010138</v>
      </c>
      <c r="T165" s="62">
        <f t="shared" si="142"/>
        <v>423.44006663873375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5.8749504269718929E-2</v>
      </c>
      <c r="AB165" s="23">
        <f>EXP(-LN(2)/2)*AB164+(1-EXP(-LN(2)/2))/(LN(2)/2)*V165*Y165*VLOOKUP('Données projet'!$B$9,Paramètres!$A$1:$I$89,3,0)*0.475*44/12</f>
        <v>8.5856806612051602E-20</v>
      </c>
      <c r="AC165" s="24">
        <f t="shared" si="163"/>
        <v>5.8749504269718929E-2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1.1527845344971866E-13</v>
      </c>
      <c r="AK165" s="14">
        <f t="shared" si="164"/>
        <v>1.7033846239409443E-12</v>
      </c>
      <c r="AL165" s="22">
        <f t="shared" si="165"/>
        <v>3.1675048597887374E-12</v>
      </c>
      <c r="AM165" s="62">
        <f t="shared" si="113"/>
        <v>293.3333333333365</v>
      </c>
      <c r="AN165" s="62">
        <f ca="1">AVERAGE(OFFSET($AM$3,0,0,'Données projet'!$E$10+1,1))-AVERAGE(OFFSET($H$3,0,0,'Données projet'!$E$10+1,1))</f>
        <v>411.98877330238821</v>
      </c>
      <c r="AO165" s="62">
        <f t="shared" si="144"/>
        <v>256.4377087753457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-1.1368683772161603E-13</v>
      </c>
      <c r="BE165" s="14">
        <f>BD165*VLOOKUP('Données projet'!$B$11,Paramètres!$A$1:$I$89,3,0)*VLOOKUP('Données projet'!$B$11,Paramètres!$A$1:$I$89,5,0)</f>
        <v>-9.9316821433603781E-14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195.30963433439501</v>
      </c>
      <c r="BJ165" s="62">
        <f t="shared" si="146"/>
        <v>185.00219255324504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1.8508602999635097E-19</v>
      </c>
      <c r="BS165" s="24">
        <f t="shared" si="169"/>
        <v>1.8508602999635097E-19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-5.6843418860808015E-14</v>
      </c>
      <c r="BZ165" s="14">
        <f>BY165*VLOOKUP('Données projet'!$B$12,Paramètres!$A$1:$I$89,3,0)*VLOOKUP('Données projet'!$B$12,Paramètres!$A$1:$I$89,5,0)</f>
        <v>-5.4978954722173515E-14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298.18906674058809</v>
      </c>
      <c r="CE165" s="62">
        <f t="shared" si="148"/>
        <v>154.08406475869634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1.9895196601282805E-13</v>
      </c>
      <c r="O166" s="14">
        <f>N166*VLOOKUP('Données projet'!$B$9,Paramètres!$A$1:$I$89,3,0)*VLOOKUP('Données projet'!$B$9,Paramètres!$A$1:$I$89,5,0)</f>
        <v>1.8001173884840681E-13</v>
      </c>
      <c r="P166" s="14">
        <f t="shared" si="141"/>
        <v>2.5254331426407198E-12</v>
      </c>
      <c r="Q166" s="22">
        <f t="shared" si="162"/>
        <v>4.7119831685935622E-12</v>
      </c>
      <c r="R166" s="62">
        <f t="shared" si="109"/>
        <v>293.33333333333803</v>
      </c>
      <c r="S166" s="62">
        <f ca="1">AVERAGE(OFFSET($R$3,0,0,'Données projet'!$E$9+1,1))-AVERAGE(OFFSET($H$3,0,0,'Données projet'!$E$9+1,1))</f>
        <v>302.6112905010138</v>
      </c>
      <c r="T166" s="62">
        <f t="shared" si="142"/>
        <v>423.44006663873375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5.7142995985961308E-2</v>
      </c>
      <c r="AB166" s="23">
        <f>EXP(-LN(2)/2)*AB165+(1-EXP(-LN(2)/2))/(LN(2)/2)*V166*Y166*VLOOKUP('Données projet'!$B$9,Paramètres!$A$1:$I$89,3,0)*0.475*44/12</f>
        <v>6.0709930166403698E-20</v>
      </c>
      <c r="AC166" s="24">
        <f t="shared" si="163"/>
        <v>5.7142995985961308E-2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1.1527845344971866E-13</v>
      </c>
      <c r="AK166" s="14">
        <f t="shared" si="164"/>
        <v>1.7033846239409443E-12</v>
      </c>
      <c r="AL166" s="22">
        <f t="shared" si="165"/>
        <v>3.1675048597887374E-12</v>
      </c>
      <c r="AM166" s="62">
        <f t="shared" si="113"/>
        <v>293.3333333333365</v>
      </c>
      <c r="AN166" s="62">
        <f ca="1">AVERAGE(OFFSET($AM$3,0,0,'Données projet'!$E$10+1,1))-AVERAGE(OFFSET($H$3,0,0,'Données projet'!$E$10+1,1))</f>
        <v>411.98877330238821</v>
      </c>
      <c r="AO166" s="62">
        <f t="shared" si="144"/>
        <v>256.4377087753457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-1.1368683772161603E-13</v>
      </c>
      <c r="BE166" s="14">
        <f>BD166*VLOOKUP('Données projet'!$B$11,Paramètres!$A$1:$I$89,3,0)*VLOOKUP('Données projet'!$B$11,Paramètres!$A$1:$I$89,5,0)</f>
        <v>-9.9316821433603781E-14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195.30963433439501</v>
      </c>
      <c r="BJ166" s="62">
        <f t="shared" si="146"/>
        <v>185.00219255324504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1.3087558691331651E-19</v>
      </c>
      <c r="BS166" s="24">
        <f t="shared" si="169"/>
        <v>1.3087558691331651E-19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-5.6843418860808015E-14</v>
      </c>
      <c r="BZ166" s="14">
        <f>BY166*VLOOKUP('Données projet'!$B$12,Paramètres!$A$1:$I$89,3,0)*VLOOKUP('Données projet'!$B$12,Paramètres!$A$1:$I$89,5,0)</f>
        <v>-5.4978954722173515E-14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298.18906674058809</v>
      </c>
      <c r="CE166" s="62">
        <f t="shared" si="148"/>
        <v>154.08406475869634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1.9895196601282805E-13</v>
      </c>
      <c r="O167" s="14">
        <f>N167*VLOOKUP('Données projet'!$B$9,Paramètres!$A$1:$I$89,3,0)*VLOOKUP('Données projet'!$B$9,Paramètres!$A$1:$I$89,5,0)</f>
        <v>1.8001173884840681E-13</v>
      </c>
      <c r="P167" s="14">
        <f t="shared" si="141"/>
        <v>2.5254331426407198E-12</v>
      </c>
      <c r="Q167" s="22">
        <f t="shared" si="162"/>
        <v>4.7119831685935622E-12</v>
      </c>
      <c r="R167" s="62">
        <f t="shared" si="109"/>
        <v>293.33333333333803</v>
      </c>
      <c r="S167" s="62">
        <f ca="1">AVERAGE(OFFSET($R$3,0,0,'Données projet'!$E$9+1,1))-AVERAGE(OFFSET($H$3,0,0,'Données projet'!$E$9+1,1))</f>
        <v>302.6112905010138</v>
      </c>
      <c r="T167" s="62">
        <f t="shared" si="142"/>
        <v>423.44006663873375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5.5580417755705637E-2</v>
      </c>
      <c r="AB167" s="23">
        <f>EXP(-LN(2)/2)*AB166+(1-EXP(-LN(2)/2))/(LN(2)/2)*V167*Y167*VLOOKUP('Données projet'!$B$9,Paramètres!$A$1:$I$89,3,0)*0.475*44/12</f>
        <v>4.2928403306025801E-20</v>
      </c>
      <c r="AC167" s="24">
        <f t="shared" si="163"/>
        <v>5.5580417755705637E-2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1.1527845344971866E-13</v>
      </c>
      <c r="AK167" s="14">
        <f t="shared" si="164"/>
        <v>1.7033846239409443E-12</v>
      </c>
      <c r="AL167" s="22">
        <f t="shared" si="165"/>
        <v>3.1675048597887374E-12</v>
      </c>
      <c r="AM167" s="62">
        <f t="shared" si="113"/>
        <v>293.3333333333365</v>
      </c>
      <c r="AN167" s="62">
        <f ca="1">AVERAGE(OFFSET($AM$3,0,0,'Données projet'!$E$10+1,1))-AVERAGE(OFFSET($H$3,0,0,'Données projet'!$E$10+1,1))</f>
        <v>411.98877330238821</v>
      </c>
      <c r="AO167" s="62">
        <f t="shared" si="144"/>
        <v>256.4377087753457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-1.1368683772161603E-13</v>
      </c>
      <c r="BE167" s="14">
        <f>BD167*VLOOKUP('Données projet'!$B$11,Paramètres!$A$1:$I$89,3,0)*VLOOKUP('Données projet'!$B$11,Paramètres!$A$1:$I$89,5,0)</f>
        <v>-9.9316821433603781E-14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195.30963433439501</v>
      </c>
      <c r="BJ167" s="62">
        <f t="shared" si="146"/>
        <v>185.00219255324504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9.2543014998175484E-20</v>
      </c>
      <c r="BS167" s="24">
        <f t="shared" si="169"/>
        <v>9.2543014998175484E-20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-5.6843418860808015E-14</v>
      </c>
      <c r="BZ167" s="14">
        <f>BY167*VLOOKUP('Données projet'!$B$12,Paramètres!$A$1:$I$89,3,0)*VLOOKUP('Données projet'!$B$12,Paramètres!$A$1:$I$89,5,0)</f>
        <v>-5.4978954722173515E-14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298.18906674058809</v>
      </c>
      <c r="CE167" s="62">
        <f t="shared" si="148"/>
        <v>154.08406475869634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1.9895196601282805E-13</v>
      </c>
      <c r="O168" s="14">
        <f>N168*VLOOKUP('Données projet'!$B$9,Paramètres!$A$1:$I$89,3,0)*VLOOKUP('Données projet'!$B$9,Paramètres!$A$1:$I$89,5,0)</f>
        <v>1.8001173884840681E-13</v>
      </c>
      <c r="P168" s="14">
        <f t="shared" si="141"/>
        <v>2.5254331426407198E-12</v>
      </c>
      <c r="Q168" s="22">
        <f t="shared" si="162"/>
        <v>4.7119831685935622E-12</v>
      </c>
      <c r="R168" s="62">
        <f t="shared" si="109"/>
        <v>293.33333333333803</v>
      </c>
      <c r="S168" s="62">
        <f ca="1">AVERAGE(OFFSET($R$3,0,0,'Données projet'!$E$9+1,1))-AVERAGE(OFFSET($H$3,0,0,'Données projet'!$E$9+1,1))</f>
        <v>302.6112905010138</v>
      </c>
      <c r="T168" s="62">
        <f t="shared" si="142"/>
        <v>423.44006663873375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5.4060568309328726E-2</v>
      </c>
      <c r="AB168" s="23">
        <f>EXP(-LN(2)/2)*AB167+(1-EXP(-LN(2)/2))/(LN(2)/2)*V168*Y168*VLOOKUP('Données projet'!$B$9,Paramètres!$A$1:$I$89,3,0)*0.475*44/12</f>
        <v>3.0354965083201849E-20</v>
      </c>
      <c r="AC168" s="24">
        <f t="shared" si="163"/>
        <v>5.4060568309328726E-2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1.1527845344971866E-13</v>
      </c>
      <c r="AK168" s="14">
        <f t="shared" si="164"/>
        <v>1.7033846239409443E-12</v>
      </c>
      <c r="AL168" s="22">
        <f t="shared" si="165"/>
        <v>3.1675048597887374E-12</v>
      </c>
      <c r="AM168" s="62">
        <f t="shared" si="113"/>
        <v>293.3333333333365</v>
      </c>
      <c r="AN168" s="62">
        <f ca="1">AVERAGE(OFFSET($AM$3,0,0,'Données projet'!$E$10+1,1))-AVERAGE(OFFSET($H$3,0,0,'Données projet'!$E$10+1,1))</f>
        <v>411.98877330238821</v>
      </c>
      <c r="AO168" s="62">
        <f t="shared" si="144"/>
        <v>256.4377087753457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-1.1368683772161603E-13</v>
      </c>
      <c r="BE168" s="14">
        <f>BD168*VLOOKUP('Données projet'!$B$11,Paramètres!$A$1:$I$89,3,0)*VLOOKUP('Données projet'!$B$11,Paramètres!$A$1:$I$89,5,0)</f>
        <v>-9.9316821433603781E-14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195.30963433439501</v>
      </c>
      <c r="BJ168" s="62">
        <f t="shared" si="146"/>
        <v>185.00219255324504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6.5437793456658256E-20</v>
      </c>
      <c r="BS168" s="24">
        <f t="shared" si="169"/>
        <v>6.5437793456658256E-20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-5.6843418860808015E-14</v>
      </c>
      <c r="BZ168" s="14">
        <f>BY168*VLOOKUP('Données projet'!$B$12,Paramètres!$A$1:$I$89,3,0)*VLOOKUP('Données projet'!$B$12,Paramètres!$A$1:$I$89,5,0)</f>
        <v>-5.4978954722173515E-14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298.18906674058809</v>
      </c>
      <c r="CE168" s="62">
        <f t="shared" si="148"/>
        <v>154.08406475869634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1.9895196601282805E-13</v>
      </c>
      <c r="O169" s="14">
        <f>N169*VLOOKUP('Données projet'!$B$9,Paramètres!$A$1:$I$89,3,0)*VLOOKUP('Données projet'!$B$9,Paramètres!$A$1:$I$89,5,0)</f>
        <v>1.8001173884840681E-13</v>
      </c>
      <c r="P169" s="14">
        <f t="shared" si="141"/>
        <v>2.5254331426407198E-12</v>
      </c>
      <c r="Q169" s="22">
        <f t="shared" si="162"/>
        <v>4.7119831685935622E-12</v>
      </c>
      <c r="R169" s="62">
        <f t="shared" si="109"/>
        <v>293.33333333333803</v>
      </c>
      <c r="S169" s="62">
        <f ca="1">AVERAGE(OFFSET($R$3,0,0,'Données projet'!$E$9+1,1))-AVERAGE(OFFSET($H$3,0,0,'Données projet'!$E$9+1,1))</f>
        <v>302.6112905010138</v>
      </c>
      <c r="T169" s="62">
        <f t="shared" si="142"/>
        <v>423.44006663873375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5.2582279225988404E-2</v>
      </c>
      <c r="AB169" s="23">
        <f>EXP(-LN(2)/2)*AB168+(1-EXP(-LN(2)/2))/(LN(2)/2)*V169*Y169*VLOOKUP('Données projet'!$B$9,Paramètres!$A$1:$I$89,3,0)*0.475*44/12</f>
        <v>2.14642016530129E-20</v>
      </c>
      <c r="AC169" s="24">
        <f t="shared" si="163"/>
        <v>5.2582279225988404E-2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1.1527845344971866E-13</v>
      </c>
      <c r="AK169" s="14">
        <f t="shared" si="164"/>
        <v>1.7033846239409443E-12</v>
      </c>
      <c r="AL169" s="22">
        <f t="shared" si="165"/>
        <v>3.1675048597887374E-12</v>
      </c>
      <c r="AM169" s="62">
        <f t="shared" si="113"/>
        <v>293.3333333333365</v>
      </c>
      <c r="AN169" s="62">
        <f ca="1">AVERAGE(OFFSET($AM$3,0,0,'Données projet'!$E$10+1,1))-AVERAGE(OFFSET($H$3,0,0,'Données projet'!$E$10+1,1))</f>
        <v>411.98877330238821</v>
      </c>
      <c r="AO169" s="62">
        <f t="shared" si="144"/>
        <v>256.4377087753457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-1.1368683772161603E-13</v>
      </c>
      <c r="BE169" s="14">
        <f>BD169*VLOOKUP('Données projet'!$B$11,Paramètres!$A$1:$I$89,3,0)*VLOOKUP('Données projet'!$B$11,Paramètres!$A$1:$I$89,5,0)</f>
        <v>-9.9316821433603781E-14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195.30963433439501</v>
      </c>
      <c r="BJ169" s="62">
        <f t="shared" si="146"/>
        <v>185.00219255324504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4.6271507499087742E-20</v>
      </c>
      <c r="BS169" s="24">
        <f t="shared" si="169"/>
        <v>4.6271507499087742E-20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-5.6843418860808015E-14</v>
      </c>
      <c r="BZ169" s="14">
        <f>BY169*VLOOKUP('Données projet'!$B$12,Paramètres!$A$1:$I$89,3,0)*VLOOKUP('Données projet'!$B$12,Paramètres!$A$1:$I$89,5,0)</f>
        <v>-5.4978954722173515E-14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298.18906674058809</v>
      </c>
      <c r="CE169" s="62">
        <f t="shared" si="148"/>
        <v>154.08406475869634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1.9895196601282805E-13</v>
      </c>
      <c r="O170" s="14">
        <f>N170*VLOOKUP('Données projet'!$B$9,Paramètres!$A$1:$I$89,3,0)*VLOOKUP('Données projet'!$B$9,Paramètres!$A$1:$I$89,5,0)</f>
        <v>1.8001173884840681E-13</v>
      </c>
      <c r="P170" s="14">
        <f t="shared" si="141"/>
        <v>2.5254331426407198E-12</v>
      </c>
      <c r="Q170" s="22">
        <f t="shared" si="162"/>
        <v>4.7119831685935622E-12</v>
      </c>
      <c r="R170" s="62">
        <f t="shared" si="109"/>
        <v>293.33333333333803</v>
      </c>
      <c r="S170" s="62">
        <f ca="1">AVERAGE(OFFSET($R$3,0,0,'Données projet'!$E$9+1,1))-AVERAGE(OFFSET($H$3,0,0,'Données projet'!$E$9+1,1))</f>
        <v>302.6112905010138</v>
      </c>
      <c r="T170" s="62">
        <f t="shared" si="142"/>
        <v>423.44006663873375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5.1144414035371864E-2</v>
      </c>
      <c r="AB170" s="23">
        <f>EXP(-LN(2)/2)*AB169+(1-EXP(-LN(2)/2))/(LN(2)/2)*V170*Y170*VLOOKUP('Données projet'!$B$9,Paramètres!$A$1:$I$89,3,0)*0.475*44/12</f>
        <v>1.5177482541600925E-20</v>
      </c>
      <c r="AC170" s="24">
        <f t="shared" si="163"/>
        <v>5.1144414035371864E-2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1.1527845344971866E-13</v>
      </c>
      <c r="AK170" s="14">
        <f t="shared" si="164"/>
        <v>1.7033846239409443E-12</v>
      </c>
      <c r="AL170" s="22">
        <f t="shared" si="165"/>
        <v>3.1675048597887374E-12</v>
      </c>
      <c r="AM170" s="62">
        <f t="shared" si="113"/>
        <v>293.3333333333365</v>
      </c>
      <c r="AN170" s="62">
        <f ca="1">AVERAGE(OFFSET($AM$3,0,0,'Données projet'!$E$10+1,1))-AVERAGE(OFFSET($H$3,0,0,'Données projet'!$E$10+1,1))</f>
        <v>411.98877330238821</v>
      </c>
      <c r="AO170" s="62">
        <f t="shared" si="144"/>
        <v>256.4377087753457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-1.1368683772161603E-13</v>
      </c>
      <c r="BE170" s="14">
        <f>BD170*VLOOKUP('Données projet'!$B$11,Paramètres!$A$1:$I$89,3,0)*VLOOKUP('Données projet'!$B$11,Paramètres!$A$1:$I$89,5,0)</f>
        <v>-9.9316821433603781E-14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195.30963433439501</v>
      </c>
      <c r="BJ170" s="62">
        <f t="shared" si="146"/>
        <v>185.00219255324504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3.2718896728329128E-20</v>
      </c>
      <c r="BS170" s="24">
        <f t="shared" si="169"/>
        <v>3.2718896728329128E-20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-5.6843418860808015E-14</v>
      </c>
      <c r="BZ170" s="14">
        <f>BY170*VLOOKUP('Données projet'!$B$12,Paramètres!$A$1:$I$89,3,0)*VLOOKUP('Données projet'!$B$12,Paramètres!$A$1:$I$89,5,0)</f>
        <v>-5.4978954722173515E-14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298.18906674058809</v>
      </c>
      <c r="CE170" s="62">
        <f t="shared" si="148"/>
        <v>154.08406475869634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1.9895196601282805E-13</v>
      </c>
      <c r="O171" s="14">
        <f>N171*VLOOKUP('Données projet'!$B$9,Paramètres!$A$1:$I$89,3,0)*VLOOKUP('Données projet'!$B$9,Paramètres!$A$1:$I$89,5,0)</f>
        <v>1.8001173884840681E-13</v>
      </c>
      <c r="P171" s="14">
        <f t="shared" si="141"/>
        <v>2.5254331426407198E-12</v>
      </c>
      <c r="Q171" s="22">
        <f t="shared" si="162"/>
        <v>4.7119831685935622E-12</v>
      </c>
      <c r="R171" s="62">
        <f t="shared" si="109"/>
        <v>293.33333333333803</v>
      </c>
      <c r="S171" s="62">
        <f ca="1">AVERAGE(OFFSET($R$3,0,0,'Données projet'!$E$9+1,1))-AVERAGE(OFFSET($H$3,0,0,'Données projet'!$E$9+1,1))</f>
        <v>302.6112905010138</v>
      </c>
      <c r="T171" s="62">
        <f t="shared" si="142"/>
        <v>423.44006663873375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4.9745867344006781E-2</v>
      </c>
      <c r="AB171" s="23">
        <f>EXP(-LN(2)/2)*AB170+(1-EXP(-LN(2)/2))/(LN(2)/2)*V171*Y171*VLOOKUP('Données projet'!$B$9,Paramètres!$A$1:$I$89,3,0)*0.475*44/12</f>
        <v>1.073210082650645E-20</v>
      </c>
      <c r="AC171" s="24">
        <f t="shared" si="163"/>
        <v>4.9745867344006781E-2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1.1527845344971866E-13</v>
      </c>
      <c r="AK171" s="14">
        <f t="shared" si="164"/>
        <v>1.7033846239409443E-12</v>
      </c>
      <c r="AL171" s="22">
        <f t="shared" si="165"/>
        <v>3.1675048597887374E-12</v>
      </c>
      <c r="AM171" s="62">
        <f t="shared" si="113"/>
        <v>293.3333333333365</v>
      </c>
      <c r="AN171" s="62">
        <f ca="1">AVERAGE(OFFSET($AM$3,0,0,'Données projet'!$E$10+1,1))-AVERAGE(OFFSET($H$3,0,0,'Données projet'!$E$10+1,1))</f>
        <v>411.98877330238821</v>
      </c>
      <c r="AO171" s="62">
        <f t="shared" si="144"/>
        <v>256.4377087753457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-1.1368683772161603E-13</v>
      </c>
      <c r="BE171" s="14">
        <f>BD171*VLOOKUP('Données projet'!$B$11,Paramètres!$A$1:$I$89,3,0)*VLOOKUP('Données projet'!$B$11,Paramètres!$A$1:$I$89,5,0)</f>
        <v>-9.9316821433603781E-14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195.30963433439501</v>
      </c>
      <c r="BJ171" s="62">
        <f t="shared" si="146"/>
        <v>185.00219255324504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2.3135753749543871E-20</v>
      </c>
      <c r="BS171" s="24">
        <f t="shared" si="169"/>
        <v>2.3135753749543871E-20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-5.6843418860808015E-14</v>
      </c>
      <c r="BZ171" s="14">
        <f>BY171*VLOOKUP('Données projet'!$B$12,Paramètres!$A$1:$I$89,3,0)*VLOOKUP('Données projet'!$B$12,Paramètres!$A$1:$I$89,5,0)</f>
        <v>-5.4978954722173515E-14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298.18906674058809</v>
      </c>
      <c r="CE171" s="62">
        <f t="shared" si="148"/>
        <v>154.08406475869634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1.9895196601282805E-13</v>
      </c>
      <c r="O172" s="14">
        <f>N172*VLOOKUP('Données projet'!$B$9,Paramètres!$A$1:$I$89,3,0)*VLOOKUP('Données projet'!$B$9,Paramètres!$A$1:$I$89,5,0)</f>
        <v>1.8001173884840681E-13</v>
      </c>
      <c r="P172" s="14">
        <f t="shared" si="141"/>
        <v>2.5254331426407198E-12</v>
      </c>
      <c r="Q172" s="22">
        <f t="shared" si="162"/>
        <v>4.7119831685935622E-12</v>
      </c>
      <c r="R172" s="62">
        <f t="shared" si="109"/>
        <v>293.33333333333803</v>
      </c>
      <c r="S172" s="62">
        <f ca="1">AVERAGE(OFFSET($R$3,0,0,'Données projet'!$E$9+1,1))-AVERAGE(OFFSET($H$3,0,0,'Données projet'!$E$9+1,1))</f>
        <v>302.6112905010138</v>
      </c>
      <c r="T172" s="62">
        <f t="shared" si="142"/>
        <v>423.44006663873375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4.8385563985463446E-2</v>
      </c>
      <c r="AB172" s="23">
        <f>EXP(-LN(2)/2)*AB171+(1-EXP(-LN(2)/2))/(LN(2)/2)*V172*Y172*VLOOKUP('Données projet'!$B$9,Paramètres!$A$1:$I$89,3,0)*0.475*44/12</f>
        <v>7.5887412708004623E-21</v>
      </c>
      <c r="AC172" s="24">
        <f t="shared" si="163"/>
        <v>4.8385563985463446E-2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1.1527845344971866E-13</v>
      </c>
      <c r="AK172" s="14">
        <f t="shared" si="164"/>
        <v>1.7033846239409443E-12</v>
      </c>
      <c r="AL172" s="22">
        <f t="shared" si="165"/>
        <v>3.1675048597887374E-12</v>
      </c>
      <c r="AM172" s="62">
        <f t="shared" si="113"/>
        <v>293.3333333333365</v>
      </c>
      <c r="AN172" s="62">
        <f ca="1">AVERAGE(OFFSET($AM$3,0,0,'Données projet'!$E$10+1,1))-AVERAGE(OFFSET($H$3,0,0,'Données projet'!$E$10+1,1))</f>
        <v>411.98877330238821</v>
      </c>
      <c r="AO172" s="62">
        <f t="shared" si="144"/>
        <v>256.4377087753457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-1.1368683772161603E-13</v>
      </c>
      <c r="BE172" s="14">
        <f>BD172*VLOOKUP('Données projet'!$B$11,Paramètres!$A$1:$I$89,3,0)*VLOOKUP('Données projet'!$B$11,Paramètres!$A$1:$I$89,5,0)</f>
        <v>-9.9316821433603781E-14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195.30963433439501</v>
      </c>
      <c r="BJ172" s="62">
        <f t="shared" si="146"/>
        <v>185.00219255324504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1.6359448364164564E-20</v>
      </c>
      <c r="BS172" s="24">
        <f t="shared" si="169"/>
        <v>1.6359448364164564E-20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-5.6843418860808015E-14</v>
      </c>
      <c r="BZ172" s="14">
        <f>BY172*VLOOKUP('Données projet'!$B$12,Paramètres!$A$1:$I$89,3,0)*VLOOKUP('Données projet'!$B$12,Paramètres!$A$1:$I$89,5,0)</f>
        <v>-5.4978954722173515E-14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298.18906674058809</v>
      </c>
      <c r="CE172" s="62">
        <f t="shared" si="148"/>
        <v>154.08406475869634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1.9895196601282805E-13</v>
      </c>
      <c r="O173" s="14">
        <f>N173*VLOOKUP('Données projet'!$B$9,Paramètres!$A$1:$I$89,3,0)*VLOOKUP('Données projet'!$B$9,Paramètres!$A$1:$I$89,5,0)</f>
        <v>1.8001173884840681E-13</v>
      </c>
      <c r="P173" s="14">
        <f t="shared" si="141"/>
        <v>2.5254331426407198E-12</v>
      </c>
      <c r="Q173" s="22">
        <f t="shared" si="162"/>
        <v>4.7119831685935622E-12</v>
      </c>
      <c r="R173" s="62">
        <f t="shared" si="109"/>
        <v>293.33333333333803</v>
      </c>
      <c r="S173" s="62">
        <f ca="1">AVERAGE(OFFSET($R$3,0,0,'Données projet'!$E$9+1,1))-AVERAGE(OFFSET($H$3,0,0,'Données projet'!$E$9+1,1))</f>
        <v>302.6112905010138</v>
      </c>
      <c r="T173" s="62">
        <f t="shared" si="142"/>
        <v>423.44006663873375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4.7062458193794725E-2</v>
      </c>
      <c r="AB173" s="23">
        <f>EXP(-LN(2)/2)*AB172+(1-EXP(-LN(2)/2))/(LN(2)/2)*V173*Y173*VLOOKUP('Données projet'!$B$9,Paramètres!$A$1:$I$89,3,0)*0.475*44/12</f>
        <v>5.3660504132532251E-21</v>
      </c>
      <c r="AC173" s="24">
        <f t="shared" si="163"/>
        <v>4.7062458193794725E-2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1.1527845344971866E-13</v>
      </c>
      <c r="AK173" s="14">
        <f t="shared" si="164"/>
        <v>1.7033846239409443E-12</v>
      </c>
      <c r="AL173" s="22">
        <f t="shared" si="165"/>
        <v>3.1675048597887374E-12</v>
      </c>
      <c r="AM173" s="62">
        <f t="shared" si="113"/>
        <v>293.3333333333365</v>
      </c>
      <c r="AN173" s="62">
        <f ca="1">AVERAGE(OFFSET($AM$3,0,0,'Données projet'!$E$10+1,1))-AVERAGE(OFFSET($H$3,0,0,'Données projet'!$E$10+1,1))</f>
        <v>411.98877330238821</v>
      </c>
      <c r="AO173" s="62">
        <f t="shared" si="144"/>
        <v>256.4377087753457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-1.1368683772161603E-13</v>
      </c>
      <c r="BE173" s="14">
        <f>BD173*VLOOKUP('Données projet'!$B$11,Paramètres!$A$1:$I$89,3,0)*VLOOKUP('Données projet'!$B$11,Paramètres!$A$1:$I$89,5,0)</f>
        <v>-9.9316821433603781E-14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195.30963433439501</v>
      </c>
      <c r="BJ173" s="62">
        <f t="shared" si="146"/>
        <v>185.00219255324504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1.1567876874771935E-20</v>
      </c>
      <c r="BS173" s="24">
        <f t="shared" si="169"/>
        <v>1.1567876874771935E-20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-5.6843418860808015E-14</v>
      </c>
      <c r="BZ173" s="14">
        <f>BY173*VLOOKUP('Données projet'!$B$12,Paramètres!$A$1:$I$89,3,0)*VLOOKUP('Données projet'!$B$12,Paramètres!$A$1:$I$89,5,0)</f>
        <v>-5.4978954722173515E-14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298.18906674058809</v>
      </c>
      <c r="CE173" s="62">
        <f t="shared" si="148"/>
        <v>154.08406475869634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1.9895196601282805E-13</v>
      </c>
      <c r="O174" s="14">
        <f>N174*VLOOKUP('Données projet'!$B$9,Paramètres!$A$1:$I$89,3,0)*VLOOKUP('Données projet'!$B$9,Paramètres!$A$1:$I$89,5,0)</f>
        <v>1.8001173884840681E-13</v>
      </c>
      <c r="P174" s="14">
        <f t="shared" si="141"/>
        <v>2.5254331426407198E-12</v>
      </c>
      <c r="Q174" s="22">
        <f t="shared" si="162"/>
        <v>4.7119831685935622E-12</v>
      </c>
      <c r="R174" s="62">
        <f t="shared" si="109"/>
        <v>293.33333333333803</v>
      </c>
      <c r="S174" s="62">
        <f ca="1">AVERAGE(OFFSET($R$3,0,0,'Données projet'!$E$9+1,1))-AVERAGE(OFFSET($H$3,0,0,'Données projet'!$E$9+1,1))</f>
        <v>302.6112905010138</v>
      </c>
      <c r="T174" s="62">
        <f t="shared" si="142"/>
        <v>423.44006663873375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4.5775532799578293E-2</v>
      </c>
      <c r="AB174" s="23">
        <f>EXP(-LN(2)/2)*AB173+(1-EXP(-LN(2)/2))/(LN(2)/2)*V174*Y174*VLOOKUP('Données projet'!$B$9,Paramètres!$A$1:$I$89,3,0)*0.475*44/12</f>
        <v>3.7943706354002311E-21</v>
      </c>
      <c r="AC174" s="24">
        <f t="shared" si="163"/>
        <v>4.5775532799578293E-2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1.1527845344971866E-13</v>
      </c>
      <c r="AK174" s="14">
        <f t="shared" si="164"/>
        <v>1.7033846239409443E-12</v>
      </c>
      <c r="AL174" s="22">
        <f t="shared" si="165"/>
        <v>3.1675048597887374E-12</v>
      </c>
      <c r="AM174" s="62">
        <f t="shared" si="113"/>
        <v>293.3333333333365</v>
      </c>
      <c r="AN174" s="62">
        <f ca="1">AVERAGE(OFFSET($AM$3,0,0,'Données projet'!$E$10+1,1))-AVERAGE(OFFSET($H$3,0,0,'Données projet'!$E$10+1,1))</f>
        <v>411.98877330238821</v>
      </c>
      <c r="AO174" s="62">
        <f t="shared" si="144"/>
        <v>256.4377087753457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-1.1368683772161603E-13</v>
      </c>
      <c r="BE174" s="14">
        <f>BD174*VLOOKUP('Données projet'!$B$11,Paramètres!$A$1:$I$89,3,0)*VLOOKUP('Données projet'!$B$11,Paramètres!$A$1:$I$89,5,0)</f>
        <v>-9.9316821433603781E-14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195.30963433439501</v>
      </c>
      <c r="BJ174" s="62">
        <f t="shared" si="146"/>
        <v>185.00219255324504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8.179724182082282E-21</v>
      </c>
      <c r="BS174" s="24">
        <f t="shared" si="169"/>
        <v>8.179724182082282E-21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-5.6843418860808015E-14</v>
      </c>
      <c r="BZ174" s="14">
        <f>BY174*VLOOKUP('Données projet'!$B$12,Paramètres!$A$1:$I$89,3,0)*VLOOKUP('Données projet'!$B$12,Paramètres!$A$1:$I$89,5,0)</f>
        <v>-5.4978954722173515E-14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298.18906674058809</v>
      </c>
      <c r="CE174" s="62">
        <f t="shared" si="148"/>
        <v>154.08406475869634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1.9895196601282805E-13</v>
      </c>
      <c r="O175" s="14">
        <f>N175*VLOOKUP('Données projet'!$B$9,Paramètres!$A$1:$I$89,3,0)*VLOOKUP('Données projet'!$B$9,Paramètres!$A$1:$I$89,5,0)</f>
        <v>1.8001173884840681E-13</v>
      </c>
      <c r="P175" s="14">
        <f t="shared" si="141"/>
        <v>2.5254331426407198E-12</v>
      </c>
      <c r="Q175" s="22">
        <f t="shared" si="162"/>
        <v>4.7119831685935622E-12</v>
      </c>
      <c r="R175" s="62">
        <f t="shared" si="109"/>
        <v>293.33333333333803</v>
      </c>
      <c r="S175" s="62">
        <f ca="1">AVERAGE(OFFSET($R$3,0,0,'Données projet'!$E$9+1,1))-AVERAGE(OFFSET($H$3,0,0,'Données projet'!$E$9+1,1))</f>
        <v>302.6112905010138</v>
      </c>
      <c r="T175" s="62">
        <f t="shared" si="142"/>
        <v>423.44006663873375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4.4523798447943179E-2</v>
      </c>
      <c r="AB175" s="23">
        <f>EXP(-LN(2)/2)*AB174+(1-EXP(-LN(2)/2))/(LN(2)/2)*V175*Y175*VLOOKUP('Données projet'!$B$9,Paramètres!$A$1:$I$89,3,0)*0.475*44/12</f>
        <v>2.6830252066266126E-21</v>
      </c>
      <c r="AC175" s="24">
        <f t="shared" si="163"/>
        <v>4.4523798447943179E-2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1.1527845344971866E-13</v>
      </c>
      <c r="AK175" s="14">
        <f t="shared" si="164"/>
        <v>1.7033846239409443E-12</v>
      </c>
      <c r="AL175" s="22">
        <f t="shared" si="165"/>
        <v>3.1675048597887374E-12</v>
      </c>
      <c r="AM175" s="62">
        <f t="shared" si="113"/>
        <v>293.3333333333365</v>
      </c>
      <c r="AN175" s="62">
        <f ca="1">AVERAGE(OFFSET($AM$3,0,0,'Données projet'!$E$10+1,1))-AVERAGE(OFFSET($H$3,0,0,'Données projet'!$E$10+1,1))</f>
        <v>411.98877330238821</v>
      </c>
      <c r="AO175" s="62">
        <f t="shared" si="144"/>
        <v>256.4377087753457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-1.1368683772161603E-13</v>
      </c>
      <c r="BE175" s="14">
        <f>BD175*VLOOKUP('Données projet'!$B$11,Paramètres!$A$1:$I$89,3,0)*VLOOKUP('Données projet'!$B$11,Paramètres!$A$1:$I$89,5,0)</f>
        <v>-9.9316821433603781E-14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195.30963433439501</v>
      </c>
      <c r="BJ175" s="62">
        <f t="shared" si="146"/>
        <v>185.00219255324504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5.7839384373859677E-21</v>
      </c>
      <c r="BS175" s="24">
        <f t="shared" si="169"/>
        <v>5.7839384373859677E-21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-5.6843418860808015E-14</v>
      </c>
      <c r="BZ175" s="14">
        <f>BY175*VLOOKUP('Données projet'!$B$12,Paramètres!$A$1:$I$89,3,0)*VLOOKUP('Données projet'!$B$12,Paramètres!$A$1:$I$89,5,0)</f>
        <v>-5.4978954722173515E-14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298.18906674058809</v>
      </c>
      <c r="CE175" s="62">
        <f t="shared" si="148"/>
        <v>154.08406475869634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1.9895196601282805E-13</v>
      </c>
      <c r="O176" s="14">
        <f>N176*VLOOKUP('Données projet'!$B$9,Paramètres!$A$1:$I$89,3,0)*VLOOKUP('Données projet'!$B$9,Paramètres!$A$1:$I$89,5,0)</f>
        <v>1.8001173884840681E-13</v>
      </c>
      <c r="P176" s="14">
        <f t="shared" si="141"/>
        <v>2.5254331426407198E-12</v>
      </c>
      <c r="Q176" s="22">
        <f t="shared" si="162"/>
        <v>4.7119831685935622E-12</v>
      </c>
      <c r="R176" s="62">
        <f t="shared" si="109"/>
        <v>293.33333333333803</v>
      </c>
      <c r="S176" s="62">
        <f ca="1">AVERAGE(OFFSET($R$3,0,0,'Données projet'!$E$9+1,1))-AVERAGE(OFFSET($H$3,0,0,'Données projet'!$E$9+1,1))</f>
        <v>302.6112905010138</v>
      </c>
      <c r="T176" s="62">
        <f t="shared" si="142"/>
        <v>423.44006663873375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4.330629283797937E-2</v>
      </c>
      <c r="AB176" s="23">
        <f>EXP(-LN(2)/2)*AB175+(1-EXP(-LN(2)/2))/(LN(2)/2)*V176*Y176*VLOOKUP('Données projet'!$B$9,Paramètres!$A$1:$I$89,3,0)*0.475*44/12</f>
        <v>1.8971853177001156E-21</v>
      </c>
      <c r="AC176" s="24">
        <f t="shared" si="163"/>
        <v>4.330629283797937E-2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1.1527845344971866E-13</v>
      </c>
      <c r="AK176" s="14">
        <f t="shared" si="164"/>
        <v>1.7033846239409443E-12</v>
      </c>
      <c r="AL176" s="22">
        <f t="shared" si="165"/>
        <v>3.1675048597887374E-12</v>
      </c>
      <c r="AM176" s="62">
        <f t="shared" si="113"/>
        <v>293.3333333333365</v>
      </c>
      <c r="AN176" s="62">
        <f ca="1">AVERAGE(OFFSET($AM$3,0,0,'Données projet'!$E$10+1,1))-AVERAGE(OFFSET($H$3,0,0,'Données projet'!$E$10+1,1))</f>
        <v>411.98877330238821</v>
      </c>
      <c r="AO176" s="62">
        <f t="shared" si="144"/>
        <v>256.4377087753457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-1.1368683772161603E-13</v>
      </c>
      <c r="BE176" s="14">
        <f>BD176*VLOOKUP('Données projet'!$B$11,Paramètres!$A$1:$I$89,3,0)*VLOOKUP('Données projet'!$B$11,Paramètres!$A$1:$I$89,5,0)</f>
        <v>-9.9316821433603781E-14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195.30963433439501</v>
      </c>
      <c r="BJ176" s="62">
        <f t="shared" si="146"/>
        <v>185.00219255324504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4.089862091041141E-21</v>
      </c>
      <c r="BS176" s="24">
        <f t="shared" si="169"/>
        <v>4.089862091041141E-21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-5.6843418860808015E-14</v>
      </c>
      <c r="BZ176" s="14">
        <f>BY176*VLOOKUP('Données projet'!$B$12,Paramètres!$A$1:$I$89,3,0)*VLOOKUP('Données projet'!$B$12,Paramètres!$A$1:$I$89,5,0)</f>
        <v>-5.4978954722173515E-14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298.18906674058809</v>
      </c>
      <c r="CE176" s="62">
        <f t="shared" si="148"/>
        <v>154.08406475869634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1.9895196601282805E-13</v>
      </c>
      <c r="O177" s="14">
        <f>N177*VLOOKUP('Données projet'!$B$9,Paramètres!$A$1:$I$89,3,0)*VLOOKUP('Données projet'!$B$9,Paramètres!$A$1:$I$89,5,0)</f>
        <v>1.8001173884840681E-13</v>
      </c>
      <c r="P177" s="14">
        <f t="shared" si="141"/>
        <v>2.5254331426407198E-12</v>
      </c>
      <c r="Q177" s="22">
        <f t="shared" si="162"/>
        <v>4.7119831685935622E-12</v>
      </c>
      <c r="R177" s="62">
        <f t="shared" si="109"/>
        <v>293.33333333333803</v>
      </c>
      <c r="S177" s="62">
        <f ca="1">AVERAGE(OFFSET($R$3,0,0,'Données projet'!$E$9+1,1))-AVERAGE(OFFSET($H$3,0,0,'Données projet'!$E$9+1,1))</f>
        <v>302.6112905010138</v>
      </c>
      <c r="T177" s="62">
        <f t="shared" si="142"/>
        <v>423.44006663873375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4.2122079982945863E-2</v>
      </c>
      <c r="AB177" s="23">
        <f>EXP(-LN(2)/2)*AB176+(1-EXP(-LN(2)/2))/(LN(2)/2)*V177*Y177*VLOOKUP('Données projet'!$B$9,Paramètres!$A$1:$I$89,3,0)*0.475*44/12</f>
        <v>1.3415126033133063E-21</v>
      </c>
      <c r="AC177" s="24">
        <f t="shared" si="163"/>
        <v>4.2122079982945863E-2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1.1527845344971866E-13</v>
      </c>
      <c r="AK177" s="14">
        <f t="shared" si="164"/>
        <v>1.7033846239409443E-12</v>
      </c>
      <c r="AL177" s="22">
        <f t="shared" si="165"/>
        <v>3.1675048597887374E-12</v>
      </c>
      <c r="AM177" s="62">
        <f t="shared" si="113"/>
        <v>293.3333333333365</v>
      </c>
      <c r="AN177" s="62">
        <f ca="1">AVERAGE(OFFSET($AM$3,0,0,'Données projet'!$E$10+1,1))-AVERAGE(OFFSET($H$3,0,0,'Données projet'!$E$10+1,1))</f>
        <v>411.98877330238821</v>
      </c>
      <c r="AO177" s="62">
        <f t="shared" si="144"/>
        <v>256.4377087753457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-1.1368683772161603E-13</v>
      </c>
      <c r="BE177" s="14">
        <f>BD177*VLOOKUP('Données projet'!$B$11,Paramètres!$A$1:$I$89,3,0)*VLOOKUP('Données projet'!$B$11,Paramètres!$A$1:$I$89,5,0)</f>
        <v>-9.9316821433603781E-14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195.30963433439501</v>
      </c>
      <c r="BJ177" s="62">
        <f t="shared" si="146"/>
        <v>185.00219255324504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2.8919692186929839E-21</v>
      </c>
      <c r="BS177" s="24">
        <f t="shared" si="169"/>
        <v>2.8919692186929839E-21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-5.6843418860808015E-14</v>
      </c>
      <c r="BZ177" s="14">
        <f>BY177*VLOOKUP('Données projet'!$B$12,Paramètres!$A$1:$I$89,3,0)*VLOOKUP('Données projet'!$B$12,Paramètres!$A$1:$I$89,5,0)</f>
        <v>-5.4978954722173515E-14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298.18906674058809</v>
      </c>
      <c r="CE177" s="62">
        <f t="shared" si="148"/>
        <v>154.08406475869634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1.9895196601282805E-13</v>
      </c>
      <c r="O178" s="14">
        <f>N178*VLOOKUP('Données projet'!$B$9,Paramètres!$A$1:$I$89,3,0)*VLOOKUP('Données projet'!$B$9,Paramètres!$A$1:$I$89,5,0)</f>
        <v>1.8001173884840681E-13</v>
      </c>
      <c r="P178" s="14">
        <f t="shared" si="141"/>
        <v>2.5254331426407198E-12</v>
      </c>
      <c r="Q178" s="22">
        <f t="shared" si="162"/>
        <v>4.7119831685935622E-12</v>
      </c>
      <c r="R178" s="62">
        <f t="shared" si="109"/>
        <v>293.33333333333803</v>
      </c>
      <c r="S178" s="62">
        <f ca="1">AVERAGE(OFFSET($R$3,0,0,'Données projet'!$E$9+1,1))-AVERAGE(OFFSET($H$3,0,0,'Données projet'!$E$9+1,1))</f>
        <v>302.6112905010138</v>
      </c>
      <c r="T178" s="62">
        <f t="shared" si="142"/>
        <v>423.44006663873375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4.0970249490708294E-2</v>
      </c>
      <c r="AB178" s="23">
        <f>EXP(-LN(2)/2)*AB177+(1-EXP(-LN(2)/2))/(LN(2)/2)*V178*Y178*VLOOKUP('Données projet'!$B$9,Paramètres!$A$1:$I$89,3,0)*0.475*44/12</f>
        <v>9.4859265885005778E-22</v>
      </c>
      <c r="AC178" s="24">
        <f t="shared" si="163"/>
        <v>4.0970249490708294E-2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1.1527845344971866E-13</v>
      </c>
      <c r="AK178" s="14">
        <f t="shared" si="164"/>
        <v>1.7033846239409443E-12</v>
      </c>
      <c r="AL178" s="22">
        <f t="shared" si="165"/>
        <v>3.1675048597887374E-12</v>
      </c>
      <c r="AM178" s="62">
        <f t="shared" si="113"/>
        <v>293.3333333333365</v>
      </c>
      <c r="AN178" s="62">
        <f ca="1">AVERAGE(OFFSET($AM$3,0,0,'Données projet'!$E$10+1,1))-AVERAGE(OFFSET($H$3,0,0,'Données projet'!$E$10+1,1))</f>
        <v>411.98877330238821</v>
      </c>
      <c r="AO178" s="62">
        <f t="shared" si="144"/>
        <v>256.4377087753457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-1.1368683772161603E-13</v>
      </c>
      <c r="BE178" s="14">
        <f>BD178*VLOOKUP('Données projet'!$B$11,Paramètres!$A$1:$I$89,3,0)*VLOOKUP('Données projet'!$B$11,Paramètres!$A$1:$I$89,5,0)</f>
        <v>-9.9316821433603781E-14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195.30963433439501</v>
      </c>
      <c r="BJ178" s="62">
        <f t="shared" si="146"/>
        <v>185.00219255324504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2.0449310455205705E-21</v>
      </c>
      <c r="BS178" s="24">
        <f t="shared" si="169"/>
        <v>2.0449310455205705E-21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-5.6843418860808015E-14</v>
      </c>
      <c r="BZ178" s="14">
        <f>BY178*VLOOKUP('Données projet'!$B$12,Paramètres!$A$1:$I$89,3,0)*VLOOKUP('Données projet'!$B$12,Paramètres!$A$1:$I$89,5,0)</f>
        <v>-5.4978954722173515E-14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298.18906674058809</v>
      </c>
      <c r="CE178" s="62">
        <f t="shared" si="148"/>
        <v>154.08406475869634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1.9895196601282805E-13</v>
      </c>
      <c r="O179" s="14">
        <f>N179*VLOOKUP('Données projet'!$B$9,Paramètres!$A$1:$I$89,3,0)*VLOOKUP('Données projet'!$B$9,Paramètres!$A$1:$I$89,5,0)</f>
        <v>1.8001173884840681E-13</v>
      </c>
      <c r="P179" s="14">
        <f t="shared" si="141"/>
        <v>2.5254331426407198E-12</v>
      </c>
      <c r="Q179" s="22">
        <f t="shared" si="162"/>
        <v>4.7119831685935622E-12</v>
      </c>
      <c r="R179" s="62">
        <f t="shared" si="109"/>
        <v>293.33333333333803</v>
      </c>
      <c r="S179" s="62">
        <f ca="1">AVERAGE(OFFSET($R$3,0,0,'Données projet'!$E$9+1,1))-AVERAGE(OFFSET($H$3,0,0,'Données projet'!$E$9+1,1))</f>
        <v>302.6112905010138</v>
      </c>
      <c r="T179" s="62">
        <f t="shared" si="142"/>
        <v>423.44006663873375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3.9849915863853093E-2</v>
      </c>
      <c r="AB179" s="23">
        <f>EXP(-LN(2)/2)*AB178+(1-EXP(-LN(2)/2))/(LN(2)/2)*V179*Y179*VLOOKUP('Données projet'!$B$9,Paramètres!$A$1:$I$89,3,0)*0.475*44/12</f>
        <v>6.7075630165665314E-22</v>
      </c>
      <c r="AC179" s="24">
        <f t="shared" si="163"/>
        <v>3.9849915863853093E-2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1.1527845344971866E-13</v>
      </c>
      <c r="AK179" s="14">
        <f t="shared" si="164"/>
        <v>1.7033846239409443E-12</v>
      </c>
      <c r="AL179" s="22">
        <f t="shared" si="165"/>
        <v>3.1675048597887374E-12</v>
      </c>
      <c r="AM179" s="62">
        <f t="shared" si="113"/>
        <v>293.3333333333365</v>
      </c>
      <c r="AN179" s="62">
        <f ca="1">AVERAGE(OFFSET($AM$3,0,0,'Données projet'!$E$10+1,1))-AVERAGE(OFFSET($H$3,0,0,'Données projet'!$E$10+1,1))</f>
        <v>411.98877330238821</v>
      </c>
      <c r="AO179" s="62">
        <f t="shared" si="144"/>
        <v>256.4377087753457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-1.1368683772161603E-13</v>
      </c>
      <c r="BE179" s="14">
        <f>BD179*VLOOKUP('Données projet'!$B$11,Paramètres!$A$1:$I$89,3,0)*VLOOKUP('Données projet'!$B$11,Paramètres!$A$1:$I$89,5,0)</f>
        <v>-9.9316821433603781E-14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195.30963433439501</v>
      </c>
      <c r="BJ179" s="62">
        <f t="shared" si="146"/>
        <v>185.00219255324504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1.4459846093464919E-21</v>
      </c>
      <c r="BS179" s="24">
        <f t="shared" si="169"/>
        <v>1.4459846093464919E-21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-5.6843418860808015E-14</v>
      </c>
      <c r="BZ179" s="14">
        <f>BY179*VLOOKUP('Données projet'!$B$12,Paramètres!$A$1:$I$89,3,0)*VLOOKUP('Données projet'!$B$12,Paramètres!$A$1:$I$89,5,0)</f>
        <v>-5.4978954722173515E-14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298.18906674058809</v>
      </c>
      <c r="CE179" s="62">
        <f t="shared" si="148"/>
        <v>154.08406475869634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1.9895196601282805E-13</v>
      </c>
      <c r="O180" s="14">
        <f>N180*VLOOKUP('Données projet'!$B$9,Paramètres!$A$1:$I$89,3,0)*VLOOKUP('Données projet'!$B$9,Paramètres!$A$1:$I$89,5,0)</f>
        <v>1.8001173884840681E-13</v>
      </c>
      <c r="P180" s="14">
        <f t="shared" si="141"/>
        <v>2.5254331426407198E-12</v>
      </c>
      <c r="Q180" s="22">
        <f t="shared" si="162"/>
        <v>4.7119831685935622E-12</v>
      </c>
      <c r="R180" s="62">
        <f t="shared" si="109"/>
        <v>293.33333333333803</v>
      </c>
      <c r="S180" s="62">
        <f ca="1">AVERAGE(OFFSET($R$3,0,0,'Données projet'!$E$9+1,1))-AVERAGE(OFFSET($H$3,0,0,'Données projet'!$E$9+1,1))</f>
        <v>302.6112905010138</v>
      </c>
      <c r="T180" s="62">
        <f t="shared" si="142"/>
        <v>423.44006663873375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3.8760217818940033E-2</v>
      </c>
      <c r="AB180" s="23">
        <f>EXP(-LN(2)/2)*AB179+(1-EXP(-LN(2)/2))/(LN(2)/2)*V180*Y180*VLOOKUP('Données projet'!$B$9,Paramètres!$A$1:$I$89,3,0)*0.475*44/12</f>
        <v>4.7429632942502889E-22</v>
      </c>
      <c r="AC180" s="24">
        <f t="shared" si="163"/>
        <v>3.8760217818940033E-2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1.1527845344971866E-13</v>
      </c>
      <c r="AK180" s="14">
        <f t="shared" si="164"/>
        <v>1.7033846239409443E-12</v>
      </c>
      <c r="AL180" s="22">
        <f t="shared" si="165"/>
        <v>3.1675048597887374E-12</v>
      </c>
      <c r="AM180" s="62">
        <f t="shared" si="113"/>
        <v>293.3333333333365</v>
      </c>
      <c r="AN180" s="62">
        <f ca="1">AVERAGE(OFFSET($AM$3,0,0,'Données projet'!$E$10+1,1))-AVERAGE(OFFSET($H$3,0,0,'Données projet'!$E$10+1,1))</f>
        <v>411.98877330238821</v>
      </c>
      <c r="AO180" s="62">
        <f t="shared" si="144"/>
        <v>256.4377087753457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-1.1368683772161603E-13</v>
      </c>
      <c r="BE180" s="14">
        <f>BD180*VLOOKUP('Données projet'!$B$11,Paramètres!$A$1:$I$89,3,0)*VLOOKUP('Données projet'!$B$11,Paramètres!$A$1:$I$89,5,0)</f>
        <v>-9.9316821433603781E-14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195.30963433439501</v>
      </c>
      <c r="BJ180" s="62">
        <f t="shared" si="146"/>
        <v>185.00219255324504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1.0224655227602853E-21</v>
      </c>
      <c r="BS180" s="24">
        <f t="shared" si="169"/>
        <v>1.0224655227602853E-21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-5.6843418860808015E-14</v>
      </c>
      <c r="BZ180" s="14">
        <f>BY180*VLOOKUP('Données projet'!$B$12,Paramètres!$A$1:$I$89,3,0)*VLOOKUP('Données projet'!$B$12,Paramètres!$A$1:$I$89,5,0)</f>
        <v>-5.4978954722173515E-14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298.18906674058809</v>
      </c>
      <c r="CE180" s="62">
        <f t="shared" si="148"/>
        <v>154.08406475869634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1.9895196601282805E-13</v>
      </c>
      <c r="O181" s="14">
        <f>N181*VLOOKUP('Données projet'!$B$9,Paramètres!$A$1:$I$89,3,0)*VLOOKUP('Données projet'!$B$9,Paramètres!$A$1:$I$89,5,0)</f>
        <v>1.8001173884840681E-13</v>
      </c>
      <c r="P181" s="14">
        <f t="shared" si="141"/>
        <v>2.5254331426407198E-12</v>
      </c>
      <c r="Q181" s="22">
        <f t="shared" si="162"/>
        <v>4.7119831685935622E-12</v>
      </c>
      <c r="R181" s="62">
        <f t="shared" si="109"/>
        <v>293.33333333333803</v>
      </c>
      <c r="S181" s="62">
        <f ca="1">AVERAGE(OFFSET($R$3,0,0,'Données projet'!$E$9+1,1))-AVERAGE(OFFSET($H$3,0,0,'Données projet'!$E$9+1,1))</f>
        <v>302.6112905010138</v>
      </c>
      <c r="T181" s="62">
        <f t="shared" si="142"/>
        <v>423.44006663873375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3.7700317624369852E-2</v>
      </c>
      <c r="AB181" s="23">
        <f>EXP(-LN(2)/2)*AB180+(1-EXP(-LN(2)/2))/(LN(2)/2)*V181*Y181*VLOOKUP('Données projet'!$B$9,Paramètres!$A$1:$I$89,3,0)*0.475*44/12</f>
        <v>3.3537815082832657E-22</v>
      </c>
      <c r="AC181" s="24">
        <f t="shared" si="163"/>
        <v>3.7700317624369852E-2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1.1527845344971866E-13</v>
      </c>
      <c r="AK181" s="14">
        <f t="shared" si="164"/>
        <v>1.7033846239409443E-12</v>
      </c>
      <c r="AL181" s="22">
        <f t="shared" si="165"/>
        <v>3.1675048597887374E-12</v>
      </c>
      <c r="AM181" s="62">
        <f t="shared" si="113"/>
        <v>293.3333333333365</v>
      </c>
      <c r="AN181" s="62">
        <f ca="1">AVERAGE(OFFSET($AM$3,0,0,'Données projet'!$E$10+1,1))-AVERAGE(OFFSET($H$3,0,0,'Données projet'!$E$10+1,1))</f>
        <v>411.98877330238821</v>
      </c>
      <c r="AO181" s="62">
        <f t="shared" si="144"/>
        <v>256.4377087753457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-1.1368683772161603E-13</v>
      </c>
      <c r="BE181" s="14">
        <f>BD181*VLOOKUP('Données projet'!$B$11,Paramètres!$A$1:$I$89,3,0)*VLOOKUP('Données projet'!$B$11,Paramètres!$A$1:$I$89,5,0)</f>
        <v>-9.9316821433603781E-14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195.30963433439501</v>
      </c>
      <c r="BJ181" s="62">
        <f t="shared" si="146"/>
        <v>185.00219255324504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7.2299230467324596E-22</v>
      </c>
      <c r="BS181" s="24">
        <f t="shared" si="169"/>
        <v>7.2299230467324596E-22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-5.6843418860808015E-14</v>
      </c>
      <c r="BZ181" s="14">
        <f>BY181*VLOOKUP('Données projet'!$B$12,Paramètres!$A$1:$I$89,3,0)*VLOOKUP('Données projet'!$B$12,Paramètres!$A$1:$I$89,5,0)</f>
        <v>-5.4978954722173515E-14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298.18906674058809</v>
      </c>
      <c r="CE181" s="62">
        <f t="shared" si="148"/>
        <v>154.08406475869634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1.9895196601282805E-13</v>
      </c>
      <c r="O182" s="14">
        <f>N182*VLOOKUP('Données projet'!$B$9,Paramètres!$A$1:$I$89,3,0)*VLOOKUP('Données projet'!$B$9,Paramètres!$A$1:$I$89,5,0)</f>
        <v>1.8001173884840681E-13</v>
      </c>
      <c r="P182" s="14">
        <f t="shared" si="141"/>
        <v>2.5254331426407198E-12</v>
      </c>
      <c r="Q182" s="22">
        <f t="shared" si="162"/>
        <v>4.7119831685935622E-12</v>
      </c>
      <c r="R182" s="62">
        <f t="shared" si="109"/>
        <v>293.33333333333803</v>
      </c>
      <c r="S182" s="62">
        <f ca="1">AVERAGE(OFFSET($R$3,0,0,'Données projet'!$E$9+1,1))-AVERAGE(OFFSET($H$3,0,0,'Données projet'!$E$9+1,1))</f>
        <v>302.6112905010138</v>
      </c>
      <c r="T182" s="62">
        <f t="shared" si="142"/>
        <v>423.44006663873375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3.6669400456357922E-2</v>
      </c>
      <c r="AB182" s="23">
        <f>EXP(-LN(2)/2)*AB181+(1-EXP(-LN(2)/2))/(LN(2)/2)*V182*Y182*VLOOKUP('Données projet'!$B$9,Paramètres!$A$1:$I$89,3,0)*0.475*44/12</f>
        <v>2.3714816471251445E-22</v>
      </c>
      <c r="AC182" s="24">
        <f t="shared" si="163"/>
        <v>3.6669400456357922E-2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1.1527845344971866E-13</v>
      </c>
      <c r="AK182" s="14">
        <f t="shared" si="164"/>
        <v>1.7033846239409443E-12</v>
      </c>
      <c r="AL182" s="22">
        <f t="shared" si="165"/>
        <v>3.1675048597887374E-12</v>
      </c>
      <c r="AM182" s="62">
        <f t="shared" si="113"/>
        <v>293.3333333333365</v>
      </c>
      <c r="AN182" s="62">
        <f ca="1">AVERAGE(OFFSET($AM$3,0,0,'Données projet'!$E$10+1,1))-AVERAGE(OFFSET($H$3,0,0,'Données projet'!$E$10+1,1))</f>
        <v>411.98877330238821</v>
      </c>
      <c r="AO182" s="62">
        <f t="shared" si="144"/>
        <v>256.4377087753457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-1.1368683772161603E-13</v>
      </c>
      <c r="BE182" s="14">
        <f>BD182*VLOOKUP('Données projet'!$B$11,Paramètres!$A$1:$I$89,3,0)*VLOOKUP('Données projet'!$B$11,Paramètres!$A$1:$I$89,5,0)</f>
        <v>-9.9316821433603781E-14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195.30963433439501</v>
      </c>
      <c r="BJ182" s="62">
        <f t="shared" si="146"/>
        <v>185.00219255324504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5.1123276138014263E-22</v>
      </c>
      <c r="BS182" s="24">
        <f t="shared" si="169"/>
        <v>5.1123276138014263E-22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-5.6843418860808015E-14</v>
      </c>
      <c r="BZ182" s="14">
        <f>BY182*VLOOKUP('Données projet'!$B$12,Paramètres!$A$1:$I$89,3,0)*VLOOKUP('Données projet'!$B$12,Paramètres!$A$1:$I$89,5,0)</f>
        <v>-5.4978954722173515E-14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298.18906674058809</v>
      </c>
      <c r="CE182" s="62">
        <f t="shared" si="148"/>
        <v>154.08406475869634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1.9895196601282805E-13</v>
      </c>
      <c r="O183" s="14">
        <f>N183*VLOOKUP('Données projet'!$B$9,Paramètres!$A$1:$I$89,3,0)*VLOOKUP('Données projet'!$B$9,Paramètres!$A$1:$I$89,5,0)</f>
        <v>1.8001173884840681E-13</v>
      </c>
      <c r="P183" s="14">
        <f t="shared" si="141"/>
        <v>2.5254331426407198E-12</v>
      </c>
      <c r="Q183" s="22">
        <f t="shared" si="162"/>
        <v>4.7119831685935622E-12</v>
      </c>
      <c r="R183" s="62">
        <f t="shared" si="109"/>
        <v>293.33333333333803</v>
      </c>
      <c r="S183" s="62">
        <f ca="1">AVERAGE(OFFSET($R$3,0,0,'Données projet'!$E$9+1,1))-AVERAGE(OFFSET($H$3,0,0,'Données projet'!$E$9+1,1))</f>
        <v>302.6112905010138</v>
      </c>
      <c r="T183" s="62">
        <f t="shared" si="142"/>
        <v>423.44006663873375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3.566667377251885E-2</v>
      </c>
      <c r="AB183" s="23">
        <f>EXP(-LN(2)/2)*AB182+(1-EXP(-LN(2)/2))/(LN(2)/2)*V183*Y183*VLOOKUP('Données projet'!$B$9,Paramètres!$A$1:$I$89,3,0)*0.475*44/12</f>
        <v>1.6768907541416329E-22</v>
      </c>
      <c r="AC183" s="24">
        <f t="shared" si="163"/>
        <v>3.566667377251885E-2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1.1527845344971866E-13</v>
      </c>
      <c r="AK183" s="14">
        <f t="shared" si="164"/>
        <v>1.7033846239409443E-12</v>
      </c>
      <c r="AL183" s="22">
        <f t="shared" si="165"/>
        <v>3.1675048597887374E-12</v>
      </c>
      <c r="AM183" s="62">
        <f t="shared" si="113"/>
        <v>293.3333333333365</v>
      </c>
      <c r="AN183" s="62">
        <f ca="1">AVERAGE(OFFSET($AM$3,0,0,'Données projet'!$E$10+1,1))-AVERAGE(OFFSET($H$3,0,0,'Données projet'!$E$10+1,1))</f>
        <v>411.98877330238821</v>
      </c>
      <c r="AO183" s="62">
        <f t="shared" si="144"/>
        <v>256.4377087753457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-1.1368683772161603E-13</v>
      </c>
      <c r="BE183" s="14">
        <f>BD183*VLOOKUP('Données projet'!$B$11,Paramètres!$A$1:$I$89,3,0)*VLOOKUP('Données projet'!$B$11,Paramètres!$A$1:$I$89,5,0)</f>
        <v>-9.9316821433603781E-14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195.30963433439501</v>
      </c>
      <c r="BJ183" s="62">
        <f t="shared" si="146"/>
        <v>185.00219255324504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3.6149615233662298E-22</v>
      </c>
      <c r="BS183" s="24">
        <f t="shared" si="169"/>
        <v>3.6149615233662298E-22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-5.6843418860808015E-14</v>
      </c>
      <c r="BZ183" s="14">
        <f>BY183*VLOOKUP('Données projet'!$B$12,Paramètres!$A$1:$I$89,3,0)*VLOOKUP('Données projet'!$B$12,Paramètres!$A$1:$I$89,5,0)</f>
        <v>-5.4978954722173515E-14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298.18906674058809</v>
      </c>
      <c r="CE183" s="62">
        <f t="shared" si="148"/>
        <v>154.08406475869634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1.9895196601282805E-13</v>
      </c>
      <c r="O184" s="14">
        <f>N184*VLOOKUP('Données projet'!$B$9,Paramètres!$A$1:$I$89,3,0)*VLOOKUP('Données projet'!$B$9,Paramètres!$A$1:$I$89,5,0)</f>
        <v>1.8001173884840681E-13</v>
      </c>
      <c r="P184" s="14">
        <f t="shared" si="141"/>
        <v>2.5254331426407198E-12</v>
      </c>
      <c r="Q184" s="22">
        <f t="shared" si="162"/>
        <v>4.7119831685935622E-12</v>
      </c>
      <c r="R184" s="62">
        <f t="shared" si="109"/>
        <v>293.33333333333803</v>
      </c>
      <c r="S184" s="62">
        <f ca="1">AVERAGE(OFFSET($R$3,0,0,'Données projet'!$E$9+1,1))-AVERAGE(OFFSET($H$3,0,0,'Données projet'!$E$9+1,1))</f>
        <v>302.6112905010138</v>
      </c>
      <c r="T184" s="62">
        <f t="shared" si="142"/>
        <v>423.44006663873375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3.4691366702580467E-2</v>
      </c>
      <c r="AB184" s="23">
        <f>EXP(-LN(2)/2)*AB183+(1-EXP(-LN(2)/2))/(LN(2)/2)*V184*Y184*VLOOKUP('Données projet'!$B$9,Paramètres!$A$1:$I$89,3,0)*0.475*44/12</f>
        <v>1.1857408235625722E-22</v>
      </c>
      <c r="AC184" s="24">
        <f t="shared" si="163"/>
        <v>3.4691366702580467E-2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1.1527845344971866E-13</v>
      </c>
      <c r="AK184" s="14">
        <f t="shared" si="164"/>
        <v>1.7033846239409443E-12</v>
      </c>
      <c r="AL184" s="22">
        <f t="shared" si="165"/>
        <v>3.1675048597887374E-12</v>
      </c>
      <c r="AM184" s="62">
        <f t="shared" si="113"/>
        <v>293.3333333333365</v>
      </c>
      <c r="AN184" s="62">
        <f ca="1">AVERAGE(OFFSET($AM$3,0,0,'Données projet'!$E$10+1,1))-AVERAGE(OFFSET($H$3,0,0,'Données projet'!$E$10+1,1))</f>
        <v>411.98877330238821</v>
      </c>
      <c r="AO184" s="62">
        <f t="shared" si="144"/>
        <v>256.4377087753457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-1.1368683772161603E-13</v>
      </c>
      <c r="BE184" s="14">
        <f>BD184*VLOOKUP('Données projet'!$B$11,Paramètres!$A$1:$I$89,3,0)*VLOOKUP('Données projet'!$B$11,Paramètres!$A$1:$I$89,5,0)</f>
        <v>-9.9316821433603781E-14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195.30963433439501</v>
      </c>
      <c r="BJ184" s="62">
        <f t="shared" si="146"/>
        <v>185.00219255324504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2.5561638069007131E-22</v>
      </c>
      <c r="BS184" s="24">
        <f t="shared" si="169"/>
        <v>2.5561638069007131E-22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-5.6843418860808015E-14</v>
      </c>
      <c r="BZ184" s="14">
        <f>BY184*VLOOKUP('Données projet'!$B$12,Paramètres!$A$1:$I$89,3,0)*VLOOKUP('Données projet'!$B$12,Paramètres!$A$1:$I$89,5,0)</f>
        <v>-5.4978954722173515E-14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298.18906674058809</v>
      </c>
      <c r="CE184" s="62">
        <f t="shared" si="148"/>
        <v>154.08406475869634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1.9895196601282805E-13</v>
      </c>
      <c r="O185" s="14">
        <f>N185*VLOOKUP('Données projet'!$B$9,Paramètres!$A$1:$I$89,3,0)*VLOOKUP('Données projet'!$B$9,Paramètres!$A$1:$I$89,5,0)</f>
        <v>1.8001173884840681E-13</v>
      </c>
      <c r="P185" s="14">
        <f t="shared" si="141"/>
        <v>2.5254331426407198E-12</v>
      </c>
      <c r="Q185" s="22">
        <f t="shared" si="162"/>
        <v>4.7119831685935622E-12</v>
      </c>
      <c r="R185" s="62">
        <f t="shared" si="109"/>
        <v>293.33333333333803</v>
      </c>
      <c r="S185" s="62">
        <f ca="1">AVERAGE(OFFSET($R$3,0,0,'Données projet'!$E$9+1,1))-AVERAGE(OFFSET($H$3,0,0,'Données projet'!$E$9+1,1))</f>
        <v>302.6112905010138</v>
      </c>
      <c r="T185" s="62">
        <f t="shared" si="142"/>
        <v>423.44006663873375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3.3742729455758715E-2</v>
      </c>
      <c r="AB185" s="23">
        <f>EXP(-LN(2)/2)*AB184+(1-EXP(-LN(2)/2))/(LN(2)/2)*V185*Y185*VLOOKUP('Données projet'!$B$9,Paramètres!$A$1:$I$89,3,0)*0.475*44/12</f>
        <v>8.3844537707081643E-23</v>
      </c>
      <c r="AC185" s="24">
        <f t="shared" si="163"/>
        <v>3.3742729455758715E-2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1.1527845344971866E-13</v>
      </c>
      <c r="AK185" s="14">
        <f t="shared" si="164"/>
        <v>1.7033846239409443E-12</v>
      </c>
      <c r="AL185" s="22">
        <f t="shared" si="165"/>
        <v>3.1675048597887374E-12</v>
      </c>
      <c r="AM185" s="62">
        <f t="shared" si="113"/>
        <v>293.3333333333365</v>
      </c>
      <c r="AN185" s="62">
        <f ca="1">AVERAGE(OFFSET($AM$3,0,0,'Données projet'!$E$10+1,1))-AVERAGE(OFFSET($H$3,0,0,'Données projet'!$E$10+1,1))</f>
        <v>411.98877330238821</v>
      </c>
      <c r="AO185" s="62">
        <f t="shared" si="144"/>
        <v>256.4377087753457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-1.1368683772161603E-13</v>
      </c>
      <c r="BE185" s="14">
        <f>BD185*VLOOKUP('Données projet'!$B$11,Paramètres!$A$1:$I$89,3,0)*VLOOKUP('Données projet'!$B$11,Paramètres!$A$1:$I$89,5,0)</f>
        <v>-9.9316821433603781E-14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195.30963433439501</v>
      </c>
      <c r="BJ185" s="62">
        <f t="shared" si="146"/>
        <v>185.00219255324504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1.8074807616831149E-22</v>
      </c>
      <c r="BS185" s="24">
        <f t="shared" si="169"/>
        <v>1.8074807616831149E-22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-5.6843418860808015E-14</v>
      </c>
      <c r="BZ185" s="14">
        <f>BY185*VLOOKUP('Données projet'!$B$12,Paramètres!$A$1:$I$89,3,0)*VLOOKUP('Données projet'!$B$12,Paramètres!$A$1:$I$89,5,0)</f>
        <v>-5.4978954722173515E-14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298.18906674058809</v>
      </c>
      <c r="CE185" s="62">
        <f t="shared" si="148"/>
        <v>154.08406475869634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1.9895196601282805E-13</v>
      </c>
      <c r="O186" s="14">
        <f>N186*VLOOKUP('Données projet'!$B$9,Paramètres!$A$1:$I$89,3,0)*VLOOKUP('Données projet'!$B$9,Paramètres!$A$1:$I$89,5,0)</f>
        <v>1.8001173884840681E-13</v>
      </c>
      <c r="P186" s="14">
        <f t="shared" si="141"/>
        <v>2.5254331426407198E-12</v>
      </c>
      <c r="Q186" s="22">
        <f t="shared" si="162"/>
        <v>4.7119831685935622E-12</v>
      </c>
      <c r="R186" s="62">
        <f t="shared" si="109"/>
        <v>293.33333333333803</v>
      </c>
      <c r="S186" s="62">
        <f ca="1">AVERAGE(OFFSET($R$3,0,0,'Données projet'!$E$9+1,1))-AVERAGE(OFFSET($H$3,0,0,'Données projet'!$E$9+1,1))</f>
        <v>302.6112905010138</v>
      </c>
      <c r="T186" s="62">
        <f t="shared" si="142"/>
        <v>423.44006663873375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3.2820032744337972E-2</v>
      </c>
      <c r="AB186" s="23">
        <f>EXP(-LN(2)/2)*AB185+(1-EXP(-LN(2)/2))/(LN(2)/2)*V186*Y186*VLOOKUP('Données projet'!$B$9,Paramètres!$A$1:$I$89,3,0)*0.475*44/12</f>
        <v>5.9287041178128612E-23</v>
      </c>
      <c r="AC186" s="24">
        <f t="shared" si="163"/>
        <v>3.2820032744337972E-2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1.1527845344971866E-13</v>
      </c>
      <c r="AK186" s="14">
        <f t="shared" si="164"/>
        <v>1.7033846239409443E-12</v>
      </c>
      <c r="AL186" s="22">
        <f t="shared" si="165"/>
        <v>3.1675048597887374E-12</v>
      </c>
      <c r="AM186" s="62">
        <f t="shared" si="113"/>
        <v>293.3333333333365</v>
      </c>
      <c r="AN186" s="62">
        <f ca="1">AVERAGE(OFFSET($AM$3,0,0,'Données projet'!$E$10+1,1))-AVERAGE(OFFSET($H$3,0,0,'Données projet'!$E$10+1,1))</f>
        <v>411.98877330238821</v>
      </c>
      <c r="AO186" s="62">
        <f t="shared" si="144"/>
        <v>256.4377087753457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-1.1368683772161603E-13</v>
      </c>
      <c r="BE186" s="14">
        <f>BD186*VLOOKUP('Données projet'!$B$11,Paramètres!$A$1:$I$89,3,0)*VLOOKUP('Données projet'!$B$11,Paramètres!$A$1:$I$89,5,0)</f>
        <v>-9.9316821433603781E-14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195.30963433439501</v>
      </c>
      <c r="BJ186" s="62">
        <f t="shared" si="146"/>
        <v>185.00219255324504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1.2780819034503566E-22</v>
      </c>
      <c r="BS186" s="24">
        <f t="shared" si="169"/>
        <v>1.2780819034503566E-22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-5.6843418860808015E-14</v>
      </c>
      <c r="BZ186" s="14">
        <f>BY186*VLOOKUP('Données projet'!$B$12,Paramètres!$A$1:$I$89,3,0)*VLOOKUP('Données projet'!$B$12,Paramètres!$A$1:$I$89,5,0)</f>
        <v>-5.4978954722173515E-14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298.18906674058809</v>
      </c>
      <c r="CE186" s="62">
        <f t="shared" si="148"/>
        <v>154.08406475869634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1.9895196601282805E-13</v>
      </c>
      <c r="O187" s="14">
        <f>N187*VLOOKUP('Données projet'!$B$9,Paramètres!$A$1:$I$89,3,0)*VLOOKUP('Données projet'!$B$9,Paramètres!$A$1:$I$89,5,0)</f>
        <v>1.8001173884840681E-13</v>
      </c>
      <c r="P187" s="14">
        <f t="shared" si="141"/>
        <v>2.5254331426407198E-12</v>
      </c>
      <c r="Q187" s="22">
        <f t="shared" si="162"/>
        <v>4.7119831685935622E-12</v>
      </c>
      <c r="R187" s="62">
        <f t="shared" si="109"/>
        <v>293.33333333333803</v>
      </c>
      <c r="S187" s="62">
        <f ca="1">AVERAGE(OFFSET($R$3,0,0,'Données projet'!$E$9+1,1))-AVERAGE(OFFSET($H$3,0,0,'Données projet'!$E$9+1,1))</f>
        <v>302.6112905010138</v>
      </c>
      <c r="T187" s="62">
        <f t="shared" si="142"/>
        <v>423.44006663873375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3.1922567223013537E-2</v>
      </c>
      <c r="AB187" s="23">
        <f>EXP(-LN(2)/2)*AB186+(1-EXP(-LN(2)/2))/(LN(2)/2)*V187*Y187*VLOOKUP('Données projet'!$B$9,Paramètres!$A$1:$I$89,3,0)*0.475*44/12</f>
        <v>4.1922268853540821E-23</v>
      </c>
      <c r="AC187" s="24">
        <f t="shared" si="163"/>
        <v>3.1922567223013537E-2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1.1527845344971866E-13</v>
      </c>
      <c r="AK187" s="14">
        <f t="shared" si="164"/>
        <v>1.7033846239409443E-12</v>
      </c>
      <c r="AL187" s="22">
        <f t="shared" si="165"/>
        <v>3.1675048597887374E-12</v>
      </c>
      <c r="AM187" s="62">
        <f t="shared" si="113"/>
        <v>293.3333333333365</v>
      </c>
      <c r="AN187" s="62">
        <f ca="1">AVERAGE(OFFSET($AM$3,0,0,'Données projet'!$E$10+1,1))-AVERAGE(OFFSET($H$3,0,0,'Données projet'!$E$10+1,1))</f>
        <v>411.98877330238821</v>
      </c>
      <c r="AO187" s="62">
        <f t="shared" si="144"/>
        <v>256.4377087753457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-1.1368683772161603E-13</v>
      </c>
      <c r="BE187" s="14">
        <f>BD187*VLOOKUP('Données projet'!$B$11,Paramètres!$A$1:$I$89,3,0)*VLOOKUP('Données projet'!$B$11,Paramètres!$A$1:$I$89,5,0)</f>
        <v>-9.9316821433603781E-14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195.30963433439501</v>
      </c>
      <c r="BJ187" s="62">
        <f t="shared" si="146"/>
        <v>185.00219255324504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9.0374038084155746E-23</v>
      </c>
      <c r="BS187" s="24">
        <f t="shared" si="169"/>
        <v>9.0374038084155746E-23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-5.6843418860808015E-14</v>
      </c>
      <c r="BZ187" s="14">
        <f>BY187*VLOOKUP('Données projet'!$B$12,Paramètres!$A$1:$I$89,3,0)*VLOOKUP('Données projet'!$B$12,Paramètres!$A$1:$I$89,5,0)</f>
        <v>-5.4978954722173515E-14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298.18906674058809</v>
      </c>
      <c r="CE187" s="62">
        <f t="shared" si="148"/>
        <v>154.08406475869634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1.9895196601282805E-13</v>
      </c>
      <c r="O188" s="14">
        <f>N188*VLOOKUP('Données projet'!$B$9,Paramètres!$A$1:$I$89,3,0)*VLOOKUP('Données projet'!$B$9,Paramètres!$A$1:$I$89,5,0)</f>
        <v>1.8001173884840681E-13</v>
      </c>
      <c r="P188" s="14">
        <f t="shared" si="141"/>
        <v>2.5254331426407198E-12</v>
      </c>
      <c r="Q188" s="22">
        <f t="shared" si="162"/>
        <v>4.7119831685935622E-12</v>
      </c>
      <c r="R188" s="62">
        <f t="shared" si="109"/>
        <v>293.33333333333803</v>
      </c>
      <c r="S188" s="62">
        <f ca="1">AVERAGE(OFFSET($R$3,0,0,'Données projet'!$E$9+1,1))-AVERAGE(OFFSET($H$3,0,0,'Données projet'!$E$9+1,1))</f>
        <v>302.6112905010138</v>
      </c>
      <c r="T188" s="62">
        <f t="shared" si="142"/>
        <v>423.44006663873375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3.1049642943565381E-2</v>
      </c>
      <c r="AB188" s="23">
        <f>EXP(-LN(2)/2)*AB187+(1-EXP(-LN(2)/2))/(LN(2)/2)*V188*Y188*VLOOKUP('Données projet'!$B$9,Paramètres!$A$1:$I$89,3,0)*0.475*44/12</f>
        <v>2.9643520589064306E-23</v>
      </c>
      <c r="AC188" s="24">
        <f t="shared" si="163"/>
        <v>3.1049642943565381E-2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1.1527845344971866E-13</v>
      </c>
      <c r="AK188" s="14">
        <f t="shared" si="164"/>
        <v>1.7033846239409443E-12</v>
      </c>
      <c r="AL188" s="22">
        <f t="shared" si="165"/>
        <v>3.1675048597887374E-12</v>
      </c>
      <c r="AM188" s="62">
        <f t="shared" si="113"/>
        <v>293.3333333333365</v>
      </c>
      <c r="AN188" s="62">
        <f ca="1">AVERAGE(OFFSET($AM$3,0,0,'Données projet'!$E$10+1,1))-AVERAGE(OFFSET($H$3,0,0,'Données projet'!$E$10+1,1))</f>
        <v>411.98877330238821</v>
      </c>
      <c r="AO188" s="62">
        <f t="shared" si="144"/>
        <v>256.4377087753457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-1.1368683772161603E-13</v>
      </c>
      <c r="BE188" s="14">
        <f>BD188*VLOOKUP('Données projet'!$B$11,Paramètres!$A$1:$I$89,3,0)*VLOOKUP('Données projet'!$B$11,Paramètres!$A$1:$I$89,5,0)</f>
        <v>-9.9316821433603781E-14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195.30963433439501</v>
      </c>
      <c r="BJ188" s="62">
        <f t="shared" si="146"/>
        <v>185.00219255324504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6.3904095172517828E-23</v>
      </c>
      <c r="BS188" s="24">
        <f t="shared" si="169"/>
        <v>6.3904095172517828E-23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-5.6843418860808015E-14</v>
      </c>
      <c r="BZ188" s="14">
        <f>BY188*VLOOKUP('Données projet'!$B$12,Paramètres!$A$1:$I$89,3,0)*VLOOKUP('Données projet'!$B$12,Paramètres!$A$1:$I$89,5,0)</f>
        <v>-5.4978954722173515E-14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298.18906674058809</v>
      </c>
      <c r="CE188" s="62">
        <f t="shared" si="148"/>
        <v>154.08406475869634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1.9895196601282805E-13</v>
      </c>
      <c r="O189" s="14">
        <f>N189*VLOOKUP('Données projet'!$B$9,Paramètres!$A$1:$I$89,3,0)*VLOOKUP('Données projet'!$B$9,Paramètres!$A$1:$I$89,5,0)</f>
        <v>1.8001173884840681E-13</v>
      </c>
      <c r="P189" s="14">
        <f t="shared" si="141"/>
        <v>2.5254331426407198E-12</v>
      </c>
      <c r="Q189" s="22">
        <f t="shared" si="162"/>
        <v>4.7119831685935622E-12</v>
      </c>
      <c r="R189" s="62">
        <f t="shared" si="109"/>
        <v>293.33333333333803</v>
      </c>
      <c r="S189" s="62">
        <f ca="1">AVERAGE(OFFSET($R$3,0,0,'Données projet'!$E$9+1,1))-AVERAGE(OFFSET($H$3,0,0,'Données projet'!$E$9+1,1))</f>
        <v>302.6112905010138</v>
      </c>
      <c r="T189" s="62">
        <f t="shared" si="142"/>
        <v>423.44006663873375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3.020058882444383E-2</v>
      </c>
      <c r="AB189" s="23">
        <f>EXP(-LN(2)/2)*AB188+(1-EXP(-LN(2)/2))/(LN(2)/2)*V189*Y189*VLOOKUP('Données projet'!$B$9,Paramètres!$A$1:$I$89,3,0)*0.475*44/12</f>
        <v>2.0961134426770411E-23</v>
      </c>
      <c r="AC189" s="24">
        <f t="shared" si="163"/>
        <v>3.020058882444383E-2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1.1527845344971866E-13</v>
      </c>
      <c r="AK189" s="14">
        <f t="shared" si="164"/>
        <v>1.7033846239409443E-12</v>
      </c>
      <c r="AL189" s="22">
        <f t="shared" si="165"/>
        <v>3.1675048597887374E-12</v>
      </c>
      <c r="AM189" s="62">
        <f t="shared" si="113"/>
        <v>293.3333333333365</v>
      </c>
      <c r="AN189" s="62">
        <f ca="1">AVERAGE(OFFSET($AM$3,0,0,'Données projet'!$E$10+1,1))-AVERAGE(OFFSET($H$3,0,0,'Données projet'!$E$10+1,1))</f>
        <v>411.98877330238821</v>
      </c>
      <c r="AO189" s="62">
        <f t="shared" si="144"/>
        <v>256.4377087753457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-1.1368683772161603E-13</v>
      </c>
      <c r="BE189" s="14">
        <f>BD189*VLOOKUP('Données projet'!$B$11,Paramètres!$A$1:$I$89,3,0)*VLOOKUP('Données projet'!$B$11,Paramètres!$A$1:$I$89,5,0)</f>
        <v>-9.9316821433603781E-14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195.30963433439501</v>
      </c>
      <c r="BJ189" s="62">
        <f t="shared" si="146"/>
        <v>185.00219255324504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4.5187019042077873E-23</v>
      </c>
      <c r="BS189" s="24">
        <f t="shared" si="169"/>
        <v>4.5187019042077873E-23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-5.6843418860808015E-14</v>
      </c>
      <c r="BZ189" s="14">
        <f>BY189*VLOOKUP('Données projet'!$B$12,Paramètres!$A$1:$I$89,3,0)*VLOOKUP('Données projet'!$B$12,Paramètres!$A$1:$I$89,5,0)</f>
        <v>-5.4978954722173515E-14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298.18906674058809</v>
      </c>
      <c r="CE189" s="62">
        <f t="shared" si="148"/>
        <v>154.08406475869634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1.9895196601282805E-13</v>
      </c>
      <c r="O190" s="14">
        <f>N190*VLOOKUP('Données projet'!$B$9,Paramètres!$A$1:$I$89,3,0)*VLOOKUP('Données projet'!$B$9,Paramètres!$A$1:$I$89,5,0)</f>
        <v>1.8001173884840681E-13</v>
      </c>
      <c r="P190" s="14">
        <f t="shared" si="141"/>
        <v>2.5254331426407198E-12</v>
      </c>
      <c r="Q190" s="22">
        <f t="shared" si="162"/>
        <v>4.7119831685935622E-12</v>
      </c>
      <c r="R190" s="62">
        <f t="shared" si="109"/>
        <v>293.33333333333803</v>
      </c>
      <c r="S190" s="62">
        <f ca="1">AVERAGE(OFFSET($R$3,0,0,'Données projet'!$E$9+1,1))-AVERAGE(OFFSET($H$3,0,0,'Données projet'!$E$9+1,1))</f>
        <v>302.6112905010138</v>
      </c>
      <c r="T190" s="62">
        <f t="shared" si="142"/>
        <v>423.44006663873375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2.9374752134859471E-2</v>
      </c>
      <c r="AB190" s="23">
        <f>EXP(-LN(2)/2)*AB189+(1-EXP(-LN(2)/2))/(LN(2)/2)*V190*Y190*VLOOKUP('Données projet'!$B$9,Paramètres!$A$1:$I$89,3,0)*0.475*44/12</f>
        <v>1.4821760294532153E-23</v>
      </c>
      <c r="AC190" s="24">
        <f t="shared" si="163"/>
        <v>2.9374752134859471E-2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1.1527845344971866E-13</v>
      </c>
      <c r="AK190" s="14">
        <f t="shared" si="164"/>
        <v>1.7033846239409443E-12</v>
      </c>
      <c r="AL190" s="22">
        <f t="shared" si="165"/>
        <v>3.1675048597887374E-12</v>
      </c>
      <c r="AM190" s="62">
        <f t="shared" si="113"/>
        <v>293.3333333333365</v>
      </c>
      <c r="AN190" s="62">
        <f ca="1">AVERAGE(OFFSET($AM$3,0,0,'Données projet'!$E$10+1,1))-AVERAGE(OFFSET($H$3,0,0,'Données projet'!$E$10+1,1))</f>
        <v>411.98877330238821</v>
      </c>
      <c r="AO190" s="62">
        <f t="shared" si="144"/>
        <v>256.4377087753457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-1.1368683772161603E-13</v>
      </c>
      <c r="BE190" s="14">
        <f>BD190*VLOOKUP('Données projet'!$B$11,Paramètres!$A$1:$I$89,3,0)*VLOOKUP('Données projet'!$B$11,Paramètres!$A$1:$I$89,5,0)</f>
        <v>-9.9316821433603781E-14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195.30963433439501</v>
      </c>
      <c r="BJ190" s="62">
        <f t="shared" si="146"/>
        <v>185.00219255324504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3.1952047586258914E-23</v>
      </c>
      <c r="BS190" s="24">
        <f t="shared" si="169"/>
        <v>3.1952047586258914E-23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-5.6843418860808015E-14</v>
      </c>
      <c r="BZ190" s="14">
        <f>BY190*VLOOKUP('Données projet'!$B$12,Paramètres!$A$1:$I$89,3,0)*VLOOKUP('Données projet'!$B$12,Paramètres!$A$1:$I$89,5,0)</f>
        <v>-5.4978954722173515E-14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298.18906674058809</v>
      </c>
      <c r="CE190" s="62">
        <f t="shared" si="148"/>
        <v>154.08406475869634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1.9895196601282805E-13</v>
      </c>
      <c r="O191" s="14">
        <f>N191*VLOOKUP('Données projet'!$B$9,Paramètres!$A$1:$I$89,3,0)*VLOOKUP('Données projet'!$B$9,Paramètres!$A$1:$I$89,5,0)</f>
        <v>1.8001173884840681E-13</v>
      </c>
      <c r="P191" s="14">
        <f t="shared" si="141"/>
        <v>2.5254331426407198E-12</v>
      </c>
      <c r="Q191" s="22">
        <f t="shared" si="162"/>
        <v>4.7119831685935622E-12</v>
      </c>
      <c r="R191" s="62">
        <f t="shared" si="109"/>
        <v>293.33333333333803</v>
      </c>
      <c r="S191" s="62">
        <f ca="1">AVERAGE(OFFSET($R$3,0,0,'Données projet'!$E$9+1,1))-AVERAGE(OFFSET($H$3,0,0,'Données projet'!$E$9+1,1))</f>
        <v>302.6112905010138</v>
      </c>
      <c r="T191" s="62">
        <f t="shared" si="142"/>
        <v>423.44006663873375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2.8571497992980661E-2</v>
      </c>
      <c r="AB191" s="23">
        <f>EXP(-LN(2)/2)*AB190+(1-EXP(-LN(2)/2))/(LN(2)/2)*V191*Y191*VLOOKUP('Données projet'!$B$9,Paramètres!$A$1:$I$89,3,0)*0.475*44/12</f>
        <v>1.0480567213385205E-23</v>
      </c>
      <c r="AC191" s="24">
        <f t="shared" si="163"/>
        <v>2.8571497992980661E-2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1.1527845344971866E-13</v>
      </c>
      <c r="AK191" s="14">
        <f t="shared" si="164"/>
        <v>1.7033846239409443E-12</v>
      </c>
      <c r="AL191" s="22">
        <f t="shared" si="165"/>
        <v>3.1675048597887374E-12</v>
      </c>
      <c r="AM191" s="62">
        <f t="shared" si="113"/>
        <v>293.3333333333365</v>
      </c>
      <c r="AN191" s="62">
        <f ca="1">AVERAGE(OFFSET($AM$3,0,0,'Données projet'!$E$10+1,1))-AVERAGE(OFFSET($H$3,0,0,'Données projet'!$E$10+1,1))</f>
        <v>411.98877330238821</v>
      </c>
      <c r="AO191" s="62">
        <f t="shared" si="144"/>
        <v>256.4377087753457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-1.1368683772161603E-13</v>
      </c>
      <c r="BE191" s="14">
        <f>BD191*VLOOKUP('Données projet'!$B$11,Paramètres!$A$1:$I$89,3,0)*VLOOKUP('Données projet'!$B$11,Paramètres!$A$1:$I$89,5,0)</f>
        <v>-9.9316821433603781E-14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195.30963433439501</v>
      </c>
      <c r="BJ191" s="62">
        <f t="shared" si="146"/>
        <v>185.00219255324504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2.2593509521038936E-23</v>
      </c>
      <c r="BS191" s="24">
        <f t="shared" si="169"/>
        <v>2.2593509521038936E-23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-5.6843418860808015E-14</v>
      </c>
      <c r="BZ191" s="14">
        <f>BY191*VLOOKUP('Données projet'!$B$12,Paramètres!$A$1:$I$89,3,0)*VLOOKUP('Données projet'!$B$12,Paramètres!$A$1:$I$89,5,0)</f>
        <v>-5.4978954722173515E-14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298.18906674058809</v>
      </c>
      <c r="CE191" s="62">
        <f t="shared" si="148"/>
        <v>154.08406475869634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1.9895196601282805E-13</v>
      </c>
      <c r="O192" s="14">
        <f>N192*VLOOKUP('Données projet'!$B$9,Paramètres!$A$1:$I$89,3,0)*VLOOKUP('Données projet'!$B$9,Paramètres!$A$1:$I$89,5,0)</f>
        <v>1.8001173884840681E-13</v>
      </c>
      <c r="P192" s="14">
        <f t="shared" si="141"/>
        <v>2.5254331426407198E-12</v>
      </c>
      <c r="Q192" s="22">
        <f t="shared" si="162"/>
        <v>4.7119831685935622E-12</v>
      </c>
      <c r="R192" s="62">
        <f t="shared" si="109"/>
        <v>293.33333333333803</v>
      </c>
      <c r="S192" s="62">
        <f ca="1">AVERAGE(OFFSET($R$3,0,0,'Données projet'!$E$9+1,1))-AVERAGE(OFFSET($H$3,0,0,'Données projet'!$E$9+1,1))</f>
        <v>302.6112905010138</v>
      </c>
      <c r="T192" s="62">
        <f t="shared" si="142"/>
        <v>423.44006663873375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2.7790208877852825E-2</v>
      </c>
      <c r="AB192" s="23">
        <f>EXP(-LN(2)/2)*AB191+(1-EXP(-LN(2)/2))/(LN(2)/2)*V192*Y192*VLOOKUP('Données projet'!$B$9,Paramètres!$A$1:$I$89,3,0)*0.475*44/12</f>
        <v>7.4108801472660764E-24</v>
      </c>
      <c r="AC192" s="24">
        <f t="shared" si="163"/>
        <v>2.7790208877852825E-2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1.1527845344971866E-13</v>
      </c>
      <c r="AK192" s="14">
        <f t="shared" si="164"/>
        <v>1.7033846239409443E-12</v>
      </c>
      <c r="AL192" s="22">
        <f t="shared" si="165"/>
        <v>3.1675048597887374E-12</v>
      </c>
      <c r="AM192" s="62">
        <f t="shared" si="113"/>
        <v>293.3333333333365</v>
      </c>
      <c r="AN192" s="62">
        <f ca="1">AVERAGE(OFFSET($AM$3,0,0,'Données projet'!$E$10+1,1))-AVERAGE(OFFSET($H$3,0,0,'Données projet'!$E$10+1,1))</f>
        <v>411.98877330238821</v>
      </c>
      <c r="AO192" s="62">
        <f t="shared" si="144"/>
        <v>256.4377087753457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-1.1368683772161603E-13</v>
      </c>
      <c r="BE192" s="14">
        <f>BD192*VLOOKUP('Données projet'!$B$11,Paramètres!$A$1:$I$89,3,0)*VLOOKUP('Données projet'!$B$11,Paramètres!$A$1:$I$89,5,0)</f>
        <v>-9.9316821433603781E-14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195.30963433439501</v>
      </c>
      <c r="BJ192" s="62">
        <f t="shared" si="146"/>
        <v>185.00219255324504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1.5976023793129457E-23</v>
      </c>
      <c r="BS192" s="24">
        <f t="shared" si="169"/>
        <v>1.5976023793129457E-23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-5.6843418860808015E-14</v>
      </c>
      <c r="BZ192" s="14">
        <f>BY192*VLOOKUP('Données projet'!$B$12,Paramètres!$A$1:$I$89,3,0)*VLOOKUP('Données projet'!$B$12,Paramètres!$A$1:$I$89,5,0)</f>
        <v>-5.4978954722173515E-14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298.18906674058809</v>
      </c>
      <c r="CE192" s="62">
        <f t="shared" si="148"/>
        <v>154.08406475869634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1.9895196601282805E-13</v>
      </c>
      <c r="O193" s="14">
        <f>N193*VLOOKUP('Données projet'!$B$9,Paramètres!$A$1:$I$89,3,0)*VLOOKUP('Données projet'!$B$9,Paramètres!$A$1:$I$89,5,0)</f>
        <v>1.8001173884840681E-13</v>
      </c>
      <c r="P193" s="14">
        <f t="shared" si="141"/>
        <v>2.5254331426407198E-12</v>
      </c>
      <c r="Q193" s="22">
        <f t="shared" si="162"/>
        <v>4.7119831685935622E-12</v>
      </c>
      <c r="R193" s="62">
        <f t="shared" si="109"/>
        <v>293.33333333333803</v>
      </c>
      <c r="S193" s="62">
        <f ca="1">AVERAGE(OFFSET($R$3,0,0,'Données projet'!$E$9+1,1))-AVERAGE(OFFSET($H$3,0,0,'Données projet'!$E$9+1,1))</f>
        <v>302.6112905010138</v>
      </c>
      <c r="T193" s="62">
        <f t="shared" si="142"/>
        <v>423.44006663873375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2.703028415466437E-2</v>
      </c>
      <c r="AB193" s="23">
        <f>EXP(-LN(2)/2)*AB192+(1-EXP(-LN(2)/2))/(LN(2)/2)*V193*Y193*VLOOKUP('Données projet'!$B$9,Paramètres!$A$1:$I$89,3,0)*0.475*44/12</f>
        <v>5.2402836066926027E-24</v>
      </c>
      <c r="AC193" s="24">
        <f t="shared" si="163"/>
        <v>2.703028415466437E-2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1.1527845344971866E-13</v>
      </c>
      <c r="AK193" s="14">
        <f t="shared" si="164"/>
        <v>1.7033846239409443E-12</v>
      </c>
      <c r="AL193" s="22">
        <f t="shared" si="165"/>
        <v>3.1675048597887374E-12</v>
      </c>
      <c r="AM193" s="62">
        <f t="shared" si="113"/>
        <v>293.3333333333365</v>
      </c>
      <c r="AN193" s="62">
        <f ca="1">AVERAGE(OFFSET($AM$3,0,0,'Données projet'!$E$10+1,1))-AVERAGE(OFFSET($H$3,0,0,'Données projet'!$E$10+1,1))</f>
        <v>411.98877330238821</v>
      </c>
      <c r="AO193" s="62">
        <f t="shared" si="144"/>
        <v>256.4377087753457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-1.1368683772161603E-13</v>
      </c>
      <c r="BE193" s="14">
        <f>BD193*VLOOKUP('Données projet'!$B$11,Paramètres!$A$1:$I$89,3,0)*VLOOKUP('Données projet'!$B$11,Paramètres!$A$1:$I$89,5,0)</f>
        <v>-9.9316821433603781E-14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195.30963433439501</v>
      </c>
      <c r="BJ193" s="62">
        <f t="shared" si="146"/>
        <v>185.00219255324504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1.1296754760519468E-23</v>
      </c>
      <c r="BS193" s="24">
        <f t="shared" si="169"/>
        <v>1.1296754760519468E-23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-5.6843418860808015E-14</v>
      </c>
      <c r="BZ193" s="14">
        <f>BY193*VLOOKUP('Données projet'!$B$12,Paramètres!$A$1:$I$89,3,0)*VLOOKUP('Données projet'!$B$12,Paramètres!$A$1:$I$89,5,0)</f>
        <v>-5.4978954722173515E-14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298.18906674058809</v>
      </c>
      <c r="CE193" s="62">
        <f t="shared" si="148"/>
        <v>154.08406475869634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1.9895196601282805E-13</v>
      </c>
      <c r="O194" s="14">
        <f>N194*VLOOKUP('Données projet'!$B$9,Paramètres!$A$1:$I$89,3,0)*VLOOKUP('Données projet'!$B$9,Paramètres!$A$1:$I$89,5,0)</f>
        <v>1.8001173884840681E-13</v>
      </c>
      <c r="P194" s="14">
        <f t="shared" si="141"/>
        <v>2.5254331426407198E-12</v>
      </c>
      <c r="Q194" s="22">
        <f t="shared" si="162"/>
        <v>4.7119831685935622E-12</v>
      </c>
      <c r="R194" s="62">
        <f t="shared" si="109"/>
        <v>293.33333333333803</v>
      </c>
      <c r="S194" s="62">
        <f ca="1">AVERAGE(OFFSET($R$3,0,0,'Données projet'!$E$9+1,1))-AVERAGE(OFFSET($H$3,0,0,'Données projet'!$E$9+1,1))</f>
        <v>302.6112905010138</v>
      </c>
      <c r="T194" s="62">
        <f t="shared" si="142"/>
        <v>423.44006663873375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2.6291139612994209E-2</v>
      </c>
      <c r="AB194" s="23">
        <f>EXP(-LN(2)/2)*AB193+(1-EXP(-LN(2)/2))/(LN(2)/2)*V194*Y194*VLOOKUP('Données projet'!$B$9,Paramètres!$A$1:$I$89,3,0)*0.475*44/12</f>
        <v>3.7054400736330382E-24</v>
      </c>
      <c r="AC194" s="24">
        <f t="shared" si="163"/>
        <v>2.6291139612994209E-2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1.1527845344971866E-13</v>
      </c>
      <c r="AK194" s="14">
        <f t="shared" si="164"/>
        <v>1.7033846239409443E-12</v>
      </c>
      <c r="AL194" s="22">
        <f t="shared" si="165"/>
        <v>3.1675048597887374E-12</v>
      </c>
      <c r="AM194" s="62">
        <f t="shared" si="113"/>
        <v>293.3333333333365</v>
      </c>
      <c r="AN194" s="62">
        <f ca="1">AVERAGE(OFFSET($AM$3,0,0,'Données projet'!$E$10+1,1))-AVERAGE(OFFSET($H$3,0,0,'Données projet'!$E$10+1,1))</f>
        <v>411.98877330238821</v>
      </c>
      <c r="AO194" s="62">
        <f t="shared" si="144"/>
        <v>256.4377087753457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-1.1368683772161603E-13</v>
      </c>
      <c r="BE194" s="14">
        <f>BD194*VLOOKUP('Données projet'!$B$11,Paramètres!$A$1:$I$89,3,0)*VLOOKUP('Données projet'!$B$11,Paramètres!$A$1:$I$89,5,0)</f>
        <v>-9.9316821433603781E-14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195.30963433439501</v>
      </c>
      <c r="BJ194" s="62">
        <f t="shared" si="146"/>
        <v>185.00219255324504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7.9880118965647285E-24</v>
      </c>
      <c r="BS194" s="24">
        <f t="shared" si="169"/>
        <v>7.9880118965647285E-24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-5.6843418860808015E-14</v>
      </c>
      <c r="BZ194" s="14">
        <f>BY194*VLOOKUP('Données projet'!$B$12,Paramètres!$A$1:$I$89,3,0)*VLOOKUP('Données projet'!$B$12,Paramètres!$A$1:$I$89,5,0)</f>
        <v>-5.4978954722173515E-14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298.18906674058809</v>
      </c>
      <c r="CE194" s="62">
        <f t="shared" si="148"/>
        <v>154.08406475869634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1.9895196601282805E-13</v>
      </c>
      <c r="O195" s="14">
        <f>N195*VLOOKUP('Données projet'!$B$9,Paramètres!$A$1:$I$89,3,0)*VLOOKUP('Données projet'!$B$9,Paramètres!$A$1:$I$89,5,0)</f>
        <v>1.8001173884840681E-13</v>
      </c>
      <c r="P195" s="14">
        <f t="shared" si="141"/>
        <v>2.5254331426407198E-12</v>
      </c>
      <c r="Q195" s="22">
        <f t="shared" si="162"/>
        <v>4.7119831685935622E-12</v>
      </c>
      <c r="R195" s="62">
        <f t="shared" ref="R195:R203" si="191">Q195+(I195+J195)*44/12</f>
        <v>293.33333333333803</v>
      </c>
      <c r="S195" s="62">
        <f ca="1">AVERAGE(OFFSET($R$3,0,0,'Données projet'!$E$9+1,1))-AVERAGE(OFFSET($H$3,0,0,'Données projet'!$E$9+1,1))</f>
        <v>302.6112905010138</v>
      </c>
      <c r="T195" s="62">
        <f t="shared" si="142"/>
        <v>423.44006663873375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2.5572207017685939E-2</v>
      </c>
      <c r="AB195" s="23">
        <f>EXP(-LN(2)/2)*AB194+(1-EXP(-LN(2)/2))/(LN(2)/2)*V195*Y195*VLOOKUP('Données projet'!$B$9,Paramètres!$A$1:$I$89,3,0)*0.475*44/12</f>
        <v>2.6201418033463013E-24</v>
      </c>
      <c r="AC195" s="24">
        <f t="shared" si="163"/>
        <v>2.5572207017685939E-2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1.1527845344971866E-13</v>
      </c>
      <c r="AK195" s="14">
        <f t="shared" si="164"/>
        <v>1.7033846239409443E-12</v>
      </c>
      <c r="AL195" s="22">
        <f t="shared" si="165"/>
        <v>3.1675048597887374E-12</v>
      </c>
      <c r="AM195" s="62">
        <f t="shared" si="113"/>
        <v>293.3333333333365</v>
      </c>
      <c r="AN195" s="62">
        <f ca="1">AVERAGE(OFFSET($AM$3,0,0,'Données projet'!$E$10+1,1))-AVERAGE(OFFSET($H$3,0,0,'Données projet'!$E$10+1,1))</f>
        <v>411.98877330238821</v>
      </c>
      <c r="AO195" s="62">
        <f t="shared" si="144"/>
        <v>256.4377087753457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-1.1368683772161603E-13</v>
      </c>
      <c r="BE195" s="14">
        <f>BD195*VLOOKUP('Données projet'!$B$11,Paramètres!$A$1:$I$89,3,0)*VLOOKUP('Données projet'!$B$11,Paramètres!$A$1:$I$89,5,0)</f>
        <v>-9.9316821433603781E-14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195.30963433439501</v>
      </c>
      <c r="BJ195" s="62">
        <f t="shared" si="146"/>
        <v>185.00219255324504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5.6483773802597341E-24</v>
      </c>
      <c r="BS195" s="24">
        <f t="shared" si="169"/>
        <v>5.6483773802597341E-24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-5.6843418860808015E-14</v>
      </c>
      <c r="BZ195" s="14">
        <f>BY195*VLOOKUP('Données projet'!$B$12,Paramètres!$A$1:$I$89,3,0)*VLOOKUP('Données projet'!$B$12,Paramètres!$A$1:$I$89,5,0)</f>
        <v>-5.4978954722173515E-14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298.18906674058809</v>
      </c>
      <c r="CE195" s="62">
        <f t="shared" si="148"/>
        <v>154.08406475869634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1.9895196601282805E-13</v>
      </c>
      <c r="O196" s="14">
        <f>N196*VLOOKUP('Données projet'!$B$9,Paramètres!$A$1:$I$89,3,0)*VLOOKUP('Données projet'!$B$9,Paramètres!$A$1:$I$89,5,0)</f>
        <v>1.8001173884840681E-13</v>
      </c>
      <c r="P196" s="14">
        <f t="shared" si="141"/>
        <v>2.5254331426407198E-12</v>
      </c>
      <c r="Q196" s="22">
        <f t="shared" si="162"/>
        <v>4.7119831685935622E-12</v>
      </c>
      <c r="R196" s="62">
        <f t="shared" si="191"/>
        <v>293.33333333333803</v>
      </c>
      <c r="S196" s="62">
        <f ca="1">AVERAGE(OFFSET($R$3,0,0,'Données projet'!$E$9+1,1))-AVERAGE(OFFSET($H$3,0,0,'Données projet'!$E$9+1,1))</f>
        <v>302.6112905010138</v>
      </c>
      <c r="T196" s="62">
        <f t="shared" si="142"/>
        <v>423.44006663873375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2.4872933672003397E-2</v>
      </c>
      <c r="AB196" s="23">
        <f>EXP(-LN(2)/2)*AB195+(1-EXP(-LN(2)/2))/(LN(2)/2)*V196*Y196*VLOOKUP('Données projet'!$B$9,Paramètres!$A$1:$I$89,3,0)*0.475*44/12</f>
        <v>1.8527200368165191E-24</v>
      </c>
      <c r="AC196" s="24">
        <f t="shared" si="163"/>
        <v>2.4872933672003397E-2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1.1527845344971866E-13</v>
      </c>
      <c r="AK196" s="14">
        <f t="shared" si="164"/>
        <v>1.7033846239409443E-12</v>
      </c>
      <c r="AL196" s="22">
        <f t="shared" si="165"/>
        <v>3.1675048597887374E-12</v>
      </c>
      <c r="AM196" s="62">
        <f t="shared" ref="AM196:AM203" si="193">AL196+(AD196+AE196)*44/12</f>
        <v>293.3333333333365</v>
      </c>
      <c r="AN196" s="62">
        <f ca="1">AVERAGE(OFFSET($AM$3,0,0,'Données projet'!$E$10+1,1))-AVERAGE(OFFSET($H$3,0,0,'Données projet'!$E$10+1,1))</f>
        <v>411.98877330238821</v>
      </c>
      <c r="AO196" s="62">
        <f t="shared" si="144"/>
        <v>256.4377087753457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-1.1368683772161603E-13</v>
      </c>
      <c r="BE196" s="14">
        <f>BD196*VLOOKUP('Données projet'!$B$11,Paramètres!$A$1:$I$89,3,0)*VLOOKUP('Données projet'!$B$11,Paramètres!$A$1:$I$89,5,0)</f>
        <v>-9.9316821433603781E-14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195.30963433439501</v>
      </c>
      <c r="BJ196" s="62">
        <f t="shared" si="146"/>
        <v>185.00219255324504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3.9940059482823643E-24</v>
      </c>
      <c r="BS196" s="24">
        <f t="shared" si="169"/>
        <v>3.9940059482823643E-24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-5.6843418860808015E-14</v>
      </c>
      <c r="BZ196" s="14">
        <f>BY196*VLOOKUP('Données projet'!$B$12,Paramètres!$A$1:$I$89,3,0)*VLOOKUP('Données projet'!$B$12,Paramètres!$A$1:$I$89,5,0)</f>
        <v>-5.4978954722173515E-14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298.18906674058809</v>
      </c>
      <c r="CE196" s="62">
        <f t="shared" si="148"/>
        <v>154.08406475869634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1.9895196601282805E-13</v>
      </c>
      <c r="O197" s="14">
        <f>N197*VLOOKUP('Données projet'!$B$9,Paramètres!$A$1:$I$89,3,0)*VLOOKUP('Données projet'!$B$9,Paramètres!$A$1:$I$89,5,0)</f>
        <v>1.8001173884840681E-13</v>
      </c>
      <c r="P197" s="14">
        <f t="shared" ref="P197:P203" si="203">EXP(-1.0587+0.8836*LN(O197)+0.284)</f>
        <v>2.5254331426407198E-12</v>
      </c>
      <c r="Q197" s="22">
        <f t="shared" si="162"/>
        <v>4.7119831685935622E-12</v>
      </c>
      <c r="R197" s="62">
        <f t="shared" si="191"/>
        <v>293.33333333333803</v>
      </c>
      <c r="S197" s="62">
        <f ca="1">AVERAGE(OFFSET($R$3,0,0,'Données projet'!$E$9+1,1))-AVERAGE(OFFSET($H$3,0,0,'Données projet'!$E$9+1,1))</f>
        <v>302.6112905010138</v>
      </c>
      <c r="T197" s="62">
        <f t="shared" ref="T197:T203" si="204">$T$3</f>
        <v>423.44006663873375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2.419278199273173E-2</v>
      </c>
      <c r="AB197" s="23">
        <f>EXP(-LN(2)/2)*AB196+(1-EXP(-LN(2)/2))/(LN(2)/2)*V197*Y197*VLOOKUP('Données projet'!$B$9,Paramètres!$A$1:$I$89,3,0)*0.475*44/12</f>
        <v>1.3100709016731507E-24</v>
      </c>
      <c r="AC197" s="24">
        <f t="shared" si="163"/>
        <v>2.419278199273173E-2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1.1527845344971866E-13</v>
      </c>
      <c r="AK197" s="14">
        <f t="shared" si="164"/>
        <v>1.7033846239409443E-12</v>
      </c>
      <c r="AL197" s="22">
        <f t="shared" si="165"/>
        <v>3.1675048597887374E-12</v>
      </c>
      <c r="AM197" s="62">
        <f t="shared" si="193"/>
        <v>293.3333333333365</v>
      </c>
      <c r="AN197" s="62">
        <f ca="1">AVERAGE(OFFSET($AM$3,0,0,'Données projet'!$E$10+1,1))-AVERAGE(OFFSET($H$3,0,0,'Données projet'!$E$10+1,1))</f>
        <v>411.98877330238821</v>
      </c>
      <c r="AO197" s="62">
        <f t="shared" ref="AO197:AO203" si="205">$AO$3</f>
        <v>256.4377087753457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-1.1368683772161603E-13</v>
      </c>
      <c r="BE197" s="14">
        <f>BD197*VLOOKUP('Données projet'!$B$11,Paramètres!$A$1:$I$89,3,0)*VLOOKUP('Données projet'!$B$11,Paramètres!$A$1:$I$89,5,0)</f>
        <v>-9.9316821433603781E-14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195.30963433439501</v>
      </c>
      <c r="BJ197" s="62">
        <f t="shared" ref="BJ197:BJ203" si="206">$BJ$3</f>
        <v>185.00219255324504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2.8241886901298671E-24</v>
      </c>
      <c r="BS197" s="24">
        <f t="shared" si="169"/>
        <v>2.8241886901298671E-24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-5.6843418860808015E-14</v>
      </c>
      <c r="BZ197" s="14">
        <f>BY197*VLOOKUP('Données projet'!$B$12,Paramètres!$A$1:$I$89,3,0)*VLOOKUP('Données projet'!$B$12,Paramètres!$A$1:$I$89,5,0)</f>
        <v>-5.4978954722173515E-14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298.18906674058809</v>
      </c>
      <c r="CE197" s="62">
        <f t="shared" ref="CE197:CE203" si="207">$CE$3</f>
        <v>154.08406475869634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1.9895196601282805E-13</v>
      </c>
      <c r="O198" s="14">
        <f>N198*VLOOKUP('Données projet'!$B$9,Paramètres!$A$1:$I$89,3,0)*VLOOKUP('Données projet'!$B$9,Paramètres!$A$1:$I$89,5,0)</f>
        <v>1.8001173884840681E-13</v>
      </c>
      <c r="P198" s="14">
        <f t="shared" si="203"/>
        <v>2.5254331426407198E-12</v>
      </c>
      <c r="Q198" s="22">
        <f t="shared" si="162"/>
        <v>4.7119831685935622E-12</v>
      </c>
      <c r="R198" s="62">
        <f t="shared" si="191"/>
        <v>293.33333333333803</v>
      </c>
      <c r="S198" s="62">
        <f ca="1">AVERAGE(OFFSET($R$3,0,0,'Données projet'!$E$9+1,1))-AVERAGE(OFFSET($H$3,0,0,'Données projet'!$E$9+1,1))</f>
        <v>302.6112905010138</v>
      </c>
      <c r="T198" s="62">
        <f t="shared" si="204"/>
        <v>423.44006663873375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2.3531229096897369E-2</v>
      </c>
      <c r="AB198" s="23">
        <f>EXP(-LN(2)/2)*AB197+(1-EXP(-LN(2)/2))/(LN(2)/2)*V198*Y198*VLOOKUP('Données projet'!$B$9,Paramètres!$A$1:$I$89,3,0)*0.475*44/12</f>
        <v>9.2636001840825956E-25</v>
      </c>
      <c r="AC198" s="24">
        <f t="shared" si="163"/>
        <v>2.3531229096897369E-2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1.1527845344971866E-13</v>
      </c>
      <c r="AK198" s="14">
        <f t="shared" si="164"/>
        <v>1.7033846239409443E-12</v>
      </c>
      <c r="AL198" s="22">
        <f t="shared" si="165"/>
        <v>3.1675048597887374E-12</v>
      </c>
      <c r="AM198" s="62">
        <f t="shared" si="193"/>
        <v>293.3333333333365</v>
      </c>
      <c r="AN198" s="62">
        <f ca="1">AVERAGE(OFFSET($AM$3,0,0,'Données projet'!$E$10+1,1))-AVERAGE(OFFSET($H$3,0,0,'Données projet'!$E$10+1,1))</f>
        <v>411.98877330238821</v>
      </c>
      <c r="AO198" s="62">
        <f t="shared" si="205"/>
        <v>256.4377087753457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-1.1368683772161603E-13</v>
      </c>
      <c r="BE198" s="14">
        <f>BD198*VLOOKUP('Données projet'!$B$11,Paramètres!$A$1:$I$89,3,0)*VLOOKUP('Données projet'!$B$11,Paramètres!$A$1:$I$89,5,0)</f>
        <v>-9.9316821433603781E-14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195.30963433439501</v>
      </c>
      <c r="BJ198" s="62">
        <f t="shared" si="206"/>
        <v>185.00219255324504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1.9970029741411821E-24</v>
      </c>
      <c r="BS198" s="24">
        <f t="shared" si="169"/>
        <v>1.9970029741411821E-24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-5.6843418860808015E-14</v>
      </c>
      <c r="BZ198" s="14">
        <f>BY198*VLOOKUP('Données projet'!$B$12,Paramètres!$A$1:$I$89,3,0)*VLOOKUP('Données projet'!$B$12,Paramètres!$A$1:$I$89,5,0)</f>
        <v>-5.4978954722173515E-14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298.18906674058809</v>
      </c>
      <c r="CE198" s="62">
        <f t="shared" si="207"/>
        <v>154.08406475869634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1.9895196601282805E-13</v>
      </c>
      <c r="O199" s="14">
        <f>N199*VLOOKUP('Données projet'!$B$9,Paramètres!$A$1:$I$89,3,0)*VLOOKUP('Données projet'!$B$9,Paramètres!$A$1:$I$89,5,0)</f>
        <v>1.8001173884840681E-13</v>
      </c>
      <c r="P199" s="14">
        <f t="shared" si="203"/>
        <v>2.5254331426407198E-12</v>
      </c>
      <c r="Q199" s="22">
        <f t="shared" si="162"/>
        <v>4.7119831685935622E-12</v>
      </c>
      <c r="R199" s="62">
        <f t="shared" si="191"/>
        <v>293.33333333333803</v>
      </c>
      <c r="S199" s="62">
        <f ca="1">AVERAGE(OFFSET($R$3,0,0,'Données projet'!$E$9+1,1))-AVERAGE(OFFSET($H$3,0,0,'Données projet'!$E$9+1,1))</f>
        <v>302.6112905010138</v>
      </c>
      <c r="T199" s="62">
        <f t="shared" si="204"/>
        <v>423.44006663873375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2.2887766399789154E-2</v>
      </c>
      <c r="AB199" s="23">
        <f>EXP(-LN(2)/2)*AB198+(1-EXP(-LN(2)/2))/(LN(2)/2)*V199*Y199*VLOOKUP('Données projet'!$B$9,Paramètres!$A$1:$I$89,3,0)*0.475*44/12</f>
        <v>6.5503545083657533E-25</v>
      </c>
      <c r="AC199" s="24">
        <f t="shared" si="163"/>
        <v>2.2887766399789154E-2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1.1527845344971866E-13</v>
      </c>
      <c r="AK199" s="14">
        <f t="shared" si="164"/>
        <v>1.7033846239409443E-12</v>
      </c>
      <c r="AL199" s="22">
        <f t="shared" si="165"/>
        <v>3.1675048597887374E-12</v>
      </c>
      <c r="AM199" s="62">
        <f t="shared" si="193"/>
        <v>293.3333333333365</v>
      </c>
      <c r="AN199" s="62">
        <f ca="1">AVERAGE(OFFSET($AM$3,0,0,'Données projet'!$E$10+1,1))-AVERAGE(OFFSET($H$3,0,0,'Données projet'!$E$10+1,1))</f>
        <v>411.98877330238821</v>
      </c>
      <c r="AO199" s="62">
        <f t="shared" si="205"/>
        <v>256.4377087753457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-1.1368683772161603E-13</v>
      </c>
      <c r="BE199" s="14">
        <f>BD199*VLOOKUP('Données projet'!$B$11,Paramètres!$A$1:$I$89,3,0)*VLOOKUP('Données projet'!$B$11,Paramètres!$A$1:$I$89,5,0)</f>
        <v>-9.9316821433603781E-14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195.30963433439501</v>
      </c>
      <c r="BJ199" s="62">
        <f t="shared" si="206"/>
        <v>185.00219255324504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1.4120943450649335E-24</v>
      </c>
      <c r="BS199" s="24">
        <f t="shared" si="169"/>
        <v>1.4120943450649335E-24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-5.6843418860808015E-14</v>
      </c>
      <c r="BZ199" s="14">
        <f>BY199*VLOOKUP('Données projet'!$B$12,Paramètres!$A$1:$I$89,3,0)*VLOOKUP('Données projet'!$B$12,Paramètres!$A$1:$I$89,5,0)</f>
        <v>-5.4978954722173515E-14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298.18906674058809</v>
      </c>
      <c r="CE199" s="62">
        <f t="shared" si="207"/>
        <v>154.08406475869634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1.9895196601282805E-13</v>
      </c>
      <c r="O200" s="14">
        <f>N200*VLOOKUP('Données projet'!$B$9,Paramètres!$A$1:$I$89,3,0)*VLOOKUP('Données projet'!$B$9,Paramètres!$A$1:$I$89,5,0)</f>
        <v>1.8001173884840681E-13</v>
      </c>
      <c r="P200" s="14">
        <f t="shared" si="203"/>
        <v>2.5254331426407198E-12</v>
      </c>
      <c r="Q200" s="22">
        <f t="shared" si="162"/>
        <v>4.7119831685935622E-12</v>
      </c>
      <c r="R200" s="62">
        <f t="shared" si="191"/>
        <v>293.33333333333803</v>
      </c>
      <c r="S200" s="62">
        <f ca="1">AVERAGE(OFFSET($R$3,0,0,'Données projet'!$E$9+1,1))-AVERAGE(OFFSET($H$3,0,0,'Données projet'!$E$9+1,1))</f>
        <v>302.6112905010138</v>
      </c>
      <c r="T200" s="62">
        <f t="shared" si="204"/>
        <v>423.44006663873375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2.2261899223971596E-2</v>
      </c>
      <c r="AB200" s="23">
        <f>EXP(-LN(2)/2)*AB199+(1-EXP(-LN(2)/2))/(LN(2)/2)*V200*Y200*VLOOKUP('Données projet'!$B$9,Paramètres!$A$1:$I$89,3,0)*0.475*44/12</f>
        <v>4.6318000920412978E-25</v>
      </c>
      <c r="AC200" s="24">
        <f t="shared" si="163"/>
        <v>2.2261899223971596E-2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1.1527845344971866E-13</v>
      </c>
      <c r="AK200" s="14">
        <f t="shared" si="164"/>
        <v>1.7033846239409443E-12</v>
      </c>
      <c r="AL200" s="22">
        <f t="shared" si="165"/>
        <v>3.1675048597887374E-12</v>
      </c>
      <c r="AM200" s="62">
        <f t="shared" si="193"/>
        <v>293.3333333333365</v>
      </c>
      <c r="AN200" s="62">
        <f ca="1">AVERAGE(OFFSET($AM$3,0,0,'Données projet'!$E$10+1,1))-AVERAGE(OFFSET($H$3,0,0,'Données projet'!$E$10+1,1))</f>
        <v>411.98877330238821</v>
      </c>
      <c r="AO200" s="62">
        <f t="shared" si="205"/>
        <v>256.4377087753457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-1.1368683772161603E-13</v>
      </c>
      <c r="BE200" s="14">
        <f>BD200*VLOOKUP('Données projet'!$B$11,Paramètres!$A$1:$I$89,3,0)*VLOOKUP('Données projet'!$B$11,Paramètres!$A$1:$I$89,5,0)</f>
        <v>-9.9316821433603781E-14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195.30963433439501</v>
      </c>
      <c r="BJ200" s="62">
        <f t="shared" si="206"/>
        <v>185.00219255324504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9.9850148707059107E-25</v>
      </c>
      <c r="BS200" s="24">
        <f t="shared" si="169"/>
        <v>9.9850148707059107E-25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-5.6843418860808015E-14</v>
      </c>
      <c r="BZ200" s="14">
        <f>BY200*VLOOKUP('Données projet'!$B$12,Paramètres!$A$1:$I$89,3,0)*VLOOKUP('Données projet'!$B$12,Paramètres!$A$1:$I$89,5,0)</f>
        <v>-5.4978954722173515E-14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298.18906674058809</v>
      </c>
      <c r="CE200" s="62">
        <f t="shared" si="207"/>
        <v>154.08406475869634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1.9895196601282805E-13</v>
      </c>
      <c r="O201" s="14">
        <f>N201*VLOOKUP('Données projet'!$B$9,Paramètres!$A$1:$I$89,3,0)*VLOOKUP('Données projet'!$B$9,Paramètres!$A$1:$I$89,5,0)</f>
        <v>1.8001173884840681E-13</v>
      </c>
      <c r="P201" s="14">
        <f t="shared" si="203"/>
        <v>2.5254331426407198E-12</v>
      </c>
      <c r="Q201" s="22">
        <f t="shared" si="162"/>
        <v>4.7119831685935622E-12</v>
      </c>
      <c r="R201" s="62">
        <f t="shared" si="191"/>
        <v>293.33333333333803</v>
      </c>
      <c r="S201" s="62">
        <f ca="1">AVERAGE(OFFSET($R$3,0,0,'Données projet'!$E$9+1,1))-AVERAGE(OFFSET($H$3,0,0,'Données projet'!$E$9+1,1))</f>
        <v>302.6112905010138</v>
      </c>
      <c r="T201" s="62">
        <f t="shared" si="204"/>
        <v>423.44006663873375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2.1653146418989692E-2</v>
      </c>
      <c r="AB201" s="23">
        <f>EXP(-LN(2)/2)*AB200+(1-EXP(-LN(2)/2))/(LN(2)/2)*V201*Y201*VLOOKUP('Données projet'!$B$9,Paramètres!$A$1:$I$89,3,0)*0.475*44/12</f>
        <v>3.2751772541828767E-25</v>
      </c>
      <c r="AC201" s="24">
        <f t="shared" si="163"/>
        <v>2.1653146418989692E-2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1.1527845344971866E-13</v>
      </c>
      <c r="AK201" s="14">
        <f t="shared" si="164"/>
        <v>1.7033846239409443E-12</v>
      </c>
      <c r="AL201" s="22">
        <f t="shared" si="165"/>
        <v>3.1675048597887374E-12</v>
      </c>
      <c r="AM201" s="62">
        <f t="shared" si="193"/>
        <v>293.3333333333365</v>
      </c>
      <c r="AN201" s="62">
        <f ca="1">AVERAGE(OFFSET($AM$3,0,0,'Données projet'!$E$10+1,1))-AVERAGE(OFFSET($H$3,0,0,'Données projet'!$E$10+1,1))</f>
        <v>411.98877330238821</v>
      </c>
      <c r="AO201" s="62">
        <f t="shared" si="205"/>
        <v>256.4377087753457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-1.1368683772161603E-13</v>
      </c>
      <c r="BE201" s="14">
        <f>BD201*VLOOKUP('Données projet'!$B$11,Paramètres!$A$1:$I$89,3,0)*VLOOKUP('Données projet'!$B$11,Paramètres!$A$1:$I$89,5,0)</f>
        <v>-9.9316821433603781E-14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195.30963433439501</v>
      </c>
      <c r="BJ201" s="62">
        <f t="shared" si="206"/>
        <v>185.00219255324504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7.0604717253246676E-25</v>
      </c>
      <c r="BS201" s="24">
        <f t="shared" si="169"/>
        <v>7.0604717253246676E-25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-5.6843418860808015E-14</v>
      </c>
      <c r="BZ201" s="14">
        <f>BY201*VLOOKUP('Données projet'!$B$12,Paramètres!$A$1:$I$89,3,0)*VLOOKUP('Données projet'!$B$12,Paramètres!$A$1:$I$89,5,0)</f>
        <v>-5.4978954722173515E-14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298.18906674058809</v>
      </c>
      <c r="CE201" s="62">
        <f t="shared" si="207"/>
        <v>154.08406475869634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1.9895196601282805E-13</v>
      </c>
      <c r="O202" s="14">
        <f>N202*VLOOKUP('Données projet'!$B$9,Paramètres!$A$1:$I$89,3,0)*VLOOKUP('Données projet'!$B$9,Paramètres!$A$1:$I$89,5,0)</f>
        <v>1.8001173884840681E-13</v>
      </c>
      <c r="P202" s="14">
        <f t="shared" si="203"/>
        <v>2.5254331426407198E-12</v>
      </c>
      <c r="Q202" s="22">
        <f t="shared" si="162"/>
        <v>4.7119831685935622E-12</v>
      </c>
      <c r="R202" s="62">
        <f t="shared" si="191"/>
        <v>293.33333333333803</v>
      </c>
      <c r="S202" s="62">
        <f ca="1">AVERAGE(OFFSET($R$3,0,0,'Données projet'!$E$9+1,1))-AVERAGE(OFFSET($H$3,0,0,'Données projet'!$E$9+1,1))</f>
        <v>302.6112905010138</v>
      </c>
      <c r="T202" s="62">
        <f t="shared" si="204"/>
        <v>423.44006663873375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2.1061039991472939E-2</v>
      </c>
      <c r="AB202" s="23">
        <f>EXP(-LN(2)/2)*AB201+(1-EXP(-LN(2)/2))/(LN(2)/2)*V202*Y202*VLOOKUP('Données projet'!$B$9,Paramètres!$A$1:$I$89,3,0)*0.475*44/12</f>
        <v>2.3159000460206489E-25</v>
      </c>
      <c r="AC202" s="24">
        <f t="shared" si="163"/>
        <v>2.1061039991472939E-2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1.1527845344971866E-13</v>
      </c>
      <c r="AK202" s="14">
        <f t="shared" si="164"/>
        <v>1.7033846239409443E-12</v>
      </c>
      <c r="AL202" s="22">
        <f t="shared" si="165"/>
        <v>3.1675048597887374E-12</v>
      </c>
      <c r="AM202" s="62">
        <f t="shared" si="193"/>
        <v>293.3333333333365</v>
      </c>
      <c r="AN202" s="62">
        <f ca="1">AVERAGE(OFFSET($AM$3,0,0,'Données projet'!$E$10+1,1))-AVERAGE(OFFSET($H$3,0,0,'Données projet'!$E$10+1,1))</f>
        <v>411.98877330238821</v>
      </c>
      <c r="AO202" s="62">
        <f t="shared" si="205"/>
        <v>256.4377087753457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-1.1368683772161603E-13</v>
      </c>
      <c r="BE202" s="14">
        <f>BD202*VLOOKUP('Données projet'!$B$11,Paramètres!$A$1:$I$89,3,0)*VLOOKUP('Données projet'!$B$11,Paramètres!$A$1:$I$89,5,0)</f>
        <v>-9.9316821433603781E-14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195.30963433439501</v>
      </c>
      <c r="BJ202" s="62">
        <f t="shared" si="206"/>
        <v>185.00219255324504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4.9925074353529553E-25</v>
      </c>
      <c r="BS202" s="24">
        <f t="shared" si="169"/>
        <v>4.9925074353529553E-25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-5.6843418860808015E-14</v>
      </c>
      <c r="BZ202" s="14">
        <f>BY202*VLOOKUP('Données projet'!$B$12,Paramètres!$A$1:$I$89,3,0)*VLOOKUP('Données projet'!$B$12,Paramètres!$A$1:$I$89,5,0)</f>
        <v>-5.4978954722173515E-14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298.18906674058809</v>
      </c>
      <c r="CE202" s="62">
        <f t="shared" si="207"/>
        <v>154.08406475869634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1.9895196601282805E-13</v>
      </c>
      <c r="O203" s="14">
        <f>N203*VLOOKUP('Données projet'!$B$9,Paramètres!$A$1:$I$89,3,0)*VLOOKUP('Données projet'!$B$9,Paramètres!$A$1:$I$89,5,0)</f>
        <v>1.8001173884840681E-13</v>
      </c>
      <c r="P203" s="14">
        <f t="shared" si="203"/>
        <v>2.5254331426407198E-12</v>
      </c>
      <c r="Q203" s="22">
        <f t="shared" si="162"/>
        <v>4.7119831685935622E-12</v>
      </c>
      <c r="R203" s="62">
        <f t="shared" si="191"/>
        <v>293.33333333333803</v>
      </c>
      <c r="S203" s="62">
        <f ca="1">AVERAGE(OFFSET($R$3,0,0,'Données projet'!$E$9+1,1))-AVERAGE(OFFSET($H$3,0,0,'Données projet'!$E$9+1,1))</f>
        <v>302.6112905010138</v>
      </c>
      <c r="T203" s="62">
        <f t="shared" si="204"/>
        <v>423.44006663873375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2.0485124745354154E-2</v>
      </c>
      <c r="AB203" s="23">
        <f>EXP(-LN(2)/2)*AB202+(1-EXP(-LN(2)/2))/(LN(2)/2)*V203*Y203*VLOOKUP('Données projet'!$B$9,Paramètres!$A$1:$I$89,3,0)*0.475*44/12</f>
        <v>1.6375886270914383E-25</v>
      </c>
      <c r="AC203" s="24">
        <f t="shared" si="163"/>
        <v>2.0485124745354154E-2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1.1527845344971866E-13</v>
      </c>
      <c r="AK203" s="14">
        <f t="shared" si="164"/>
        <v>1.7033846239409443E-12</v>
      </c>
      <c r="AL203" s="22">
        <f t="shared" si="165"/>
        <v>3.1675048597887374E-12</v>
      </c>
      <c r="AM203" s="62">
        <f t="shared" si="193"/>
        <v>293.3333333333365</v>
      </c>
      <c r="AN203" s="62">
        <f ca="1">AVERAGE(OFFSET($AM$3,0,0,'Données projet'!$E$10+1,1))-AVERAGE(OFFSET($H$3,0,0,'Données projet'!$E$10+1,1))</f>
        <v>411.98877330238821</v>
      </c>
      <c r="AO203" s="62">
        <f t="shared" si="205"/>
        <v>256.4377087753457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-1.1368683772161603E-13</v>
      </c>
      <c r="BE203" s="14">
        <f>BD203*VLOOKUP('Données projet'!$B$11,Paramètres!$A$1:$I$89,3,0)*VLOOKUP('Données projet'!$B$11,Paramètres!$A$1:$I$89,5,0)</f>
        <v>-9.9316821433603781E-14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195.30963433439501</v>
      </c>
      <c r="BJ203" s="62">
        <f t="shared" si="206"/>
        <v>185.00219255324504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3.5302358626623338E-25</v>
      </c>
      <c r="BS203" s="24">
        <f t="shared" si="169"/>
        <v>3.5302358626623338E-25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-5.6843418860808015E-14</v>
      </c>
      <c r="BZ203" s="14">
        <f>BY203*VLOOKUP('Données projet'!$B$12,Paramètres!$A$1:$I$89,3,0)*VLOOKUP('Données projet'!$B$12,Paramètres!$A$1:$I$89,5,0)</f>
        <v>-5.4978954722173515E-14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298.18906674058809</v>
      </c>
      <c r="CE203" s="62">
        <f t="shared" si="207"/>
        <v>154.08406475869634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1.9472943612303364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1.185906184594963</v>
      </c>
      <c r="BA205" s="88">
        <f>EXP(LN('Données projet'!B88)/'Données projet'!A88)</f>
        <v>1.1554831727638066</v>
      </c>
      <c r="BV205" s="88">
        <f>EXP(LN('Données projet'!B114)/'Données projet'!A114)</f>
        <v>1.1457367676485573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33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34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33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35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35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34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33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34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18" sqref="F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37" t="s">
        <v>191</v>
      </c>
      <c r="C2" s="338"/>
      <c r="D2" s="338"/>
      <c r="E2" s="338"/>
      <c r="F2" s="338"/>
      <c r="G2" s="33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36"/>
      <c r="C4" s="336"/>
      <c r="D4" s="336"/>
      <c r="E4" s="336"/>
      <c r="F4" s="336"/>
      <c r="G4" s="33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N27" sqref="N2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37" t="s">
        <v>271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Robinier faux-acacia</v>
      </c>
      <c r="B6" s="155">
        <f>'Données projet'!D9</f>
        <v>0.26973180076628356</v>
      </c>
      <c r="C6" s="156">
        <f ca="1">IF(OR('Données projet'!B9="",'Données projet'!C9="",'Données projet'!C9=0%),0,Calculateur!S3)</f>
        <v>302.6112905010138</v>
      </c>
      <c r="D6" s="156">
        <f>IF(OR('Données projet'!B9="",'Données projet'!C9="",'Données projet'!C9=0%),0,Calculateur!T3)</f>
        <v>423.44006663873375</v>
      </c>
      <c r="E6" s="156">
        <f ca="1">MIN(C6,D6)</f>
        <v>302.6112905010138</v>
      </c>
      <c r="F6" s="156">
        <f ca="1">E6*B6</f>
        <v>81.62388831904741</v>
      </c>
      <c r="G6" s="156">
        <f ca="1">F6*(100%-'Données projet'!$C$24)*(100%-'Données projet'!$C$25)*(100%-'Données projet'!$C$26)*(100%-'Données projet'!$C$27)</f>
        <v>69.788424512785539</v>
      </c>
      <c r="H6" s="157">
        <f>IF(OR('Données projet'!B9="",'Données projet'!C9="",'Données projet'!C9=0%),0,AVERAGE(Calculateur!$AC$3:$AC$33)*B6)</f>
        <v>1.6876880541632013</v>
      </c>
      <c r="I6" s="158">
        <f>H6*(100%-'Données projet'!$C$24)*(100%-'Données projet'!$C$25)*(100%-'Données projet'!$C$26)*(100%-'Données projet'!$C$27)</f>
        <v>1.442973286309537</v>
      </c>
      <c r="J6" s="159">
        <f>IF(OR('Données projet'!B9="",'Données projet'!C9="",'Données projet'!C9=0%),0,SUM(Calculateur!$V$3:$V$33)*VLOOKUP('Données projet'!$B$9,Paramètres!$A$1:$I$89,9,0)*B6)</f>
        <v>5.1249042145593879</v>
      </c>
      <c r="K6" s="160">
        <f>J6*(100%-'Données projet'!$C$24)*(100%-'Données projet'!$C$25)*(100%-'Données projet'!$C$26)*(100%-'Données projet'!$C$27)</f>
        <v>4.3817931034482767</v>
      </c>
      <c r="L6" s="161">
        <f ca="1">G6+I6+K6</f>
        <v>75.613190902543352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pubescent</v>
      </c>
      <c r="B7" s="163">
        <f>'Données projet'!D10</f>
        <v>0.99923371647509607</v>
      </c>
      <c r="C7" s="156">
        <f ca="1">IF(OR('Données projet'!B10="",'Données projet'!C10="",'Données projet'!C10=0%),0,Calculateur!AN3)</f>
        <v>411.98877330238821</v>
      </c>
      <c r="D7" s="156">
        <f>IF(OR('Données projet'!B10="",'Données projet'!C10="",'Données projet'!C10=0%),0,Calculateur!AO3)</f>
        <v>256.4377087753457</v>
      </c>
      <c r="E7" s="156">
        <f t="shared" ref="E7:E15" ca="1" si="0">MIN(C7,D7)</f>
        <v>256.4377087753457</v>
      </c>
      <c r="F7" s="156">
        <f t="shared" ref="F7:F15" ca="1" si="1">E7*B7</f>
        <v>256.24120478394701</v>
      </c>
      <c r="G7" s="156">
        <f ca="1">F7*(100%-'Données projet'!$C$24)*(100%-'Données projet'!$C$25)*(100%-'Données projet'!$C$26)*(100%-'Données projet'!$C$27)</f>
        <v>219.08623009027468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7.2444444444444462</v>
      </c>
      <c r="K7" s="160">
        <f>J7*(100%-'Données projet'!$C$24)*(100%-'Données projet'!$C$25)*(100%-'Données projet'!$C$26)*(100%-'Données projet'!$C$27)</f>
        <v>6.1940000000000008</v>
      </c>
      <c r="L7" s="161">
        <f t="shared" ref="L7:L15" ca="1" si="2">G7+I7+K7</f>
        <v>225.28023009027467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Erable champêtre</v>
      </c>
      <c r="B8" s="163">
        <f>'Données projet'!D11</f>
        <v>0.16551724137931034</v>
      </c>
      <c r="C8" s="156">
        <f ca="1">IF(OR('Données projet'!B11="",'Données projet'!C11="",'Données projet'!C11=0%),0,Calculateur!BI3)</f>
        <v>195.30963433439501</v>
      </c>
      <c r="D8" s="156">
        <f>IF(OR('Données projet'!B11="",'Données projet'!C11="",'Données projet'!C11=0%),0,Calculateur!BJ3)</f>
        <v>185.00219255324504</v>
      </c>
      <c r="E8" s="156">
        <f t="shared" ca="1" si="0"/>
        <v>185.00219255324504</v>
      </c>
      <c r="F8" s="156">
        <f t="shared" ca="1" si="1"/>
        <v>30.621052560537109</v>
      </c>
      <c r="G8" s="156">
        <f ca="1">F8*(100%-'Données projet'!$C$24)*(100%-'Données projet'!$C$25)*(100%-'Données projet'!$C$26)*(100%-'Données projet'!$C$27)</f>
        <v>26.18099993925923</v>
      </c>
      <c r="H8" s="164">
        <f>IF(OR('Données projet'!B11="",'Données projet'!C11="",'Données projet'!C11=0%),0,AVERAGE(Calculateur!$BS$3:$BS$33)*B8)</f>
        <v>0.28976176953830274</v>
      </c>
      <c r="I8" s="158">
        <f>H8*(100%-'Données projet'!$C$24)*(100%-'Données projet'!$C$25)*(100%-'Données projet'!$C$26)*(100%-'Données projet'!$C$27)</f>
        <v>0.24774631295524885</v>
      </c>
      <c r="J8" s="159">
        <f>IF(OR('Données projet'!B11="",'Données projet'!C11="",'Données projet'!C11=0%),0,SUM(Calculateur!$BL$3:$BL$33)*VLOOKUP('Données projet'!$B$11,Paramètres!$A$1:$I$89,9,0)*B8)</f>
        <v>1.2827586206896551</v>
      </c>
      <c r="K8" s="160">
        <f>J8*(100%-'Données projet'!$C$24)*(100%-'Données projet'!$C$25)*(100%-'Données projet'!$C$26)*(100%-'Données projet'!$C$27)</f>
        <v>1.0967586206896551</v>
      </c>
      <c r="L8" s="161">
        <f t="shared" ca="1" si="2"/>
        <v>27.525504872904136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Alisier torminal</v>
      </c>
      <c r="B9" s="163">
        <f>'Données projet'!D12</f>
        <v>0.16551724137931034</v>
      </c>
      <c r="C9" s="156">
        <f ca="1">IF(OR('Données projet'!B12="",'Données projet'!C12="",'Données projet'!C12=0%),0,Calculateur!CD3)</f>
        <v>298.18906674058809</v>
      </c>
      <c r="D9" s="156">
        <f>IF(OR('Données projet'!B12="",'Données projet'!C12="",'Données projet'!C12=0%),0,Calculateur!CE3)</f>
        <v>154.08406475869634</v>
      </c>
      <c r="E9" s="156">
        <f t="shared" ca="1" si="0"/>
        <v>154.08406475869634</v>
      </c>
      <c r="F9" s="156">
        <f t="shared" ca="1" si="1"/>
        <v>25.503569339370429</v>
      </c>
      <c r="G9" s="156">
        <f ca="1">F9*(100%-'Données projet'!$C$24)*(100%-'Données projet'!$C$25)*(100%-'Données projet'!$C$26)*(100%-'Données projet'!$C$27)</f>
        <v>21.805551785161718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ca="1" si="2"/>
        <v>21.805551785161718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393.98971500290196</v>
      </c>
      <c r="G16" s="175">
        <f t="shared" ca="1" si="3"/>
        <v>336.86120632748111</v>
      </c>
      <c r="H16" s="176">
        <f t="shared" si="3"/>
        <v>1.9774498237015041</v>
      </c>
      <c r="I16" s="176">
        <f t="shared" si="3"/>
        <v>1.6907195992647859</v>
      </c>
      <c r="J16" s="177">
        <f t="shared" si="3"/>
        <v>13.652107279693489</v>
      </c>
      <c r="K16" s="177">
        <f t="shared" si="3"/>
        <v>11.672551724137932</v>
      </c>
      <c r="L16" s="178">
        <f t="shared" ca="1" si="3"/>
        <v>350.2244776508839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40" t="s">
        <v>246</v>
      </c>
      <c r="G17" s="341"/>
      <c r="H17" s="341"/>
      <c r="I17" s="341"/>
      <c r="J17" s="341"/>
      <c r="K17" s="341"/>
      <c r="L17" s="34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42"/>
      <c r="G18" s="342"/>
      <c r="H18" s="342"/>
      <c r="I18" s="342"/>
      <c r="J18" s="342"/>
      <c r="K18" s="342"/>
      <c r="L18" s="34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Robinier faux-acacia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pubescent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Erable champêtre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Alisier torminal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cellWatches>
    <cellWatch r="L16"/>
  </cellWatche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F13" zoomScale="90" zoomScaleNormal="90" workbookViewId="0">
      <selection activeCell="U38" sqref="U3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37" t="s">
        <v>272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6" t="s">
        <v>315</v>
      </c>
      <c r="I4" s="346"/>
      <c r="K4" s="343" t="s">
        <v>253</v>
      </c>
      <c r="L4" s="34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54" t="s">
        <v>310</v>
      </c>
      <c r="S7" s="355"/>
      <c r="T7" s="355"/>
      <c r="U7" s="355"/>
      <c r="V7" s="35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Robinier faux-acacia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878.41340148668132</v>
      </c>
      <c r="U10" s="190">
        <f>'Données projet'!D9</f>
        <v>0.26973180076628356</v>
      </c>
      <c r="V10" s="189">
        <f>U10*T10</f>
        <v>236.93602860023898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pubescent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485.05493370124225</v>
      </c>
      <c r="U11" s="190">
        <f>'Données projet'!D10</f>
        <v>0.99923371647509607</v>
      </c>
      <c r="V11" s="189">
        <f t="shared" ref="V11" si="0">U11*T11</f>
        <v>484.68324409687364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Erable champêtre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575.04960644625623</v>
      </c>
      <c r="U12" s="190">
        <f>'Données projet'!D11</f>
        <v>0.16551724137931034</v>
      </c>
      <c r="V12" s="189">
        <f t="shared" ref="V12:V19" si="1">U12*T12</f>
        <v>95.180624515242414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Alisier torminal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347.49136972109613</v>
      </c>
      <c r="U13" s="190">
        <f>'Données projet'!D12</f>
        <v>0.16551724137931034</v>
      </c>
      <c r="V13" s="189">
        <f t="shared" si="1"/>
        <v>57.515812919353841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Robinier faux-acacia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7"/>
      <c r="H16" s="203"/>
      <c r="I16" s="204"/>
      <c r="J16" s="216"/>
      <c r="K16" s="225"/>
      <c r="L16" s="343" t="s">
        <v>254</v>
      </c>
      <c r="M16" s="34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7"/>
      <c r="J17" s="216"/>
      <c r="K17" s="225"/>
      <c r="L17" s="314" t="s">
        <v>289</v>
      </c>
      <c r="M17" s="31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7"/>
      <c r="J18" s="216"/>
      <c r="K18" s="225"/>
      <c r="L18" s="314" t="s">
        <v>255</v>
      </c>
      <c r="M18" s="31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7"/>
      <c r="H19" s="232" t="s">
        <v>178</v>
      </c>
      <c r="I19" s="232" t="s">
        <v>287</v>
      </c>
      <c r="J19" s="260"/>
      <c r="K19" s="183"/>
      <c r="L19" s="343" t="s">
        <v>288</v>
      </c>
      <c r="M19" s="34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7"/>
      <c r="H20" s="203">
        <v>0</v>
      </c>
      <c r="I20" s="204">
        <v>4974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2070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233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5</v>
      </c>
      <c r="B23" s="193">
        <f>'Données projet'!D36</f>
        <v>4</v>
      </c>
      <c r="C23" s="206">
        <v>8</v>
      </c>
      <c r="D23" s="194">
        <f>B23*C23</f>
        <v>32</v>
      </c>
      <c r="E23" s="206"/>
      <c r="F23" s="261"/>
      <c r="H23" s="203">
        <v>3</v>
      </c>
      <c r="I23" s="204">
        <v>233</v>
      </c>
      <c r="K23" s="225"/>
      <c r="L23" s="345" t="s">
        <v>260</v>
      </c>
      <c r="M23" s="345"/>
      <c r="N23" s="345"/>
      <c r="O23" s="25"/>
      <c r="P23" s="25"/>
      <c r="Q23" s="265"/>
      <c r="R23" s="25"/>
      <c r="S23" s="185" t="s">
        <v>264</v>
      </c>
      <c r="T23" s="35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-11234.145449003432</v>
      </c>
      <c r="U23" s="359"/>
      <c r="V23" s="35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10</v>
      </c>
      <c r="B24" s="193">
        <f>'Données projet'!D37</f>
        <v>21</v>
      </c>
      <c r="C24" s="206">
        <v>8</v>
      </c>
      <c r="D24" s="194">
        <f t="shared" ref="D24:D42" si="2">B24*C24</f>
        <v>168</v>
      </c>
      <c r="E24" s="206"/>
      <c r="F24" s="264"/>
      <c r="H24" s="203">
        <v>4</v>
      </c>
      <c r="I24" s="204">
        <v>233</v>
      </c>
      <c r="K24" s="225"/>
      <c r="O24" s="25"/>
      <c r="P24" s="25"/>
      <c r="Q24" s="265"/>
      <c r="R24" s="25"/>
      <c r="S24" s="185" t="s">
        <v>261</v>
      </c>
      <c r="T24" s="36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60"/>
      <c r="V24" s="36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15</v>
      </c>
      <c r="B25" s="193">
        <f>'Données projet'!D38</f>
        <v>17</v>
      </c>
      <c r="C25" s="206">
        <v>9</v>
      </c>
      <c r="D25" s="194">
        <f t="shared" si="2"/>
        <v>153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61">
        <f ca="1">T23-T24</f>
        <v>-11234.145449003432</v>
      </c>
      <c r="U25" s="361"/>
      <c r="V25" s="36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20</v>
      </c>
      <c r="B26" s="193">
        <f>'Données projet'!D39</f>
        <v>14</v>
      </c>
      <c r="C26" s="206">
        <v>12</v>
      </c>
      <c r="D26" s="194">
        <f t="shared" si="2"/>
        <v>168</v>
      </c>
      <c r="E26" s="206"/>
      <c r="F26" s="264"/>
      <c r="G26" s="259"/>
      <c r="H26" s="203"/>
      <c r="I26" s="204"/>
      <c r="K26" s="225"/>
      <c r="L26" s="348" t="s">
        <v>258</v>
      </c>
      <c r="M26" s="349"/>
      <c r="N26" s="349"/>
      <c r="O26" s="349"/>
      <c r="P26" s="350"/>
      <c r="Q26" s="265"/>
      <c r="R26" s="25"/>
      <c r="S26" s="198" t="s">
        <v>265</v>
      </c>
      <c r="T26" s="358" t="str">
        <f ca="1">IF(T25&lt;0,"Votre projet est additionnel","Votre projet n'est pas additionnel")</f>
        <v>Votre projet est additionnel</v>
      </c>
      <c r="U26" s="358"/>
      <c r="V26" s="35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25</v>
      </c>
      <c r="B27" s="193">
        <f>'Données projet'!D40</f>
        <v>11</v>
      </c>
      <c r="C27" s="206">
        <v>12</v>
      </c>
      <c r="D27" s="194">
        <f t="shared" si="2"/>
        <v>132</v>
      </c>
      <c r="E27" s="206"/>
      <c r="F27" s="264"/>
      <c r="G27" s="259"/>
      <c r="H27" s="203"/>
      <c r="I27" s="204"/>
      <c r="K27" s="225"/>
      <c r="L27" s="351"/>
      <c r="M27" s="352"/>
      <c r="N27" s="352"/>
      <c r="O27" s="352"/>
      <c r="P27" s="353"/>
      <c r="Q27" s="265"/>
      <c r="R27" s="25"/>
      <c r="S27" s="357" t="s">
        <v>267</v>
      </c>
      <c r="T27" s="357"/>
      <c r="U27" s="357"/>
      <c r="V27" s="35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30</v>
      </c>
      <c r="B28" s="193">
        <f>'Données projet'!D41</f>
        <v>9</v>
      </c>
      <c r="C28" s="206">
        <v>13</v>
      </c>
      <c r="D28" s="194">
        <f t="shared" si="2"/>
        <v>117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35</v>
      </c>
      <c r="B29" s="193">
        <f>'Données projet'!D42</f>
        <v>7</v>
      </c>
      <c r="C29" s="206">
        <v>13</v>
      </c>
      <c r="D29" s="194">
        <f t="shared" si="2"/>
        <v>91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40</v>
      </c>
      <c r="B30" s="193">
        <f>'Données projet'!D43</f>
        <v>6</v>
      </c>
      <c r="C30" s="206">
        <v>14</v>
      </c>
      <c r="D30" s="194">
        <f t="shared" si="2"/>
        <v>84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45</v>
      </c>
      <c r="B31" s="193">
        <f>'Données projet'!D44</f>
        <v>252</v>
      </c>
      <c r="C31" s="206">
        <v>14</v>
      </c>
      <c r="D31" s="194">
        <f t="shared" si="2"/>
        <v>3528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pubescent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8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21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21</v>
      </c>
      <c r="C56" s="204">
        <v>4</v>
      </c>
      <c r="D56" s="191">
        <f t="shared" si="4"/>
        <v>84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21</v>
      </c>
      <c r="C57" s="204">
        <v>8</v>
      </c>
      <c r="D57" s="191">
        <f t="shared" si="4"/>
        <v>168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21</v>
      </c>
      <c r="C58" s="204">
        <v>10</v>
      </c>
      <c r="D58" s="191">
        <f t="shared" si="4"/>
        <v>210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21</v>
      </c>
      <c r="C59" s="204">
        <v>10</v>
      </c>
      <c r="D59" s="191">
        <f t="shared" si="4"/>
        <v>210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21</v>
      </c>
      <c r="C60" s="204">
        <v>15</v>
      </c>
      <c r="D60" s="191">
        <f t="shared" si="4"/>
        <v>315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21</v>
      </c>
      <c r="C61" s="204">
        <v>15</v>
      </c>
      <c r="D61" s="191">
        <f t="shared" si="4"/>
        <v>315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21</v>
      </c>
      <c r="C62" s="204">
        <v>15</v>
      </c>
      <c r="D62" s="191">
        <f t="shared" si="4"/>
        <v>315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21</v>
      </c>
      <c r="C63" s="204">
        <v>15</v>
      </c>
      <c r="D63" s="191">
        <f t="shared" si="4"/>
        <v>315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21</v>
      </c>
      <c r="C64" s="204">
        <v>20</v>
      </c>
      <c r="D64" s="191">
        <f t="shared" si="4"/>
        <v>420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21</v>
      </c>
      <c r="C65" s="204">
        <v>20</v>
      </c>
      <c r="D65" s="191">
        <f t="shared" si="4"/>
        <v>420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21</v>
      </c>
      <c r="C66" s="204">
        <v>20</v>
      </c>
      <c r="D66" s="191">
        <f t="shared" si="4"/>
        <v>420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21</v>
      </c>
      <c r="C67" s="204">
        <v>20</v>
      </c>
      <c r="D67" s="191">
        <f t="shared" si="4"/>
        <v>420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21</v>
      </c>
      <c r="C68" s="204">
        <v>30</v>
      </c>
      <c r="D68" s="191">
        <f t="shared" si="4"/>
        <v>630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100</v>
      </c>
      <c r="B69" s="193">
        <f>'Données projet'!D77</f>
        <v>21</v>
      </c>
      <c r="C69" s="204">
        <v>30</v>
      </c>
      <c r="D69" s="191">
        <f t="shared" si="4"/>
        <v>630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105</v>
      </c>
      <c r="B70" s="193">
        <f>'Données projet'!D78</f>
        <v>20</v>
      </c>
      <c r="C70" s="204">
        <v>40</v>
      </c>
      <c r="D70" s="191">
        <f t="shared" si="4"/>
        <v>800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110</v>
      </c>
      <c r="B71" s="193">
        <f>'Données projet'!D79</f>
        <v>19</v>
      </c>
      <c r="C71" s="204">
        <v>50</v>
      </c>
      <c r="D71" s="191">
        <f t="shared" si="4"/>
        <v>950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115</v>
      </c>
      <c r="B72" s="193">
        <f>'Données projet'!D80</f>
        <v>18</v>
      </c>
      <c r="C72" s="204">
        <v>70</v>
      </c>
      <c r="D72" s="191">
        <f t="shared" si="4"/>
        <v>1260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284</v>
      </c>
      <c r="C73" s="204">
        <v>150</v>
      </c>
      <c r="D73" s="191">
        <f t="shared" si="4"/>
        <v>42600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Erable champêtre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3</v>
      </c>
      <c r="C85" s="204">
        <v>5</v>
      </c>
      <c r="D85" s="191">
        <f>B85*C85</f>
        <v>15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14</v>
      </c>
      <c r="C86" s="204">
        <v>7</v>
      </c>
      <c r="D86" s="191">
        <f t="shared" ref="D86:D104" si="6">B86*C86</f>
        <v>98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14</v>
      </c>
      <c r="C87" s="204">
        <v>9</v>
      </c>
      <c r="D87" s="191">
        <f t="shared" si="6"/>
        <v>126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14</v>
      </c>
      <c r="C88" s="204">
        <v>9</v>
      </c>
      <c r="D88" s="191">
        <f t="shared" si="6"/>
        <v>126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14</v>
      </c>
      <c r="C89" s="204">
        <v>9</v>
      </c>
      <c r="D89" s="191">
        <f t="shared" si="6"/>
        <v>126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14</v>
      </c>
      <c r="C90" s="204">
        <v>14</v>
      </c>
      <c r="D90" s="191">
        <f t="shared" si="6"/>
        <v>196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11</v>
      </c>
      <c r="C91" s="204">
        <v>14</v>
      </c>
      <c r="D91" s="191">
        <f t="shared" si="6"/>
        <v>154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9</v>
      </c>
      <c r="C92" s="204">
        <v>14</v>
      </c>
      <c r="D92" s="191">
        <f t="shared" si="6"/>
        <v>126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7</v>
      </c>
      <c r="C93" s="204">
        <v>17</v>
      </c>
      <c r="D93" s="191">
        <f t="shared" si="6"/>
        <v>119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6</v>
      </c>
      <c r="C94" s="204">
        <v>17</v>
      </c>
      <c r="D94" s="191">
        <f t="shared" si="6"/>
        <v>102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5</v>
      </c>
      <c r="C95" s="204">
        <v>17</v>
      </c>
      <c r="D95" s="191">
        <f t="shared" si="6"/>
        <v>85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4</v>
      </c>
      <c r="C96" s="204">
        <v>30</v>
      </c>
      <c r="D96" s="191">
        <f t="shared" si="6"/>
        <v>120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159</v>
      </c>
      <c r="C97" s="204">
        <v>80</v>
      </c>
      <c r="D97" s="191">
        <f t="shared" si="6"/>
        <v>12720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Alisier torminal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25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30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35</v>
      </c>
      <c r="B118" s="193">
        <f>'Données projet'!D116</f>
        <v>13</v>
      </c>
      <c r="C118" s="204">
        <v>4</v>
      </c>
      <c r="D118" s="191">
        <f t="shared" si="8"/>
        <v>52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40</v>
      </c>
      <c r="B119" s="193">
        <f>'Données projet'!D117</f>
        <v>14</v>
      </c>
      <c r="C119" s="204">
        <v>8</v>
      </c>
      <c r="D119" s="191">
        <f t="shared" si="8"/>
        <v>112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45</v>
      </c>
      <c r="B120" s="193">
        <f>'Données projet'!D118</f>
        <v>14</v>
      </c>
      <c r="C120" s="204">
        <v>10</v>
      </c>
      <c r="D120" s="191">
        <f t="shared" si="8"/>
        <v>140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50</v>
      </c>
      <c r="B121" s="193">
        <f>'Données projet'!D119</f>
        <v>14</v>
      </c>
      <c r="C121" s="204">
        <v>10</v>
      </c>
      <c r="D121" s="191">
        <f t="shared" si="8"/>
        <v>140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55</v>
      </c>
      <c r="B122" s="193">
        <f>'Données projet'!D120</f>
        <v>14</v>
      </c>
      <c r="C122" s="204">
        <v>15</v>
      </c>
      <c r="D122" s="191">
        <f t="shared" si="8"/>
        <v>210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60</v>
      </c>
      <c r="B123" s="193">
        <f>'Données projet'!D121</f>
        <v>14</v>
      </c>
      <c r="C123" s="204">
        <v>15</v>
      </c>
      <c r="D123" s="191">
        <f t="shared" si="8"/>
        <v>210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65</v>
      </c>
      <c r="B124" s="193">
        <f>'Données projet'!D122</f>
        <v>14</v>
      </c>
      <c r="C124" s="204">
        <v>15</v>
      </c>
      <c r="D124" s="191">
        <f t="shared" si="8"/>
        <v>210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70</v>
      </c>
      <c r="B125" s="193">
        <f>'Données projet'!D123</f>
        <v>14</v>
      </c>
      <c r="C125" s="204">
        <v>15</v>
      </c>
      <c r="D125" s="191">
        <f t="shared" si="8"/>
        <v>210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75</v>
      </c>
      <c r="B126" s="193">
        <f>'Données projet'!D124</f>
        <v>14</v>
      </c>
      <c r="C126" s="204">
        <v>20</v>
      </c>
      <c r="D126" s="191">
        <f t="shared" si="8"/>
        <v>280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80</v>
      </c>
      <c r="B127" s="193">
        <f>'Données projet'!D125</f>
        <v>14</v>
      </c>
      <c r="C127" s="204">
        <v>20</v>
      </c>
      <c r="D127" s="191">
        <f t="shared" si="8"/>
        <v>280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85</v>
      </c>
      <c r="B128" s="193">
        <f>'Données projet'!D126</f>
        <v>14</v>
      </c>
      <c r="C128" s="204">
        <v>20</v>
      </c>
      <c r="D128" s="191">
        <f t="shared" si="8"/>
        <v>280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90</v>
      </c>
      <c r="B129" s="193">
        <f>'Données projet'!D127</f>
        <v>14</v>
      </c>
      <c r="C129" s="204">
        <v>20</v>
      </c>
      <c r="D129" s="191">
        <f t="shared" si="8"/>
        <v>280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95</v>
      </c>
      <c r="B130" s="193">
        <f>'Données projet'!D128</f>
        <v>14</v>
      </c>
      <c r="C130" s="204">
        <v>30</v>
      </c>
      <c r="D130" s="191">
        <f t="shared" si="8"/>
        <v>420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100</v>
      </c>
      <c r="B131" s="193">
        <f>'Données projet'!D129</f>
        <v>13</v>
      </c>
      <c r="C131" s="204">
        <v>30</v>
      </c>
      <c r="D131" s="191">
        <f t="shared" si="8"/>
        <v>390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105</v>
      </c>
      <c r="B132" s="193">
        <f>'Données projet'!D130</f>
        <v>13</v>
      </c>
      <c r="C132" s="204">
        <v>40</v>
      </c>
      <c r="D132" s="191">
        <f t="shared" si="8"/>
        <v>520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110</v>
      </c>
      <c r="B133" s="193">
        <f>'Données projet'!D131</f>
        <v>13</v>
      </c>
      <c r="C133" s="204">
        <v>50</v>
      </c>
      <c r="D133" s="191">
        <f t="shared" si="8"/>
        <v>650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115</v>
      </c>
      <c r="B134" s="193">
        <f>'Données projet'!D132</f>
        <v>13</v>
      </c>
      <c r="C134" s="204">
        <v>70</v>
      </c>
      <c r="D134" s="191">
        <f t="shared" si="8"/>
        <v>910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120</v>
      </c>
      <c r="B135" s="193">
        <f>'Données projet'!D133</f>
        <v>222</v>
      </c>
      <c r="C135" s="204">
        <v>150</v>
      </c>
      <c r="D135" s="191">
        <f t="shared" si="8"/>
        <v>33300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D9BA4-452E-4D8D-AC7D-78402E44DFD8}">
  <dimension ref="B1:M28"/>
  <sheetViews>
    <sheetView workbookViewId="0">
      <selection activeCell="E25" sqref="E25"/>
    </sheetView>
  </sheetViews>
  <sheetFormatPr baseColWidth="10" defaultRowHeight="15" x14ac:dyDescent="0.25"/>
  <cols>
    <col min="1" max="1" width="1.85546875" style="302" customWidth="1"/>
    <col min="2" max="2" width="23" style="302" bestFit="1" customWidth="1"/>
    <col min="3" max="12" width="16.7109375" style="302" customWidth="1"/>
    <col min="13" max="16384" width="11.42578125" style="302"/>
  </cols>
  <sheetData>
    <row r="1" spans="2:13" ht="30.75" customHeight="1" thickBot="1" x14ac:dyDescent="0.3">
      <c r="B1" s="362" t="s">
        <v>324</v>
      </c>
      <c r="C1" s="363"/>
      <c r="D1" s="364"/>
    </row>
    <row r="2" spans="2:13" ht="27.75" customHeight="1" thickBot="1" x14ac:dyDescent="0.3"/>
    <row r="3" spans="2:13" ht="24.95" customHeight="1" x14ac:dyDescent="0.25">
      <c r="B3" s="307" t="s">
        <v>325</v>
      </c>
      <c r="C3" s="292" t="str">
        <f>'Données projet'!B9</f>
        <v>Robinier faux-acacia</v>
      </c>
      <c r="D3" s="292" t="str">
        <f>'Données projet'!B10</f>
        <v>Chêne pubescent</v>
      </c>
      <c r="E3" s="292" t="str">
        <f>'Données projet'!B11</f>
        <v>Erable champêtre</v>
      </c>
      <c r="F3" s="292" t="str">
        <f>'Données projet'!B12</f>
        <v>Alisier torminal</v>
      </c>
      <c r="G3" s="292">
        <f>'Données projet'!B13</f>
        <v>0</v>
      </c>
      <c r="H3" s="292">
        <f>'Données projet'!B14</f>
        <v>0</v>
      </c>
      <c r="I3" s="292">
        <f>'Données projet'!B15</f>
        <v>0</v>
      </c>
      <c r="J3" s="292">
        <f>'Données projet'!B16</f>
        <v>0</v>
      </c>
      <c r="K3" s="292">
        <f>'Données projet'!B17</f>
        <v>0</v>
      </c>
      <c r="L3" s="295">
        <f>'Données projet'!B18</f>
        <v>0</v>
      </c>
      <c r="M3" s="298" t="s">
        <v>328</v>
      </c>
    </row>
    <row r="4" spans="2:13" ht="24.95" customHeight="1" x14ac:dyDescent="0.25">
      <c r="B4" s="308" t="s">
        <v>326</v>
      </c>
      <c r="C4" s="300">
        <f>'Données projet'!$D$9</f>
        <v>0.26973180076628356</v>
      </c>
      <c r="D4" s="300">
        <f>'Données projet'!$D$10</f>
        <v>0.99923371647509607</v>
      </c>
      <c r="E4" s="300">
        <f>'Données projet'!$D$11</f>
        <v>0.16551724137931034</v>
      </c>
      <c r="F4" s="300">
        <f>'Données projet'!$D$12</f>
        <v>0.16551724137931034</v>
      </c>
      <c r="G4" s="300">
        <f>'Données projet'!$D$13</f>
        <v>0</v>
      </c>
      <c r="H4" s="300">
        <f>'Données projet'!$D$14</f>
        <v>0</v>
      </c>
      <c r="I4" s="300">
        <f>'Données projet'!$D$15</f>
        <v>0</v>
      </c>
      <c r="J4" s="300">
        <f>'Données projet'!$D$16</f>
        <v>0</v>
      </c>
      <c r="K4" s="300">
        <f>'Données projet'!$D$17</f>
        <v>0</v>
      </c>
      <c r="L4" s="301">
        <f>'Données projet'!$D$18</f>
        <v>0</v>
      </c>
      <c r="M4" s="304">
        <f>IF(SUM(C4:L4)=0,"",SUM(C4:L4))</f>
        <v>1.6</v>
      </c>
    </row>
    <row r="5" spans="2:13" ht="24.95" customHeight="1" x14ac:dyDescent="0.25">
      <c r="B5" s="308" t="s">
        <v>327</v>
      </c>
      <c r="C5" s="292"/>
      <c r="D5" s="293"/>
      <c r="E5" s="293"/>
      <c r="F5" s="293"/>
      <c r="G5" s="293"/>
      <c r="H5" s="293"/>
      <c r="I5" s="293"/>
      <c r="J5" s="293"/>
      <c r="K5" s="293"/>
      <c r="L5" s="296"/>
      <c r="M5" s="299"/>
    </row>
    <row r="6" spans="2:13" ht="24.95" customHeight="1" x14ac:dyDescent="0.25">
      <c r="B6" s="308" t="s">
        <v>329</v>
      </c>
      <c r="C6" s="288"/>
      <c r="D6" s="288"/>
      <c r="E6" s="288"/>
      <c r="F6" s="288"/>
      <c r="G6" s="288"/>
      <c r="H6" s="288"/>
      <c r="I6" s="288"/>
      <c r="J6" s="288"/>
      <c r="K6" s="288"/>
      <c r="L6" s="297"/>
      <c r="M6" s="305" t="str">
        <f>IF(SUM(C6:L6)=0,"",SUM(C6:L6))</f>
        <v/>
      </c>
    </row>
    <row r="7" spans="2:13" ht="24.95" customHeight="1" x14ac:dyDescent="0.25">
      <c r="B7" s="308" t="s">
        <v>249</v>
      </c>
      <c r="C7" s="288"/>
      <c r="D7" s="288"/>
      <c r="E7" s="288"/>
      <c r="F7" s="288"/>
      <c r="G7" s="288"/>
      <c r="H7" s="288"/>
      <c r="I7" s="288"/>
      <c r="J7" s="288"/>
      <c r="K7" s="288"/>
      <c r="L7" s="297"/>
      <c r="M7" s="306" t="str">
        <f>IF(SUM(C7:L7)=0,"",SUM(C7:L7))</f>
        <v/>
      </c>
    </row>
    <row r="8" spans="2:13" ht="24.95" customHeight="1" x14ac:dyDescent="0.25">
      <c r="B8" s="308" t="s">
        <v>330</v>
      </c>
      <c r="C8" s="294"/>
      <c r="D8" s="294"/>
      <c r="E8" s="294"/>
      <c r="F8" s="294"/>
      <c r="G8" s="294"/>
      <c r="H8" s="294"/>
      <c r="I8" s="288"/>
      <c r="J8" s="288"/>
      <c r="K8" s="288"/>
      <c r="L8" s="297"/>
      <c r="M8" s="306"/>
    </row>
    <row r="9" spans="2:13" ht="24.95" customHeight="1" thickBot="1" x14ac:dyDescent="0.3">
      <c r="B9" s="309" t="s">
        <v>331</v>
      </c>
      <c r="C9" s="310" t="str">
        <f>IF(C7=0,"",IFERROR((C7-C4)*REE!L6/REE!$B$6,""))</f>
        <v/>
      </c>
      <c r="D9" s="310" t="str">
        <f>IF(D7=0,"",IFERROR((D7-D4)*REE!L7/REE!$B$6,""))</f>
        <v/>
      </c>
      <c r="E9" s="310" t="str">
        <f>IF(E7=0,"",IFERROR((E7-E4)*REE!L8/REE!$B$6,""))</f>
        <v/>
      </c>
      <c r="F9" s="310" t="str">
        <f>IF(F7=0,"",IFERROR((F7-F4)*REE!L9/REE!$B$6,""))</f>
        <v/>
      </c>
      <c r="G9" s="310" t="str">
        <f>IF(G7=0,"",IFERROR((G7-G4)*REE!L10/REE!$B$6,""))</f>
        <v/>
      </c>
      <c r="H9" s="310" t="str">
        <f>IF(H7=0,"",IFERROR((H7-H4)*REE!L11/REE!$B$6,""))</f>
        <v/>
      </c>
      <c r="I9" s="310" t="str">
        <f>IF(I7=0,"",IFERROR((I7-I4)*REE!L12/REE!$B$6,""))</f>
        <v/>
      </c>
      <c r="J9" s="310" t="str">
        <f>IF(J7=0,"",IFERROR((J7-J4)*REE!L13/REE!$B$6,""))</f>
        <v/>
      </c>
      <c r="K9" s="310" t="str">
        <f>IF(K7=0,"",IFERROR((K7-K4)*REE!L14/REE!$B$6,""))</f>
        <v/>
      </c>
      <c r="L9" s="310" t="str">
        <f>IF(L7=0,"",IFERROR((L7-L4)*REE!L15/REE!$B$6,""))</f>
        <v/>
      </c>
      <c r="M9" s="311" t="str">
        <f>IF(SUM(C9:L9)=0,"",SUM(C9:L9))</f>
        <v/>
      </c>
    </row>
    <row r="12" spans="2:13" x14ac:dyDescent="0.25">
      <c r="D12" s="303"/>
    </row>
    <row r="13" spans="2:13" x14ac:dyDescent="0.25">
      <c r="D13" s="303"/>
    </row>
    <row r="14" spans="2:13" x14ac:dyDescent="0.25">
      <c r="D14" s="303"/>
    </row>
    <row r="15" spans="2:13" x14ac:dyDescent="0.25">
      <c r="D15" s="303"/>
    </row>
    <row r="16" spans="2:13" x14ac:dyDescent="0.25">
      <c r="D16" s="303"/>
    </row>
    <row r="17" spans="4:4" x14ac:dyDescent="0.25">
      <c r="D17" s="303"/>
    </row>
    <row r="18" spans="4:4" x14ac:dyDescent="0.25">
      <c r="D18" s="303"/>
    </row>
    <row r="19" spans="4:4" x14ac:dyDescent="0.25">
      <c r="D19" s="303"/>
    </row>
    <row r="20" spans="4:4" x14ac:dyDescent="0.25">
      <c r="D20" s="303"/>
    </row>
    <row r="21" spans="4:4" x14ac:dyDescent="0.25">
      <c r="D21" s="303"/>
    </row>
    <row r="22" spans="4:4" x14ac:dyDescent="0.25">
      <c r="D22" s="303"/>
    </row>
    <row r="23" spans="4:4" x14ac:dyDescent="0.25">
      <c r="D23" s="303"/>
    </row>
    <row r="24" spans="4:4" x14ac:dyDescent="0.25">
      <c r="D24" s="303"/>
    </row>
    <row r="25" spans="4:4" x14ac:dyDescent="0.25">
      <c r="D25" s="303"/>
    </row>
    <row r="26" spans="4:4" x14ac:dyDescent="0.25">
      <c r="D26" s="303"/>
    </row>
    <row r="27" spans="4:4" x14ac:dyDescent="0.25">
      <c r="D27" s="303"/>
    </row>
    <row r="28" spans="4:4" x14ac:dyDescent="0.25">
      <c r="D28" s="303"/>
    </row>
  </sheetData>
  <mergeCells count="1">
    <mergeCell ref="B1:D1"/>
  </mergeCells>
  <conditionalFormatting sqref="C9:M9">
    <cfRule type="cellIs" dxfId="0" priority="1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vérification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2025-02-25T10:28:36Z</dcterms:modified>
</cp:coreProperties>
</file>