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58-R-LABBE-BFC(58)-MONTARCEAU-Ragetly-Arthel-5,97ha/"/>
    </mc:Choice>
  </mc:AlternateContent>
  <xr:revisionPtr revIDLastSave="0" documentId="13_ncr:1_{F2C8D723-DABF-5F47-88AE-C4B6358CF394}" xr6:coauthVersionLast="47" xr6:coauthVersionMax="47" xr10:uidLastSave="{00000000-0000-0000-0000-000000000000}"/>
  <bookViews>
    <workbookView xWindow="0" yWindow="760" windowWidth="27280" windowHeight="164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66" i="2" a="1"/>
  <c r="AH166" i="2" s="1"/>
  <c r="BC34" i="2" a="1"/>
  <c r="BC34" i="2" s="1"/>
  <c r="BC117" i="2" a="1"/>
  <c r="BC117" i="2" s="1"/>
  <c r="BP203" i="2"/>
  <c r="AH163" i="2" a="1"/>
  <c r="AH163" i="2" s="1"/>
  <c r="AH151" i="2" a="1"/>
  <c r="AH151" i="2" s="1"/>
  <c r="AH62" i="2" a="1"/>
  <c r="AH62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AN190" i="2" l="1"/>
  <c r="AN50" i="2"/>
  <c r="AN166" i="2"/>
  <c r="AN19" i="2"/>
  <c r="AN131" i="2"/>
  <c r="AN9" i="2"/>
  <c r="AN184" i="2"/>
  <c r="AN27" i="2"/>
  <c r="AN44" i="2"/>
  <c r="AN71" i="2"/>
  <c r="AN200" i="2"/>
  <c r="AN111" i="2"/>
  <c r="AN17" i="2"/>
  <c r="AN194" i="2"/>
  <c r="AN80" i="2"/>
  <c r="AN7" i="2"/>
  <c r="AN72" i="2"/>
  <c r="AN90" i="2"/>
  <c r="AN5" i="2"/>
  <c r="AN181" i="2"/>
  <c r="AN29" i="2"/>
  <c r="AN199" i="2"/>
  <c r="AN86" i="2"/>
  <c r="AN30" i="2"/>
  <c r="AN75" i="2"/>
  <c r="AN106" i="2"/>
  <c r="AN120" i="2"/>
  <c r="AN98" i="2"/>
  <c r="AN62" i="2"/>
  <c r="AN132" i="2"/>
  <c r="AN183" i="2"/>
  <c r="AN18" i="2"/>
  <c r="AN134" i="2"/>
  <c r="AN189" i="2"/>
  <c r="AN197" i="2"/>
  <c r="AN139" i="2"/>
  <c r="AN38" i="2"/>
  <c r="AN67" i="2"/>
  <c r="AN163" i="2"/>
  <c r="AN87" i="2"/>
  <c r="AN144" i="2"/>
  <c r="AN85" i="2"/>
  <c r="AN191" i="2"/>
  <c r="AN79" i="2"/>
  <c r="AN99" i="2"/>
  <c r="AN165" i="2"/>
  <c r="AN179" i="2"/>
  <c r="AN162" i="2"/>
  <c r="AN142" i="2"/>
  <c r="AN112" i="2"/>
  <c r="AN92" i="2"/>
  <c r="AN187" i="2"/>
  <c r="AN104" i="2"/>
  <c r="AN32" i="2"/>
  <c r="AN100" i="2"/>
  <c r="AN124" i="2"/>
  <c r="AN129" i="2"/>
  <c r="AN36" i="2"/>
  <c r="AN21" i="2"/>
  <c r="AN171" i="2"/>
  <c r="AN68" i="2"/>
  <c r="AN141" i="2"/>
  <c r="AN198" i="2"/>
  <c r="AN93" i="2"/>
  <c r="AN26" i="2"/>
  <c r="AN73" i="2"/>
  <c r="AN47" i="2"/>
  <c r="AN115" i="2"/>
  <c r="AN61" i="2"/>
  <c r="AN167" i="2"/>
  <c r="AN52" i="2"/>
  <c r="AN8" i="2"/>
  <c r="AN101" i="2"/>
  <c r="AN59" i="2"/>
  <c r="AN158" i="2"/>
  <c r="AN108" i="2"/>
  <c r="AN177" i="2"/>
  <c r="AN89" i="2"/>
  <c r="AN196" i="2"/>
  <c r="AN35" i="2"/>
  <c r="AN140" i="2"/>
  <c r="AN174" i="2"/>
  <c r="AN51" i="2"/>
  <c r="AN188" i="2"/>
  <c r="AN170" i="2"/>
  <c r="AN6" i="2"/>
  <c r="AN33" i="2"/>
  <c r="AN46" i="2"/>
  <c r="AN152" i="2"/>
  <c r="AN193" i="2"/>
  <c r="AN175" i="2"/>
  <c r="AN40" i="2"/>
  <c r="AN20" i="2"/>
  <c r="AN154" i="2"/>
  <c r="AN65" i="2"/>
  <c r="AN22" i="2"/>
  <c r="AN105" i="2"/>
  <c r="AN143" i="2"/>
  <c r="AN42" i="2"/>
  <c r="AN149" i="2"/>
  <c r="AN66" i="2"/>
  <c r="AN4" i="2"/>
  <c r="AN202" i="2"/>
  <c r="AN159" i="2"/>
  <c r="AN53" i="2"/>
  <c r="AN161" i="2"/>
  <c r="AN146" i="2"/>
  <c r="AN164" i="2"/>
  <c r="AN138" i="2"/>
  <c r="AN169" i="2"/>
  <c r="AN11" i="2"/>
  <c r="AN157" i="2"/>
  <c r="AN173" i="2"/>
  <c r="AN69" i="2"/>
  <c r="AN102" i="2"/>
  <c r="AN137" i="2"/>
  <c r="AN96" i="2"/>
  <c r="AN25" i="2"/>
  <c r="AN103" i="2"/>
  <c r="AN45" i="2"/>
  <c r="AN151" i="2"/>
  <c r="AN201" i="2"/>
  <c r="AN195" i="2"/>
  <c r="AN34" i="2"/>
  <c r="AN136" i="2"/>
  <c r="AN57" i="2"/>
  <c r="AN182" i="2"/>
  <c r="AN116" i="2"/>
  <c r="AN97" i="2"/>
  <c r="AN49" i="2"/>
  <c r="AN156" i="2"/>
  <c r="AN123" i="2"/>
  <c r="AN16" i="2"/>
  <c r="AN135" i="2"/>
  <c r="AN60" i="2"/>
  <c r="AN48" i="2"/>
  <c r="AN168" i="2"/>
  <c r="AN127" i="2"/>
  <c r="AN91" i="2"/>
  <c r="AN176" i="2"/>
  <c r="AN148" i="2"/>
  <c r="AN82" i="2"/>
  <c r="AN58" i="2"/>
  <c r="AN83" i="2"/>
  <c r="AN15" i="2"/>
  <c r="AN94" i="2"/>
  <c r="AN145" i="2"/>
  <c r="AN109" i="2"/>
  <c r="AN12" i="2"/>
  <c r="AN24" i="2"/>
  <c r="AN14" i="2"/>
  <c r="AN78" i="2"/>
  <c r="AN55" i="2"/>
  <c r="AN130" i="2"/>
  <c r="AN186" i="2"/>
  <c r="AN121" i="2"/>
  <c r="AN10" i="2"/>
  <c r="AN84" i="2"/>
  <c r="AN147" i="2"/>
  <c r="AN76" i="2"/>
  <c r="AN128" i="2"/>
  <c r="AN117" i="2"/>
  <c r="AN88" i="2"/>
  <c r="AN155" i="2"/>
  <c r="AN39" i="2"/>
  <c r="AN107" i="2"/>
  <c r="AN150" i="2"/>
  <c r="AN3" i="2"/>
  <c r="C7" i="4" s="1"/>
  <c r="E7" i="4" s="1"/>
  <c r="F7" i="4" s="1"/>
  <c r="G7" i="4" s="1"/>
  <c r="L7" i="4" s="1"/>
  <c r="AN77" i="2"/>
  <c r="AN180" i="2"/>
  <c r="AN114" i="2"/>
  <c r="AN43" i="2"/>
  <c r="AN54" i="2"/>
  <c r="AN160" i="2"/>
  <c r="AN119" i="2"/>
  <c r="AN172" i="2"/>
  <c r="AN41" i="2"/>
  <c r="AN56" i="2"/>
  <c r="AN125" i="2"/>
  <c r="AN192" i="2"/>
  <c r="AN126" i="2"/>
  <c r="AN185" i="2"/>
  <c r="AN95" i="2"/>
  <c r="AN37" i="2"/>
  <c r="AN28" i="2"/>
  <c r="AN81" i="2"/>
  <c r="AN74" i="2"/>
  <c r="AN133" i="2"/>
  <c r="AN113" i="2"/>
  <c r="AN63" i="2"/>
  <c r="AN153" i="2"/>
  <c r="AN122" i="2"/>
  <c r="AN64" i="2"/>
  <c r="AN31" i="2"/>
  <c r="AN23" i="2"/>
  <c r="AN178" i="2"/>
  <c r="AN70" i="2"/>
  <c r="AN118" i="2"/>
  <c r="AN13" i="2"/>
  <c r="AN203" i="2"/>
  <c r="AN110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<sst xmlns="http://schemas.openxmlformats.org/spreadsheetml/2006/main" count="1175" uniqueCount="326">
  <si>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</si>
  <si>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</si>
  <si>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</si>
  <si>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</si>
  <si>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</si>
  <si>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</si>
  <si>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</si>
  <si>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</si>
  <si>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</si>
  <si>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</si>
  <si>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</si>
  <si>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</si>
  <si>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</si>
  <si>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</si>
  <si>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</si>
  <si>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</si>
  <si>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</si>
  <si>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</si>
  <si>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</si>
  <si>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</si>
  <si>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</si>
  <si>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</si>
  <si>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</si>
  <si>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</si>
  <si>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</si>
  <si>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</si>
  <si>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</si>
  <si>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</si>
  <si>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</si>
  <si>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</si>
  <si>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</si>
  <si>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</si>
  <si>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</si>
  <si>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</si>
  <si>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</si>
  <si>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</si>
  <si>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</si>
  <si>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</si>
  <si>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</si>
  <si>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</si>
  <si>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</si>
  <si>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</si>
  <si>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</si>
  <si>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</si>
  <si>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</si>
  <si>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</si>
  <si>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</si>
  <si>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</si>
  <si>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</si>
  <si>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</si>
  <si>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</si>
  <si>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</si>
  <si>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</si>
  <si>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</si>
  <si>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</si>
  <si>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</si>
  <si>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</si>
  <si>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</si>
  <si>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</si>
  <si>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</si>
  <si>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</si>
  <si>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</si>
  <si>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</si>
  <si>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</si>
  <si>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</si>
  <si>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</si>
  <si>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</si>
  <si>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</si>
  <si>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</si>
  <si>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</si>
  <si>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</si>
  <si>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</si>
  <si>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</si>
  <si>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</si>
  <si>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</si>
  <si>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</si>
  <si>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</si>
  <si>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</si>
  <si>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</si>
  <si>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</si>
  <si>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</si>
  <si>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</si>
  <si>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</si>
  <si>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</si>
  <si>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</si>
  <si>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</si>
  <si>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</si>
  <si>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</si>
  <si>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</si>
  <si>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</si>
  <si>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</si>
  <si>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</si>
  <si>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</si>
  <si>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</si>
  <si>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</si>
  <si>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</si>
  <si>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</si>
  <si>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</si>
  <si>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</si>
  <si>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</si>
  <si>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</si>
  <si>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</si>
  <si>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</si>
  <si>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</si>
  <si>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</si>
  <si>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</si>
  <si>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</si>
  <si>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</si>
  <si>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</si>
  <si>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</si>
  <si>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</si>
  <si>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</si>
  <si>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</si>
  <si>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</si>
  <si>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</si>
  <si>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</si>
  <si>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</si>
  <si>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</si>
  <si>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</si>
  <si>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</si>
  <si>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</si>
  <si>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</si>
  <si>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</si>
  <si>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</si>
  <si>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</si>
  <si>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</si>
  <si>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</si>
  <si>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</si>
  <si>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</si>
  <si>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</si>
  <si>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</si>
  <si>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</si>
  <si>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</si>
  <si>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</si>
  <si>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</si>
  <si>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</si>
  <si>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</si>
  <si>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</si>
  <si>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</si>
  <si>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</si>
  <si>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</si>
  <si>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</si>
  <si>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</si>
  <si>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</si>
  <si>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</si>
  <si>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</si>
  <si>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</si>
  <si>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</si>
  <si>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</si>
  <si>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</si>
  <si>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</si>
  <si>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</si>
  <si>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</si>
  <si>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</si>
  <si>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</si>
  <si>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</si>
  <si>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</si>
  <si>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</si>
  <si>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</si>
  <si>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</si>
  <si>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</si>
  <si>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</si>
  <si>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</si>
  <si>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</si>
  <si>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</si>
  <si>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</si>
  <si>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</si>
  <si>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</si>
  <si>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</si>
  <si>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</si>
  <si>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</si>
  <si>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</si>
  <si>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</si>
  <si>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</si>
  <si>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</si>
  <si>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</si>
  <si>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</si>
  <si>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</si>
  <si>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</si>
  <si>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</si>
  <si>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</si>
  <si>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</si>
  <si>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</si>
  <si>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</si>
  <si>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</si>
  <si>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</si>
  <si>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</si>
  <si>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</si>
  <si>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</si>
  <si>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</si>
  <si>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</si>
  <si>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</si>
  <si>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</si>
  <si>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</si>
  <si>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</si>
  <si>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</si>
  <si>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</si>
  <si>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</si>
  <si>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</si>
  <si>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</si>
  <si>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</si>
  <si>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</si>
  <si>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</si>
  <si>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</si>
  <si>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</si>
  <si>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</si>
  <si>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</si>
  <si>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</si>
  <si>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</si>
  <si>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</si>
  <si>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</si>
  <si>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</si>
  <si>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</si>
  <si>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</si>
  <si>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</si>
  <si>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</si>
  <si>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</si>
  <si>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</si>
  <si>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</si>
  <si>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</si>
  <si>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</si>
  <si>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</si>
  <si>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</si>
  <si>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</si>
  <si>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</si>
  <si>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</si>
  <si>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</si>
  <si>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</si>
  <si>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</si>
  <si>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</si>
  <si>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</si>
  <si>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</si>
  <si>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</si>
  <si>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</si>
  <si>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</si>
  <si>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</si>
  <si>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</si>
  <si>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</si>
  <si>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</si>
  <si>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</si>
  <si>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</si>
  <si>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</si>
  <si>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</si>
  <si>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</si>
  <si>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</si>
  <si>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</si>
  <si>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</si>
  <si>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</si>
  <si>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</si>
  <si>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</si>
  <si>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</si>
  <si>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</si>
  <si>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</si>
  <si>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</si>
  <si>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</si>
  <si>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</si>
  <si>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</si>
  <si>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</si>
  <si>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</si>
  <si>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</si>
  <si>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</si>
  <si>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</si>
  <si>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</si>
  <si>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</si>
  <si>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</si>
  <si>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</si>
  <si>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</si>
  <si>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</si>
  <si>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</si>
  <si>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</si>
  <si>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</si>
  <si>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</si>
  <si>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</si>
  <si>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</si>
  <si>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</si>
  <si>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</si>
  <si>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</si>
  <si>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</si>
  <si>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</si>
  <si>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</si>
  <si>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</si>
  <si>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</si>
  <si>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</si>
  <si>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</si>
  <si>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</si>
  <si>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</si>
  <si>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</si>
  <si>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</si>
  <si>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</si>
  <si>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</si>
  <si>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</si>
  <si>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</si>
  <si>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</si>
  <si>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</si>
  <si>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</si>
  <si>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</si>
  <si>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</si>
  <si>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</si>
  <si>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</si>
  <si>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</si>
  <si>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</si>
  <si>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</si>
  <si>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</si>
  <si>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</si>
  <si>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</si>
  <si>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</si>
  <si>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</si>
  <si>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</si>
  <si>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</si>
  <si>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</si>
  <si>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</si>
  <si>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</si>
  <si>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</si>
  <si>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</si>
  <si>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</si>
  <si>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</si>
  <si>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</si>
  <si>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</si>
  <si>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</si>
  <si>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</si>
  <si>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</si>
  <si>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</si>
  <si>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</si>
  <si>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</si>
  <si>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 ONF 2(1/2/3) Centre-Nord-Est</t>
  </si>
  <si>
    <t>Douglas ONF National 2(1/2/3)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</si>
</sst>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10.625951042279917</c:v>
                </c:pt>
                <c:pt idx="2">
                  <c:v>20.791515975829608</c:v>
                </c:pt>
                <c:pt idx="3">
                  <c:v>30.808399306196417</c:v>
                </c:pt>
                <c:pt idx="4">
                  <c:v>40.733631836922029</c:v>
                </c:pt>
                <c:pt idx="5">
                  <c:v>50.593061797764868</c:v>
                </c:pt>
                <c:pt idx="6">
                  <c:v>60.401434098172878</c:v>
                </c:pt>
                <c:pt idx="7">
                  <c:v>70.168254211146944</c:v>
                </c:pt>
                <c:pt idx="8">
                  <c:v>79.900143073907998</c:v>
                </c:pt>
                <c:pt idx="9">
                  <c:v>89.601967159538518</c:v>
                </c:pt>
                <c:pt idx="10">
                  <c:v>99.277448059929824</c:v>
                </c:pt>
                <c:pt idx="11">
                  <c:v>108.92951997687975</c:v>
                </c:pt>
                <c:pt idx="12">
                  <c:v>118.56055302164781</c:v>
                </c:pt>
                <c:pt idx="13">
                  <c:v>128.17249976132624</c:v>
                </c:pt>
                <c:pt idx="14">
                  <c:v>137.7669953037047</c:v>
                </c:pt>
                <c:pt idx="15">
                  <c:v>147.34542793361445</c:v>
                </c:pt>
                <c:pt idx="16">
                  <c:v>156.90899035901828</c:v>
                </c:pt>
                <c:pt idx="17">
                  <c:v>166.45871777287462</c:v>
                </c:pt>
                <c:pt idx="18">
                  <c:v>175.99551670087587</c:v>
                </c:pt>
                <c:pt idx="19">
                  <c:v>185.52018725479113</c:v>
                </c:pt>
                <c:pt idx="20">
                  <c:v>195.03344056724515</c:v>
                </c:pt>
                <c:pt idx="21">
                  <c:v>204.53591264044806</c:v>
                </c:pt>
                <c:pt idx="22">
                  <c:v>214.02817548233216</c:v>
                </c:pt>
                <c:pt idx="23">
                  <c:v>223.51074616070164</c:v>
                </c:pt>
                <c:pt idx="24">
                  <c:v>232.98409423831629</c:v>
                </c:pt>
                <c:pt idx="25">
                  <c:v>242.44864793387674</c:v>
                </c:pt>
                <c:pt idx="26">
                  <c:v>251.9047992695038</c:v>
                </c:pt>
                <c:pt idx="27">
                  <c:v>261.35290840402382</c:v>
                </c:pt>
                <c:pt idx="28">
                  <c:v>270.7933073062386</c:v>
                </c:pt>
                <c:pt idx="29">
                  <c:v>280.22630288869681</c:v>
                </c:pt>
                <c:pt idx="30">
                  <c:v>289.65217969707697</c:v>
                </c:pt>
                <c:pt idx="31">
                  <c:v>299.071202230913</c:v>
                </c:pt>
                <c:pt idx="32">
                  <c:v>308.48361695645946</c:v>
                </c:pt>
                <c:pt idx="33">
                  <c:v>317.88965406088073</c:v>
                </c:pt>
                <c:pt idx="34">
                  <c:v>327.28952898783672</c:v>
                </c:pt>
                <c:pt idx="35">
                  <c:v>336.68344378733508</c:v>
                </c:pt>
                <c:pt idx="36">
                  <c:v>346.07158830697864</c:v>
                </c:pt>
                <c:pt idx="37">
                  <c:v>355.45414124713034</c:v>
                </c:pt>
                <c:pt idx="38">
                  <c:v>364.83127109879939</c:v>
                </c:pt>
                <c:pt idx="39">
                  <c:v>374.20313698002457</c:v>
                </c:pt>
                <c:pt idx="40">
                  <c:v>383.56988938406107</c:v>
                </c:pt>
                <c:pt idx="41">
                  <c:v>392.93167085064243</c:v>
                </c:pt>
                <c:pt idx="42">
                  <c:v>402.28861656991006</c:v>
                </c:pt>
                <c:pt idx="43">
                  <c:v>411.64085492720528</c:v>
                </c:pt>
                <c:pt idx="44">
                  <c:v>420.98850799575433</c:v>
                </c:pt>
                <c:pt idx="45">
                  <c:v>280.0426217423277</c:v>
                </c:pt>
                <c:pt idx="46">
                  <c:v>299.38013025871112</c:v>
                </c:pt>
                <c:pt idx="47">
                  <c:v>318.68982195719605</c:v>
                </c:pt>
                <c:pt idx="48">
                  <c:v>337.9736187830203</c:v>
                </c:pt>
                <c:pt idx="49">
                  <c:v>357.23320548672996</c:v>
                </c:pt>
                <c:pt idx="50">
                  <c:v>376.47007037318275</c:v>
                </c:pt>
                <c:pt idx="51">
                  <c:v>395.68553728307438</c:v>
                </c:pt>
                <c:pt idx="52">
                  <c:v>313.80058495448168</c:v>
                </c:pt>
                <c:pt idx="53">
                  <c:v>331.76979122538091</c:v>
                </c:pt>
                <c:pt idx="54">
                  <c:v>349.71754315066022</c:v>
                </c:pt>
                <c:pt idx="55">
                  <c:v>367.64509637018165</c:v>
                </c:pt>
                <c:pt idx="56">
                  <c:v>385.55357409841054</c:v>
                </c:pt>
                <c:pt idx="57">
                  <c:v>403.44398672037818</c:v>
                </c:pt>
                <c:pt idx="58">
                  <c:v>421.31724772985291</c:v>
                </c:pt>
                <c:pt idx="59">
                  <c:v>439.17418682177572</c:v>
                </c:pt>
                <c:pt idx="60">
                  <c:v>350.05031599338912</c:v>
                </c:pt>
                <c:pt idx="61">
                  <c:v>366.65593775603548</c:v>
                </c:pt>
                <c:pt idx="62">
                  <c:v>383.24514472829486</c:v>
                </c:pt>
                <c:pt idx="63">
                  <c:v>399.81874727390004</c:v>
                </c:pt>
                <c:pt idx="64">
                  <c:v>416.37748310709276</c:v>
                </c:pt>
                <c:pt idx="65">
                  <c:v>432.92202649575052</c:v>
                </c:pt>
                <c:pt idx="66">
                  <c:v>449.45299598437691</c:v>
                </c:pt>
                <c:pt idx="67">
                  <c:v>465.97096092176963</c:v>
                </c:pt>
                <c:pt idx="68">
                  <c:v>394.20685165700417</c:v>
                </c:pt>
                <c:pt idx="69">
                  <c:v>410.01294240989472</c:v>
                </c:pt>
                <c:pt idx="70">
                  <c:v>425.80588054497088</c:v>
                </c:pt>
                <c:pt idx="71">
                  <c:v>441.58622243955278</c:v>
                </c:pt>
                <c:pt idx="72">
                  <c:v>457.35448147341799</c:v>
                </c:pt>
                <c:pt idx="73">
                  <c:v>473.11113275032488</c:v>
                </c:pt>
                <c:pt idx="74">
                  <c:v>488.8566171578903</c:v>
                </c:pt>
                <c:pt idx="75">
                  <c:v>504.59134487729324</c:v>
                </c:pt>
                <c:pt idx="76">
                  <c:v>434.7609563529868</c:v>
                </c:pt>
                <c:pt idx="77">
                  <c:v>449.98786603153286</c:v>
                </c:pt>
                <c:pt idx="78">
                  <c:v>465.20375616733418</c:v>
                </c:pt>
                <c:pt idx="79">
                  <c:v>480.40903783901331</c:v>
                </c:pt>
                <c:pt idx="80">
                  <c:v>495.6040939893021</c:v>
                </c:pt>
                <c:pt idx="81">
                  <c:v>510.78928217227963</c:v>
                </c:pt>
                <c:pt idx="82">
                  <c:v>525.96493695700281</c:v>
                </c:pt>
                <c:pt idx="83">
                  <c:v>541.13137203937856</c:v>
                </c:pt>
                <c:pt idx="84">
                  <c:v>556.28888210504294</c:v>
                </c:pt>
                <c:pt idx="85">
                  <c:v>474.41083575577449</c:v>
                </c:pt>
                <c:pt idx="86">
                  <c:v>488.90794980637247</c:v>
                </c:pt>
                <c:pt idx="87">
                  <c:v>503.39594607047911</c:v>
                </c:pt>
                <c:pt idx="88">
                  <c:v>517.8751238448591</c:v>
                </c:pt>
                <c:pt idx="89">
                  <c:v>532.34576433110544</c:v>
                </c:pt>
                <c:pt idx="90">
                  <c:v>546.80813220202526</c:v>
                </c:pt>
                <c:pt idx="91">
                  <c:v>561.26247699374585</c:v>
                </c:pt>
                <c:pt idx="92">
                  <c:v>575.70903434700836</c:v>
                </c:pt>
                <c:pt idx="93">
                  <c:v>590.14802711743857</c:v>
                </c:pt>
                <c:pt idx="94">
                  <c:v>521.92512937242907</c:v>
                </c:pt>
                <c:pt idx="95">
                  <c:v>536.37317443863697</c:v>
                </c:pt>
                <c:pt idx="96">
                  <c:v>550.81304078718358</c:v>
                </c:pt>
                <c:pt idx="97">
                  <c:v>565.2449729460667</c:v>
                </c:pt>
                <c:pt idx="98">
                  <c:v>579.66920194375791</c:v>
                </c:pt>
                <c:pt idx="99">
                  <c:v>594.0859463788114</c:v>
                </c:pt>
                <c:pt idx="100">
                  <c:v>608.49541338029132</c:v>
                </c:pt>
                <c:pt idx="101">
                  <c:v>622.89779947254533</c:v>
                </c:pt>
                <c:pt idx="102">
                  <c:v>637.29329135587614</c:v>
                </c:pt>
                <c:pt idx="103">
                  <c:v>651.68206661305078</c:v>
                </c:pt>
                <c:pt idx="104">
                  <c:v>557.57462981470928</c:v>
                </c:pt>
                <c:pt idx="105">
                  <c:v>571.54245257260447</c:v>
                </c:pt>
                <c:pt idx="106">
                  <c:v>585.50314699708758</c:v>
                </c:pt>
                <c:pt idx="107">
                  <c:v>599.45690692933738</c:v>
                </c:pt>
                <c:pt idx="108">
                  <c:v>613.40391645459783</c:v>
                </c:pt>
                <c:pt idx="109">
                  <c:v>627.34435060845942</c:v>
                </c:pt>
                <c:pt idx="110">
                  <c:v>641.27837601712724</c:v>
                </c:pt>
                <c:pt idx="111">
                  <c:v>655.20615147918136</c:v>
                </c:pt>
                <c:pt idx="112">
                  <c:v>669.12782849532334</c:v>
                </c:pt>
                <c:pt idx="113">
                  <c:v>683.04355175177432</c:v>
                </c:pt>
                <c:pt idx="114">
                  <c:v>611.08165841944526</c:v>
                </c:pt>
                <c:pt idx="115">
                  <c:v>625.60927592567089</c:v>
                </c:pt>
                <c:pt idx="116">
                  <c:v>640.12991226785755</c:v>
                </c:pt>
                <c:pt idx="117">
                  <c:v>654.64374802538623</c:v>
                </c:pt>
                <c:pt idx="118">
                  <c:v>669.15095512250616</c:v>
                </c:pt>
                <c:pt idx="119">
                  <c:v>683.65169742570333</c:v>
                </c:pt>
                <c:pt idx="120">
                  <c:v>698.14613128778512</c:v>
                </c:pt>
                <c:pt idx="121">
                  <c:v>712.63440604446532</c:v>
                </c:pt>
                <c:pt idx="122">
                  <c:v>727.11666446849222</c:v>
                </c:pt>
                <c:pt idx="123">
                  <c:v>741.59304318574743</c:v>
                </c:pt>
                <c:pt idx="124">
                  <c:v>756.06367305718788</c:v>
                </c:pt>
                <c:pt idx="125">
                  <c:v>770.52867953005295</c:v>
                </c:pt>
                <c:pt idx="126">
                  <c:v>653.71825230953834</c:v>
                </c:pt>
                <c:pt idx="127">
                  <c:v>668.0533116849424</c:v>
                </c:pt>
                <c:pt idx="128">
                  <c:v>682.38204735036811</c:v>
                </c:pt>
                <c:pt idx="129">
                  <c:v>696.70461071586658</c:v>
                </c:pt>
                <c:pt idx="130">
                  <c:v>711.02114646281086</c:v>
                </c:pt>
                <c:pt idx="131">
                  <c:v>725.33179297518234</c:v>
                </c:pt>
                <c:pt idx="132">
                  <c:v>739.6366827350738</c:v>
                </c:pt>
                <c:pt idx="133">
                  <c:v>753.9359426860301</c:v>
                </c:pt>
                <c:pt idx="134">
                  <c:v>768.22969456741259</c:v>
                </c:pt>
                <c:pt idx="135">
                  <c:v>782.51805522260713</c:v>
                </c:pt>
                <c:pt idx="136">
                  <c:v>796.80113688356744</c:v>
                </c:pt>
                <c:pt idx="137">
                  <c:v>811.07904743391771</c:v>
                </c:pt>
                <c:pt idx="138">
                  <c:v>685.39605373788902</c:v>
                </c:pt>
                <c:pt idx="139">
                  <c:v>699.31032351194574</c:v>
                </c:pt>
                <c:pt idx="140">
                  <c:v>713.21892770903014</c:v>
                </c:pt>
                <c:pt idx="141">
                  <c:v>727.12199230924125</c:v>
                </c:pt>
                <c:pt idx="142">
                  <c:v>741.01963808554717</c:v>
                </c:pt>
                <c:pt idx="143">
                  <c:v>754.9119809146523</c:v>
                </c:pt>
                <c:pt idx="144">
                  <c:v>768.79913206380922</c:v>
                </c:pt>
                <c:pt idx="145">
                  <c:v>782.68119845584897</c:v>
                </c:pt>
                <c:pt idx="146">
                  <c:v>796.55828291444652</c:v>
                </c:pt>
                <c:pt idx="147">
                  <c:v>810.43048439141921</c:v>
                </c:pt>
                <c:pt idx="148">
                  <c:v>824.29789817766869</c:v>
                </c:pt>
                <c:pt idx="149">
                  <c:v>838.16061609920382</c:v>
                </c:pt>
                <c:pt idx="150">
                  <c:v>518.67397071050254</c:v>
                </c:pt>
                <c:pt idx="151">
                  <c:v>527.0209722255828</c:v>
                </c:pt>
                <c:pt idx="152">
                  <c:v>535.36519022569712</c:v>
                </c:pt>
                <c:pt idx="153">
                  <c:v>543.7066742212254</c:v>
                </c:pt>
                <c:pt idx="154">
                  <c:v>356.43118607481551</c:v>
                </c:pt>
                <c:pt idx="155">
                  <c:v>361.41728613250007</c:v>
                </c:pt>
                <c:pt idx="156">
                  <c:v>366.40188215524518</c:v>
                </c:pt>
                <c:pt idx="157">
                  <c:v>371.38499751628189</c:v>
                </c:pt>
                <c:pt idx="158">
                  <c:v>248.64824806720492</c:v>
                </c:pt>
                <c:pt idx="159">
                  <c:v>251.70658890005447</c:v>
                </c:pt>
                <c:pt idx="160">
                  <c:v>254.76408749489761</c:v>
                </c:pt>
                <c:pt idx="161">
                  <c:v>257.82075540910677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1.850909291479347</c:v>
                </c:pt>
                <c:pt idx="2">
                  <c:v>2.3571093517086852</c:v>
                </c:pt>
                <c:pt idx="3">
                  <c:v>3.0023044836471922</c:v>
                </c:pt>
                <c:pt idx="4">
                  <c:v>3.8248048306110398</c:v>
                </c:pt>
                <c:pt idx="5">
                  <c:v>4.8735168998325982</c:v>
                </c:pt>
                <c:pt idx="6">
                  <c:v>6.2108840367772453</c:v>
                </c:pt>
                <c:pt idx="7">
                  <c:v>7.9166453333903419</c:v>
                </c:pt>
                <c:pt idx="8">
                  <c:v>10.092641396223335</c:v>
                </c:pt>
                <c:pt idx="9">
                  <c:v>12.868959314383559</c:v>
                </c:pt>
                <c:pt idx="10">
                  <c:v>16.411791005165558</c:v>
                </c:pt>
                <c:pt idx="11">
                  <c:v>20.933483913910308</c:v>
                </c:pt>
                <c:pt idx="12">
                  <c:v>26.705397258990146</c:v>
                </c:pt>
                <c:pt idx="13">
                  <c:v>34.074348915626643</c:v>
                </c:pt>
                <c:pt idx="14">
                  <c:v>43.483658227026353</c:v>
                </c:pt>
                <c:pt idx="15">
                  <c:v>55.500072109956967</c:v>
                </c:pt>
                <c:pt idx="16">
                  <c:v>70.84822320816825</c:v>
                </c:pt>
                <c:pt idx="17">
                  <c:v>90.454731878583559</c:v>
                </c:pt>
                <c:pt idx="18">
                  <c:v>115.50465711116368</c:v>
                </c:pt>
                <c:pt idx="19">
                  <c:v>147.51376180488208</c:v>
                </c:pt>
                <c:pt idx="20">
                  <c:v>188.42103223620668</c:v>
                </c:pt>
                <c:pt idx="21">
                  <c:v>240.70714044550846</c:v>
                </c:pt>
                <c:pt idx="22">
                  <c:v>188.87090934206265</c:v>
                </c:pt>
                <c:pt idx="23">
                  <c:v>214.98109510056543</c:v>
                </c:pt>
                <c:pt idx="24">
                  <c:v>241.01824892205289</c:v>
                </c:pt>
                <c:pt idx="25">
                  <c:v>266.9913697084724</c:v>
                </c:pt>
                <c:pt idx="26">
                  <c:v>292.90756031220479</c:v>
                </c:pt>
                <c:pt idx="27">
                  <c:v>318.77256321643927</c:v>
                </c:pt>
                <c:pt idx="28">
                  <c:v>344.59111272829563</c:v>
                </c:pt>
                <c:pt idx="29">
                  <c:v>291.56928243434669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374.94948796267505</c:v>
                </c:pt>
                <c:pt idx="33">
                  <c:v>402.64772617105808</c:v>
                </c:pt>
                <c:pt idx="34">
                  <c:v>430.30476217007714</c:v>
                </c:pt>
                <c:pt idx="35">
                  <c:v>457.92361345472074</c:v>
                </c:pt>
                <c:pt idx="36">
                  <c:v>382.03503582506397</c:v>
                </c:pt>
                <c:pt idx="37">
                  <c:v>409.19922205124948</c:v>
                </c:pt>
                <c:pt idx="38">
                  <c:v>436.32447725278092</c:v>
                </c:pt>
                <c:pt idx="39">
                  <c:v>463.41355924810637</c:v>
                </c:pt>
                <c:pt idx="40">
                  <c:v>490.46887740764822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478.09239623400521</c:v>
                </c:pt>
                <c:pt idx="45">
                  <c:v>504.08010035598926</c:v>
                </c:pt>
                <c:pt idx="46">
                  <c:v>530.03947668561864</c:v>
                </c:pt>
                <c:pt idx="47">
                  <c:v>555.97210607718182</c:v>
                </c:pt>
                <c:pt idx="48">
                  <c:v>581.87941004696052</c:v>
                </c:pt>
                <c:pt idx="49">
                  <c:v>607.76267335393857</c:v>
                </c:pt>
                <c:pt idx="50">
                  <c:v>498.72181261790962</c:v>
                </c:pt>
                <c:pt idx="51">
                  <c:v>522.77570769625004</c:v>
                </c:pt>
                <c:pt idx="52">
                  <c:v>546.80628686047885</c:v>
                </c:pt>
                <c:pt idx="53">
                  <c:v>570.8147177994498</c:v>
                </c:pt>
                <c:pt idx="54">
                  <c:v>594.80206206973287</c:v>
                </c:pt>
                <c:pt idx="55">
                  <c:v>618.7692887187502</c:v>
                </c:pt>
                <c:pt idx="56">
                  <c:v>642.71728568895765</c:v>
                </c:pt>
                <c:pt idx="57">
                  <c:v>553.08091315642685</c:v>
                </c:pt>
                <c:pt idx="58">
                  <c:v>575.02795262431994</c:v>
                </c:pt>
                <c:pt idx="59">
                  <c:v>596.95751269363416</c:v>
                </c:pt>
                <c:pt idx="60">
                  <c:v>618.87032518267199</c:v>
                </c:pt>
                <c:pt idx="61">
                  <c:v>640.7670659136046</c:v>
                </c:pt>
                <c:pt idx="62">
                  <c:v>662.64836080260761</c:v>
                </c:pt>
                <c:pt idx="63">
                  <c:v>684.51479110444359</c:v>
                </c:pt>
                <c:pt idx="64">
                  <c:v>586.91870078586362</c:v>
                </c:pt>
                <c:pt idx="65">
                  <c:v>606.5598649568966</c:v>
                </c:pt>
                <c:pt idx="66">
                  <c:v>626.187827915507</c:v>
                </c:pt>
                <c:pt idx="67">
                  <c:v>645.80306133016256</c:v>
                </c:pt>
                <c:pt idx="68">
                  <c:v>665.40600590783038</c:v>
                </c:pt>
                <c:pt idx="69">
                  <c:v>684.99707429705416</c:v>
                </c:pt>
                <c:pt idx="70">
                  <c:v>704.57665364194054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Normal="80" workbookViewId="0">
      <selection activeCell="C11" sqref="C1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5.97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12</v>
      </c>
      <c r="C9" s="32">
        <v>0.66</v>
      </c>
      <c r="D9" s="33">
        <f t="shared" ref="D9:D18" si="0">C9*$C$5</f>
        <v>3.9401999999999999</v>
      </c>
      <c r="E9" s="34">
        <v>161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22" t="s">
        <v>324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18</v>
      </c>
      <c r="C10" s="32">
        <v>0.34</v>
      </c>
      <c r="D10" s="33">
        <f t="shared" si="0"/>
        <v>2.0298000000000003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H10" s="23" t="s">
        <v>325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5.9700000000000006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pubescent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 t="s">
        <v>324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44</v>
      </c>
      <c r="B36" s="60">
        <v>190.75</v>
      </c>
      <c r="C36" s="60">
        <v>1</v>
      </c>
      <c r="D36" s="60">
        <v>74.010000000000005</v>
      </c>
      <c r="E36" s="51">
        <v>0.2</v>
      </c>
      <c r="F36" s="51"/>
      <c r="G36" s="51"/>
      <c r="H36" s="51">
        <v>0.8</v>
      </c>
      <c r="I36" s="49">
        <f>IFERROR(B36/A36,"")</f>
        <v>4.3352272727272725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51</v>
      </c>
      <c r="B37" s="60">
        <v>179.02</v>
      </c>
      <c r="C37" s="60">
        <v>2</v>
      </c>
      <c r="D37" s="60">
        <v>46.13</v>
      </c>
      <c r="E37" s="51">
        <v>0.2</v>
      </c>
      <c r="F37" s="51"/>
      <c r="G37" s="51"/>
      <c r="H37" s="51">
        <v>0.8</v>
      </c>
      <c r="I37" s="53">
        <f t="shared" ref="I37:I55" si="1">IF(A37&lt;&gt;0,(B37-(B36-D36))/(A37-A36),"")</f>
        <v>8.8971428571428586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59</v>
      </c>
      <c r="B38" s="60">
        <v>199.19</v>
      </c>
      <c r="C38" s="60">
        <v>3</v>
      </c>
      <c r="D38" s="60">
        <v>48.96</v>
      </c>
      <c r="E38" s="51">
        <v>0.3</v>
      </c>
      <c r="F38" s="51"/>
      <c r="G38" s="51"/>
      <c r="H38" s="51">
        <v>0.7</v>
      </c>
      <c r="I38" s="53">
        <f t="shared" si="1"/>
        <v>8.2874999999999979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67</v>
      </c>
      <c r="B39" s="60">
        <v>211.64</v>
      </c>
      <c r="C39" s="60">
        <v>4</v>
      </c>
      <c r="D39" s="60">
        <v>40.630000000000003</v>
      </c>
      <c r="E39" s="51">
        <v>0.3</v>
      </c>
      <c r="F39" s="51"/>
      <c r="G39" s="51"/>
      <c r="H39" s="51">
        <v>0.7</v>
      </c>
      <c r="I39" s="49">
        <f t="shared" si="1"/>
        <v>7.6762499999999996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75</v>
      </c>
      <c r="B40" s="60">
        <v>229.61</v>
      </c>
      <c r="C40" s="60">
        <v>5</v>
      </c>
      <c r="D40" s="60">
        <v>39.54</v>
      </c>
      <c r="E40" s="51">
        <v>0.4</v>
      </c>
      <c r="F40" s="51"/>
      <c r="G40" s="51"/>
      <c r="H40" s="51">
        <v>0.6</v>
      </c>
      <c r="I40" s="49">
        <f t="shared" si="1"/>
        <v>7.3250000000000028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84</v>
      </c>
      <c r="B41" s="60">
        <v>253.71</v>
      </c>
      <c r="C41" s="60">
        <v>6</v>
      </c>
      <c r="D41" s="60">
        <v>44.89</v>
      </c>
      <c r="E41" s="51">
        <v>0.4</v>
      </c>
      <c r="F41" s="51"/>
      <c r="G41" s="51"/>
      <c r="H41" s="51">
        <v>0.6</v>
      </c>
      <c r="I41" s="53">
        <f t="shared" si="1"/>
        <v>7.0711111111111098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93</v>
      </c>
      <c r="B42" s="60">
        <v>269.52</v>
      </c>
      <c r="C42" s="60">
        <v>7</v>
      </c>
      <c r="D42" s="60">
        <v>38.57</v>
      </c>
      <c r="E42" s="51">
        <v>0.5</v>
      </c>
      <c r="F42" s="51"/>
      <c r="G42" s="51"/>
      <c r="H42" s="51">
        <v>0.5</v>
      </c>
      <c r="I42" s="53">
        <f t="shared" si="1"/>
        <v>6.7444444444444436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103</v>
      </c>
      <c r="B43" s="50">
        <v>298.3</v>
      </c>
      <c r="C43" s="50">
        <v>8</v>
      </c>
      <c r="D43" s="50">
        <v>50.51</v>
      </c>
      <c r="E43" s="51">
        <v>0.5</v>
      </c>
      <c r="F43" s="51"/>
      <c r="G43" s="51"/>
      <c r="H43" s="51">
        <v>0.5</v>
      </c>
      <c r="I43" s="49">
        <f t="shared" si="1"/>
        <v>6.7350000000000021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113</v>
      </c>
      <c r="B44" s="50">
        <v>312.99</v>
      </c>
      <c r="C44" s="50">
        <v>9</v>
      </c>
      <c r="D44" s="50">
        <v>40.479999999999997</v>
      </c>
      <c r="E44" s="51">
        <v>0.6</v>
      </c>
      <c r="F44" s="51"/>
      <c r="G44" s="51"/>
      <c r="H44" s="51">
        <v>0.4</v>
      </c>
      <c r="I44" s="49">
        <f t="shared" si="1"/>
        <v>6.5199999999999987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125</v>
      </c>
      <c r="B45" s="50">
        <v>354.04</v>
      </c>
      <c r="C45" s="50">
        <v>10</v>
      </c>
      <c r="D45" s="50">
        <v>61.5</v>
      </c>
      <c r="E45" s="51">
        <v>0.6</v>
      </c>
      <c r="F45" s="51"/>
      <c r="G45" s="51"/>
      <c r="H45" s="51">
        <v>0.4</v>
      </c>
      <c r="I45" s="49">
        <f t="shared" si="1"/>
        <v>6.7941666666666691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137</v>
      </c>
      <c r="B46" s="50">
        <v>373.1</v>
      </c>
      <c r="C46" s="50">
        <v>11</v>
      </c>
      <c r="D46" s="50">
        <v>65.53</v>
      </c>
      <c r="E46" s="51">
        <v>0.7</v>
      </c>
      <c r="F46" s="51"/>
      <c r="G46" s="51"/>
      <c r="H46" s="51">
        <v>0.3</v>
      </c>
      <c r="I46" s="49">
        <f t="shared" si="1"/>
        <v>6.7133333333333338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149</v>
      </c>
      <c r="B47" s="50">
        <v>385.84</v>
      </c>
      <c r="C47" s="50">
        <v>12</v>
      </c>
      <c r="D47" s="50">
        <v>153.56</v>
      </c>
      <c r="E47" s="51">
        <v>0.7</v>
      </c>
      <c r="F47" s="51"/>
      <c r="G47" s="51"/>
      <c r="H47" s="51">
        <v>0.3</v>
      </c>
      <c r="I47" s="49">
        <f t="shared" si="1"/>
        <v>6.5224999999999937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153</v>
      </c>
      <c r="B48" s="50">
        <v>247.84</v>
      </c>
      <c r="C48" s="50">
        <v>13</v>
      </c>
      <c r="D48" s="50">
        <v>89.29</v>
      </c>
      <c r="E48" s="51">
        <v>0.8</v>
      </c>
      <c r="F48" s="51"/>
      <c r="G48" s="51"/>
      <c r="H48" s="51">
        <v>0.2</v>
      </c>
      <c r="I48" s="49">
        <f t="shared" si="1"/>
        <v>3.8900000000000077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157</v>
      </c>
      <c r="B49" s="50">
        <v>167.77</v>
      </c>
      <c r="C49" s="50">
        <v>14</v>
      </c>
      <c r="D49" s="50">
        <v>57.95</v>
      </c>
      <c r="E49" s="51">
        <v>0.8</v>
      </c>
      <c r="F49" s="51"/>
      <c r="G49" s="51"/>
      <c r="H49" s="51">
        <v>0.2</v>
      </c>
      <c r="I49" s="49">
        <f t="shared" si="1"/>
        <v>2.3049999999999997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161</v>
      </c>
      <c r="B50" s="50">
        <v>115.43</v>
      </c>
      <c r="C50" s="50">
        <v>15</v>
      </c>
      <c r="D50" s="50">
        <v>115.43</v>
      </c>
      <c r="E50" s="51">
        <v>0.8</v>
      </c>
      <c r="F50" s="51"/>
      <c r="G50" s="51"/>
      <c r="H50" s="51">
        <v>0.2</v>
      </c>
      <c r="I50" s="49">
        <f t="shared" si="1"/>
        <v>1.4024999999999999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Douglas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3" t="s">
        <v>325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21</v>
      </c>
      <c r="B62" s="60">
        <v>195.15</v>
      </c>
      <c r="C62" s="60">
        <v>1</v>
      </c>
      <c r="D62" s="60">
        <v>64.58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9.2928571428571427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28</v>
      </c>
      <c r="B63" s="60">
        <v>281.86</v>
      </c>
      <c r="C63" s="60">
        <v>2</v>
      </c>
      <c r="D63" s="60">
        <v>67.61</v>
      </c>
      <c r="E63" s="51">
        <v>0.2</v>
      </c>
      <c r="F63" s="51">
        <v>0.45</v>
      </c>
      <c r="G63" s="51">
        <v>0.35</v>
      </c>
      <c r="H63" s="51"/>
      <c r="I63" s="49">
        <f>IF(A63&lt;&gt;0,(B63-(B62-D62))/(A63-A62),"")</f>
        <v>21.612857142857145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35</v>
      </c>
      <c r="B64" s="60">
        <v>377.12</v>
      </c>
      <c r="C64" s="60">
        <v>4</v>
      </c>
      <c r="D64" s="60">
        <v>86.68</v>
      </c>
      <c r="E64" s="87">
        <v>0.4</v>
      </c>
      <c r="F64" s="87">
        <v>0.34</v>
      </c>
      <c r="G64" s="87">
        <v>0.26</v>
      </c>
      <c r="H64" s="51"/>
      <c r="I64" s="49">
        <f>IF(A64&lt;&gt;0,(B64-(B63-D63))/(A64-A63),"")</f>
        <v>23.267142857142858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42</v>
      </c>
      <c r="B65" s="60">
        <v>450.23</v>
      </c>
      <c r="C65" s="60">
        <v>5</v>
      </c>
      <c r="D65" s="60">
        <v>99.98</v>
      </c>
      <c r="E65" s="87">
        <v>0.5</v>
      </c>
      <c r="F65" s="87">
        <v>0.28000000000000003</v>
      </c>
      <c r="G65" s="87">
        <v>0.22</v>
      </c>
      <c r="H65" s="51"/>
      <c r="I65" s="49">
        <f>IF(A65&lt;&gt;0,(B65-(B64-D64))/(A65-A64),"")</f>
        <v>22.82714285714286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49</v>
      </c>
      <c r="B66" s="60">
        <v>503.83</v>
      </c>
      <c r="C66" s="60">
        <v>6</v>
      </c>
      <c r="D66" s="60">
        <v>112.61</v>
      </c>
      <c r="E66" s="87">
        <v>0.6</v>
      </c>
      <c r="F66" s="87">
        <v>0.22</v>
      </c>
      <c r="G66" s="87">
        <v>0.18</v>
      </c>
      <c r="H66" s="51"/>
      <c r="I66" s="49">
        <f t="shared" ref="I66:I81" si="2">IF(A66&lt;&gt;0,(B66-(B65-D65))/(A66-A65),"")</f>
        <v>21.939999999999998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56</v>
      </c>
      <c r="B67" s="60">
        <v>533.49</v>
      </c>
      <c r="C67" s="60">
        <v>7</v>
      </c>
      <c r="D67" s="60">
        <v>94.57</v>
      </c>
      <c r="E67" s="87">
        <v>0.7</v>
      </c>
      <c r="F67" s="87">
        <v>0.17</v>
      </c>
      <c r="G67" s="87">
        <v>0.13</v>
      </c>
      <c r="H67" s="51"/>
      <c r="I67" s="49">
        <f t="shared" si="2"/>
        <v>20.324285714285718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63</v>
      </c>
      <c r="B68" s="60">
        <v>569</v>
      </c>
      <c r="C68" s="60">
        <v>8</v>
      </c>
      <c r="D68" s="60">
        <v>99.49</v>
      </c>
      <c r="E68" s="87">
        <v>0.8</v>
      </c>
      <c r="F68" s="87">
        <v>0.11</v>
      </c>
      <c r="G68" s="87">
        <v>0.09</v>
      </c>
      <c r="H68" s="51"/>
      <c r="I68" s="49">
        <f t="shared" si="2"/>
        <v>18.58285714285714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60">
        <v>70</v>
      </c>
      <c r="B69" s="60">
        <v>586.05999999999995</v>
      </c>
      <c r="C69" s="60">
        <v>9</v>
      </c>
      <c r="D69" s="60">
        <v>586.05999999999995</v>
      </c>
      <c r="E69" s="87">
        <v>0.9</v>
      </c>
      <c r="F69" s="87">
        <v>0.06</v>
      </c>
      <c r="G69" s="87">
        <v>0.04</v>
      </c>
      <c r="H69" s="51"/>
      <c r="I69" s="49">
        <f t="shared" si="2"/>
        <v>16.649999999999995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Chêne pubescent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Douglas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369.23716180779473</v>
      </c>
      <c r="T3" s="59">
        <f>IF('Données projet'!E9&gt;30,$R$33-$H$33,LOOKUP('Données projet'!$E$9,$A$3:$A$203,R3:R203)-LOOKUP('Données projet'!$E$9,$A$3:$A$203,$H$3:$H$203))</f>
        <v>256.03115836031884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318.85992789434766</v>
      </c>
      <c r="AO3" s="59">
        <f>IF('Données projet'!E10&gt;30,$AM$33-$H$33,LOOKUP('Données projet'!$E$10,$A$3:$A$203,AM3:AM203)-LOOKUP('Données projet'!$E$10,$A$3:$A$203,$H$3:$H$203))</f>
        <v>285.79375360040717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4.3352272727272725</v>
      </c>
      <c r="N4" s="13">
        <f>IF('Données projet'!$A$36&gt;35,N3+M4-V3,IF(A4&lt;'Données projet'!$A$36,$K$205^A4,IF(A4='Données projet'!$A$36,'Données projet'!$B$36,N3+M4-V3)))</f>
        <v>4.3352272727272725</v>
      </c>
      <c r="O4" s="13">
        <f>N4*VLOOKUP('Données projet'!$B$9,Paramètres!$A$1:$I$89,3,0)*VLOOKUP('Données projet'!$B$9,Paramètres!$A$1:$I$89,5,0)</f>
        <v>4.3959204545454549</v>
      </c>
      <c r="P4" s="13">
        <f>EXP(-1.0587+0.8836*LN(O4)+0.284)</f>
        <v>1.705104067337752</v>
      </c>
      <c r="Q4" s="20">
        <f t="shared" ref="Q4:Q34" si="2">(O4+P4)*0.475*44/12</f>
        <v>10.625951042279917</v>
      </c>
      <c r="R4" s="59">
        <f t="shared" si="0"/>
        <v>303.95928437561321</v>
      </c>
      <c r="S4" s="59">
        <f ca="1">AVERAGE(OFFSET($R$3,0,0,'Données projet'!$E$9+1,1))-AVERAGE(OFFSET($H$3,0,0,'Données projet'!$E$9+1,1))</f>
        <v>369.23716180779473</v>
      </c>
      <c r="T4" s="59">
        <f>$T$3</f>
        <v>256.03115836031884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9.2928571428571427</v>
      </c>
      <c r="AI4" s="13">
        <f>IF('Données projet'!$A$62&gt;35,AI3+AH4-AQ3,IF(A4&lt;'Données projet'!$A$62,$AF$205^A4,IF(A4='Données projet'!$A$62,'Données projet'!$B$62,AI3+AH4-AQ3)))</f>
        <v>1.2854795418236975</v>
      </c>
      <c r="AJ4" s="13">
        <f>AI4*VLOOKUP('Données projet'!$B$10,Paramètres!$A$1:$I$89,3,0)*VLOOKUP('Données projet'!$B$10,Paramètres!$A$1:$I$89,5,0)</f>
        <v>0.71858306387944693</v>
      </c>
      <c r="AK4" s="13">
        <f>EXP(-1.0587+0.8836*LN(AJ4)+0.284)</f>
        <v>0.34413997429051324</v>
      </c>
      <c r="AL4" s="20">
        <f t="shared" ref="AL4:AL67" si="4">(AJ4+AK4)*0.475*44/12</f>
        <v>1.850909291479347</v>
      </c>
      <c r="AM4" s="59">
        <f t="shared" ref="AM4:AM67" si="5">AL4+(AD4+AE4)*44/12</f>
        <v>295.18424262481267</v>
      </c>
      <c r="AN4" s="59">
        <f ca="1">AVERAGE(OFFSET($AM$3,0,0,'Données projet'!$E$10+1,1))-AVERAGE(OFFSET($H$3,0,0,'Données projet'!$E$10+1,1))</f>
        <v>318.85992789434766</v>
      </c>
      <c r="AO4" s="59">
        <f>$AO$3</f>
        <v>285.79375360040717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4.3352272727272725</v>
      </c>
      <c r="N5" s="13">
        <f>IF('Données projet'!$A$36&gt;35,N4+M5-V4,IF(A5&lt;'Données projet'!$A$36,$K$205^A5,IF(A5='Données projet'!$A$36,'Données projet'!$B$36,N4+M5-V4)))</f>
        <v>8.670454545454545</v>
      </c>
      <c r="O5" s="13">
        <f>N5*VLOOKUP('Données projet'!$B$9,Paramètres!$A$1:$I$89,3,0)*VLOOKUP('Données projet'!$B$9,Paramètres!$A$1:$I$89,5,0)</f>
        <v>8.7918409090909098</v>
      </c>
      <c r="P5" s="13">
        <f t="shared" ref="P5:P68" si="33">EXP(-1.0587+0.8836*LN(O5)+0.284)</f>
        <v>3.1458716129165203</v>
      </c>
      <c r="Q5" s="20">
        <f t="shared" si="2"/>
        <v>20.791515975829608</v>
      </c>
      <c r="R5" s="59">
        <f t="shared" si="0"/>
        <v>314.12484930916293</v>
      </c>
      <c r="S5" s="59">
        <f ca="1">AVERAGE(OFFSET($R$3,0,0,'Données projet'!$E$9+1,1))-AVERAGE(OFFSET($H$3,0,0,'Données projet'!$E$9+1,1))</f>
        <v>369.23716180779473</v>
      </c>
      <c r="T5" s="59">
        <f t="shared" ref="T5:T68" si="34">$T$3</f>
        <v>256.03115836031884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9.2928571428571427</v>
      </c>
      <c r="AI5" s="13">
        <f>IF('Données projet'!$A$62&gt;35,AI4+AH5-AQ4,IF(A5&lt;'Données projet'!$A$62,$AF$205^A5,IF(A5='Données projet'!$A$62,'Données projet'!$B$62,AI4+AH5-AQ4)))</f>
        <v>1.6524576524472632</v>
      </c>
      <c r="AJ5" s="13">
        <f>AI5*VLOOKUP('Données projet'!$B$10,Paramètres!$A$1:$I$89,3,0)*VLOOKUP('Données projet'!$B$10,Paramètres!$A$1:$I$89,5,0)</f>
        <v>0.92372382771802009</v>
      </c>
      <c r="AK5" s="13">
        <f t="shared" ref="AK5:AK68" si="35">EXP(-1.0587+0.8836*LN(AJ5)+0.284)</f>
        <v>0.42964039335873705</v>
      </c>
      <c r="AL5" s="20">
        <f t="shared" si="4"/>
        <v>2.3571093517086852</v>
      </c>
      <c r="AM5" s="59">
        <f t="shared" si="5"/>
        <v>295.690442685042</v>
      </c>
      <c r="AN5" s="59">
        <f ca="1">AVERAGE(OFFSET($AM$3,0,0,'Données projet'!$E$10+1,1))-AVERAGE(OFFSET($H$3,0,0,'Données projet'!$E$10+1,1))</f>
        <v>318.85992789434766</v>
      </c>
      <c r="AO5" s="59">
        <f t="shared" ref="AO5:AO68" si="36">$AO$3</f>
        <v>285.79375360040717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4.3352272727272725</v>
      </c>
      <c r="N6" s="13">
        <f>IF('Données projet'!$A$36&gt;35,N5+M6-V5,IF(A6&lt;'Données projet'!$A$36,$K$205^A6,IF(A6='Données projet'!$A$36,'Données projet'!$B$36,N5+M6-V5)))</f>
        <v>13.005681818181817</v>
      </c>
      <c r="O6" s="13">
        <f>N6*VLOOKUP('Données projet'!$B$9,Paramètres!$A$1:$I$89,3,0)*VLOOKUP('Données projet'!$B$9,Paramètres!$A$1:$I$89,5,0)</f>
        <v>13.187761363636364</v>
      </c>
      <c r="P6" s="13">
        <f t="shared" si="33"/>
        <v>4.5012717308304806</v>
      </c>
      <c r="Q6" s="20">
        <f t="shared" si="2"/>
        <v>30.808399306196417</v>
      </c>
      <c r="R6" s="59">
        <f t="shared" si="0"/>
        <v>324.14173263952972</v>
      </c>
      <c r="S6" s="59">
        <f ca="1">AVERAGE(OFFSET($R$3,0,0,'Données projet'!$E$9+1,1))-AVERAGE(OFFSET($H$3,0,0,'Données projet'!$E$9+1,1))</f>
        <v>369.23716180779473</v>
      </c>
      <c r="T6" s="59">
        <f t="shared" si="34"/>
        <v>256.03115836031884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9.2928571428571427</v>
      </c>
      <c r="AI6" s="13">
        <f>IF('Données projet'!$A$62&gt;35,AI5+AH6-AQ5,IF(A6&lt;'Données projet'!$A$62,$AF$205^A6,IF(A6='Données projet'!$A$62,'Données projet'!$B$62,AI5+AH6-AQ5)))</f>
        <v>2.1242005059509705</v>
      </c>
      <c r="AJ6" s="13">
        <f>AI6*VLOOKUP('Données projet'!$B$10,Paramètres!$A$1:$I$89,3,0)*VLOOKUP('Données projet'!$B$10,Paramètres!$A$1:$I$89,5,0)</f>
        <v>1.1874280828265924</v>
      </c>
      <c r="AK6" s="13">
        <f t="shared" si="35"/>
        <v>0.53638310395648459</v>
      </c>
      <c r="AL6" s="20">
        <f t="shared" si="4"/>
        <v>3.0023044836471922</v>
      </c>
      <c r="AM6" s="59">
        <f t="shared" si="5"/>
        <v>296.33563781698052</v>
      </c>
      <c r="AN6" s="59">
        <f ca="1">AVERAGE(OFFSET($AM$3,0,0,'Données projet'!$E$10+1,1))-AVERAGE(OFFSET($H$3,0,0,'Données projet'!$E$10+1,1))</f>
        <v>318.85992789434766</v>
      </c>
      <c r="AO6" s="59">
        <f t="shared" si="36"/>
        <v>285.79375360040717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4.3352272727272725</v>
      </c>
      <c r="N7" s="13">
        <f>IF('Données projet'!$A$36&gt;35,N6+M7-V6,IF(A7&lt;'Données projet'!$A$36,$K$205^A7,IF(A7='Données projet'!$A$36,'Données projet'!$B$36,N6+M7-V6)))</f>
        <v>17.34090909090909</v>
      </c>
      <c r="O7" s="13">
        <f>N7*VLOOKUP('Données projet'!$B$9,Paramètres!$A$1:$I$89,3,0)*VLOOKUP('Données projet'!$B$9,Paramètres!$A$1:$I$89,5,0)</f>
        <v>17.58368181818182</v>
      </c>
      <c r="P7" s="13">
        <f t="shared" si="33"/>
        <v>5.8040493800509259</v>
      </c>
      <c r="Q7" s="20">
        <f t="shared" si="2"/>
        <v>40.733631836922029</v>
      </c>
      <c r="R7" s="59">
        <f t="shared" si="0"/>
        <v>334.06696517025534</v>
      </c>
      <c r="S7" s="59">
        <f ca="1">AVERAGE(OFFSET($R$3,0,0,'Données projet'!$E$9+1,1))-AVERAGE(OFFSET($H$3,0,0,'Données projet'!$E$9+1,1))</f>
        <v>369.23716180779473</v>
      </c>
      <c r="T7" s="59">
        <f t="shared" si="34"/>
        <v>256.03115836031884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9.2928571428571427</v>
      </c>
      <c r="AI7" s="13">
        <f>IF('Données projet'!$A$62&gt;35,AI6+AH7-AQ6,IF(A7&lt;'Données projet'!$A$62,$AF$205^A7,IF(A7='Données projet'!$A$62,'Données projet'!$B$62,AI6+AH7-AQ6)))</f>
        <v>2.7306162931315199</v>
      </c>
      <c r="AJ7" s="13">
        <f>AI7*VLOOKUP('Données projet'!$B$10,Paramètres!$A$1:$I$89,3,0)*VLOOKUP('Données projet'!$B$10,Paramètres!$A$1:$I$89,5,0)</f>
        <v>1.5264145078605198</v>
      </c>
      <c r="AK7" s="13">
        <f t="shared" si="35"/>
        <v>0.66964568196400076</v>
      </c>
      <c r="AL7" s="20">
        <f t="shared" si="4"/>
        <v>3.8248048306110398</v>
      </c>
      <c r="AM7" s="59">
        <f t="shared" si="5"/>
        <v>297.15813816394433</v>
      </c>
      <c r="AN7" s="59">
        <f ca="1">AVERAGE(OFFSET($AM$3,0,0,'Données projet'!$E$10+1,1))-AVERAGE(OFFSET($H$3,0,0,'Données projet'!$E$10+1,1))</f>
        <v>318.85992789434766</v>
      </c>
      <c r="AO7" s="59">
        <f t="shared" si="36"/>
        <v>285.79375360040717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4.3352272727272725</v>
      </c>
      <c r="N8" s="13">
        <f>IF('Données projet'!$A$36&gt;35,N7+M8-V7,IF(A8&lt;'Données projet'!$A$36,$K$205^A8,IF(A8='Données projet'!$A$36,'Données projet'!$B$36,N7+M8-V7)))</f>
        <v>21.676136363636363</v>
      </c>
      <c r="O8" s="13">
        <f>N8*VLOOKUP('Données projet'!$B$9,Paramètres!$A$1:$I$89,3,0)*VLOOKUP('Données projet'!$B$9,Paramètres!$A$1:$I$89,5,0)</f>
        <v>21.979602272727274</v>
      </c>
      <c r="P8" s="13">
        <f t="shared" si="33"/>
        <v>7.0690456494343712</v>
      </c>
      <c r="Q8" s="20">
        <f t="shared" si="2"/>
        <v>50.593061797764868</v>
      </c>
      <c r="R8" s="59">
        <f t="shared" si="0"/>
        <v>343.92639513109816</v>
      </c>
      <c r="S8" s="59">
        <f ca="1">AVERAGE(OFFSET($R$3,0,0,'Données projet'!$E$9+1,1))-AVERAGE(OFFSET($H$3,0,0,'Données projet'!$E$9+1,1))</f>
        <v>369.23716180779473</v>
      </c>
      <c r="T8" s="59">
        <f t="shared" si="34"/>
        <v>256.03115836031884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9.2928571428571427</v>
      </c>
      <c r="AI8" s="13">
        <f>IF('Données projet'!$A$62&gt;35,AI7+AH8-AQ7,IF(A8&lt;'Données projet'!$A$62,$AF$205^A8,IF(A8='Données projet'!$A$62,'Données projet'!$B$62,AI7+AH8-AQ7)))</f>
        <v>3.5101513813910294</v>
      </c>
      <c r="AJ8" s="13">
        <f>AI8*VLOOKUP('Données projet'!$B$10,Paramètres!$A$1:$I$89,3,0)*VLOOKUP('Données projet'!$B$10,Paramètres!$A$1:$I$89,5,0)</f>
        <v>1.9621746221975855</v>
      </c>
      <c r="AK8" s="13">
        <f t="shared" si="35"/>
        <v>0.83601689923739897</v>
      </c>
      <c r="AL8" s="20">
        <f t="shared" si="4"/>
        <v>4.8735168998325982</v>
      </c>
      <c r="AM8" s="59">
        <f t="shared" si="5"/>
        <v>298.20685023316594</v>
      </c>
      <c r="AN8" s="59">
        <f ca="1">AVERAGE(OFFSET($AM$3,0,0,'Données projet'!$E$10+1,1))-AVERAGE(OFFSET($H$3,0,0,'Données projet'!$E$10+1,1))</f>
        <v>318.85992789434766</v>
      </c>
      <c r="AO8" s="59">
        <f t="shared" si="36"/>
        <v>285.79375360040717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4.3352272727272725</v>
      </c>
      <c r="N9" s="13">
        <f>IF('Données projet'!$A$36&gt;35,N8+M9-V8,IF(A9&lt;'Données projet'!$A$36,$K$205^A9,IF(A9='Données projet'!$A$36,'Données projet'!$B$36,N8+M9-V8)))</f>
        <v>26.011363636363637</v>
      </c>
      <c r="O9" s="13">
        <f>N9*VLOOKUP('Données projet'!$B$9,Paramètres!$A$1:$I$89,3,0)*VLOOKUP('Données projet'!$B$9,Paramètres!$A$1:$I$89,5,0)</f>
        <v>26.375522727272731</v>
      </c>
      <c r="P9" s="13">
        <f t="shared" si="33"/>
        <v>8.3047265156973467</v>
      </c>
      <c r="Q9" s="20">
        <f t="shared" si="2"/>
        <v>60.401434098172878</v>
      </c>
      <c r="R9" s="59">
        <f t="shared" si="0"/>
        <v>353.73476743150621</v>
      </c>
      <c r="S9" s="59">
        <f ca="1">AVERAGE(OFFSET($R$3,0,0,'Données projet'!$E$9+1,1))-AVERAGE(OFFSET($H$3,0,0,'Données projet'!$E$9+1,1))</f>
        <v>369.23716180779473</v>
      </c>
      <c r="T9" s="59">
        <f t="shared" si="34"/>
        <v>256.03115836031884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9.2928571428571427</v>
      </c>
      <c r="AI9" s="13">
        <f>IF('Données projet'!$A$62&gt;35,AI8+AH9-AQ8,IF(A9&lt;'Données projet'!$A$62,$AF$205^A9,IF(A9='Données projet'!$A$62,'Données projet'!$B$62,AI8+AH9-AQ8)))</f>
        <v>4.5122277894823588</v>
      </c>
      <c r="AJ9" s="13">
        <f>AI9*VLOOKUP('Données projet'!$B$10,Paramètres!$A$1:$I$89,3,0)*VLOOKUP('Données projet'!$B$10,Paramètres!$A$1:$I$89,5,0)</f>
        <v>2.5223353343206387</v>
      </c>
      <c r="AK9" s="13">
        <f t="shared" si="35"/>
        <v>1.0437224858385457</v>
      </c>
      <c r="AL9" s="20">
        <f t="shared" si="4"/>
        <v>6.2108840367772453</v>
      </c>
      <c r="AM9" s="59">
        <f t="shared" si="5"/>
        <v>299.54421737011057</v>
      </c>
      <c r="AN9" s="59">
        <f ca="1">AVERAGE(OFFSET($AM$3,0,0,'Données projet'!$E$10+1,1))-AVERAGE(OFFSET($H$3,0,0,'Données projet'!$E$10+1,1))</f>
        <v>318.85992789434766</v>
      </c>
      <c r="AO9" s="59">
        <f t="shared" si="36"/>
        <v>285.79375360040717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4.3352272727272725</v>
      </c>
      <c r="N10" s="13">
        <f>IF('Données projet'!$A$36&gt;35,N9+M10-V9,IF(A10&lt;'Données projet'!$A$36,$K$205^A10,IF(A10='Données projet'!$A$36,'Données projet'!$B$36,N9+M10-V9)))</f>
        <v>30.34659090909091</v>
      </c>
      <c r="O10" s="13">
        <f>N10*VLOOKUP('Données projet'!$B$9,Paramètres!$A$1:$I$89,3,0)*VLOOKUP('Données projet'!$B$9,Paramètres!$A$1:$I$89,5,0)</f>
        <v>30.771443181818185</v>
      </c>
      <c r="P10" s="13">
        <f t="shared" si="33"/>
        <v>9.51654966668724</v>
      </c>
      <c r="Q10" s="20">
        <f t="shared" si="2"/>
        <v>70.168254211146944</v>
      </c>
      <c r="R10" s="59">
        <f t="shared" si="0"/>
        <v>363.50158754448023</v>
      </c>
      <c r="S10" s="59">
        <f ca="1">AVERAGE(OFFSET($R$3,0,0,'Données projet'!$E$9+1,1))-AVERAGE(OFFSET($H$3,0,0,'Données projet'!$E$9+1,1))</f>
        <v>369.23716180779473</v>
      </c>
      <c r="T10" s="59">
        <f t="shared" si="34"/>
        <v>256.03115836031884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9.2928571428571427</v>
      </c>
      <c r="AI10" s="13">
        <f>IF('Données projet'!$A$62&gt;35,AI9+AH10-AQ9,IF(A10&lt;'Données projet'!$A$62,$AF$205^A10,IF(A10='Données projet'!$A$62,'Données projet'!$B$62,AI9+AH10-AQ9)))</f>
        <v>5.8003765114279382</v>
      </c>
      <c r="AJ10" s="13">
        <f>AI10*VLOOKUP('Données projet'!$B$10,Paramètres!$A$1:$I$89,3,0)*VLOOKUP('Données projet'!$B$10,Paramètres!$A$1:$I$89,5,0)</f>
        <v>3.2424104698882177</v>
      </c>
      <c r="AK10" s="13">
        <f t="shared" si="35"/>
        <v>1.3030318267952323</v>
      </c>
      <c r="AL10" s="20">
        <f t="shared" si="4"/>
        <v>7.9166453333903419</v>
      </c>
      <c r="AM10" s="59">
        <f t="shared" si="5"/>
        <v>301.24997866672368</v>
      </c>
      <c r="AN10" s="59">
        <f ca="1">AVERAGE(OFFSET($AM$3,0,0,'Données projet'!$E$10+1,1))-AVERAGE(OFFSET($H$3,0,0,'Données projet'!$E$10+1,1))</f>
        <v>318.85992789434766</v>
      </c>
      <c r="AO10" s="59">
        <f t="shared" si="36"/>
        <v>285.79375360040717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4.3352272727272725</v>
      </c>
      <c r="N11" s="13">
        <f>IF('Données projet'!$A$36&gt;35,N10+M11-V10,IF(A11&lt;'Données projet'!$A$36,$K$205^A11,IF(A11='Données projet'!$A$36,'Données projet'!$B$36,N10+M11-V10)))</f>
        <v>34.68181818181818</v>
      </c>
      <c r="O11" s="13">
        <f>N11*VLOOKUP('Données projet'!$B$9,Paramètres!$A$1:$I$89,3,0)*VLOOKUP('Données projet'!$B$9,Paramètres!$A$1:$I$89,5,0)</f>
        <v>35.167363636363639</v>
      </c>
      <c r="P11" s="13">
        <f t="shared" si="33"/>
        <v>10.708316597459133</v>
      </c>
      <c r="Q11" s="20">
        <f t="shared" si="2"/>
        <v>79.900143073907998</v>
      </c>
      <c r="R11" s="59">
        <f t="shared" si="0"/>
        <v>373.23347640724131</v>
      </c>
      <c r="S11" s="59">
        <f ca="1">AVERAGE(OFFSET($R$3,0,0,'Données projet'!$E$9+1,1))-AVERAGE(OFFSET($H$3,0,0,'Données projet'!$E$9+1,1))</f>
        <v>369.23716180779473</v>
      </c>
      <c r="T11" s="59">
        <f t="shared" si="34"/>
        <v>256.03115836031884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9.2928571428571427</v>
      </c>
      <c r="AI11" s="13">
        <f>IF('Données projet'!$A$62&gt;35,AI10+AH11-AQ10,IF(A11&lt;'Données projet'!$A$62,$AF$205^A11,IF(A11='Données projet'!$A$62,'Données projet'!$B$62,AI10+AH11-AQ10)))</f>
        <v>7.4562653403153227</v>
      </c>
      <c r="AJ11" s="13">
        <f>AI11*VLOOKUP('Données projet'!$B$10,Paramètres!$A$1:$I$89,3,0)*VLOOKUP('Données projet'!$B$10,Paramètres!$A$1:$I$89,5,0)</f>
        <v>4.1680523252362658</v>
      </c>
      <c r="AK11" s="13">
        <f t="shared" si="35"/>
        <v>1.6267657013034484</v>
      </c>
      <c r="AL11" s="20">
        <f t="shared" si="4"/>
        <v>10.092641396223335</v>
      </c>
      <c r="AM11" s="59">
        <f t="shared" si="5"/>
        <v>303.42597472955663</v>
      </c>
      <c r="AN11" s="59">
        <f ca="1">AVERAGE(OFFSET($AM$3,0,0,'Données projet'!$E$10+1,1))-AVERAGE(OFFSET($H$3,0,0,'Données projet'!$E$10+1,1))</f>
        <v>318.85992789434766</v>
      </c>
      <c r="AO11" s="59">
        <f t="shared" si="36"/>
        <v>285.79375360040717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4.3352272727272725</v>
      </c>
      <c r="N12" s="13">
        <f>IF('Données projet'!$A$36&gt;35,N11+M12-V11,IF(A12&lt;'Données projet'!$A$36,$K$205^A12,IF(A12='Données projet'!$A$36,'Données projet'!$B$36,N11+M12-V11)))</f>
        <v>39.017045454545453</v>
      </c>
      <c r="O12" s="13">
        <f>N12*VLOOKUP('Données projet'!$B$9,Paramètres!$A$1:$I$89,3,0)*VLOOKUP('Données projet'!$B$9,Paramètres!$A$1:$I$89,5,0)</f>
        <v>39.563284090909093</v>
      </c>
      <c r="P12" s="13">
        <f t="shared" si="33"/>
        <v>11.882821455237425</v>
      </c>
      <c r="Q12" s="20">
        <f t="shared" si="2"/>
        <v>89.601967159538518</v>
      </c>
      <c r="R12" s="59">
        <f t="shared" si="0"/>
        <v>382.93530049287182</v>
      </c>
      <c r="S12" s="59">
        <f ca="1">AVERAGE(OFFSET($R$3,0,0,'Données projet'!$E$9+1,1))-AVERAGE(OFFSET($H$3,0,0,'Données projet'!$E$9+1,1))</f>
        <v>369.23716180779473</v>
      </c>
      <c r="T12" s="59">
        <f t="shared" si="34"/>
        <v>256.03115836031884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9.2928571428571427</v>
      </c>
      <c r="AI12" s="13">
        <f>IF('Données projet'!$A$62&gt;35,AI11+AH12-AQ11,IF(A12&lt;'Données projet'!$A$62,$AF$205^A12,IF(A12='Données projet'!$A$62,'Données projet'!$B$62,AI11+AH12-AQ11)))</f>
        <v>9.5848765533844578</v>
      </c>
      <c r="AJ12" s="13">
        <f>AI12*VLOOKUP('Données projet'!$B$10,Paramètres!$A$1:$I$89,3,0)*VLOOKUP('Données projet'!$B$10,Paramètres!$A$1:$I$89,5,0)</f>
        <v>5.3579459933419118</v>
      </c>
      <c r="AK12" s="13">
        <f t="shared" si="35"/>
        <v>2.0309301680266394</v>
      </c>
      <c r="AL12" s="20">
        <f t="shared" si="4"/>
        <v>12.868959314383559</v>
      </c>
      <c r="AM12" s="59">
        <f t="shared" si="5"/>
        <v>306.20229264771689</v>
      </c>
      <c r="AN12" s="59">
        <f ca="1">AVERAGE(OFFSET($AM$3,0,0,'Données projet'!$E$10+1,1))-AVERAGE(OFFSET($H$3,0,0,'Données projet'!$E$10+1,1))</f>
        <v>318.85992789434766</v>
      </c>
      <c r="AO12" s="59">
        <f t="shared" si="36"/>
        <v>285.79375360040717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4.3352272727272725</v>
      </c>
      <c r="N13" s="13">
        <f>IF('Données projet'!$A$36&gt;35,N12+M13-V12,IF(A13&lt;'Données projet'!$A$36,$K$205^A13,IF(A13='Données projet'!$A$36,'Données projet'!$B$36,N12+M13-V12)))</f>
        <v>43.352272727272727</v>
      </c>
      <c r="O13" s="13">
        <f>N13*VLOOKUP('Données projet'!$B$9,Paramètres!$A$1:$I$89,3,0)*VLOOKUP('Données projet'!$B$9,Paramètres!$A$1:$I$89,5,0)</f>
        <v>43.959204545454547</v>
      </c>
      <c r="P13" s="13">
        <f t="shared" si="33"/>
        <v>13.042201039194156</v>
      </c>
      <c r="Q13" s="20">
        <f t="shared" si="2"/>
        <v>99.277448059929824</v>
      </c>
      <c r="R13" s="59">
        <f t="shared" si="0"/>
        <v>392.61078139326315</v>
      </c>
      <c r="S13" s="59">
        <f ca="1">AVERAGE(OFFSET($R$3,0,0,'Données projet'!$E$9+1,1))-AVERAGE(OFFSET($H$3,0,0,'Données projet'!$E$9+1,1))</f>
        <v>369.23716180779473</v>
      </c>
      <c r="T13" s="59">
        <f t="shared" si="34"/>
        <v>256.03115836031884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9.2928571428571427</v>
      </c>
      <c r="AI13" s="13">
        <f>IF('Données projet'!$A$62&gt;35,AI12+AH13-AQ12,IF(A13&lt;'Données projet'!$A$62,$AF$205^A13,IF(A13='Données projet'!$A$62,'Données projet'!$B$62,AI12+AH13-AQ12)))</f>
        <v>12.321162720281352</v>
      </c>
      <c r="AJ13" s="13">
        <f>AI13*VLOOKUP('Données projet'!$B$10,Paramètres!$A$1:$I$89,3,0)*VLOOKUP('Données projet'!$B$10,Paramètres!$A$1:$I$89,5,0)</f>
        <v>6.8875299606372762</v>
      </c>
      <c r="AK13" s="13">
        <f t="shared" si="35"/>
        <v>2.5355079370654359</v>
      </c>
      <c r="AL13" s="20">
        <f t="shared" si="4"/>
        <v>16.411791005165558</v>
      </c>
      <c r="AM13" s="59">
        <f t="shared" si="5"/>
        <v>309.7451243384989</v>
      </c>
      <c r="AN13" s="59">
        <f ca="1">AVERAGE(OFFSET($AM$3,0,0,'Données projet'!$E$10+1,1))-AVERAGE(OFFSET($H$3,0,0,'Données projet'!$E$10+1,1))</f>
        <v>318.85992789434766</v>
      </c>
      <c r="AO13" s="59">
        <f t="shared" si="36"/>
        <v>285.79375360040717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4.3352272727272725</v>
      </c>
      <c r="N14" s="13">
        <f>IF('Données projet'!$A$36&gt;35,N13+M14-V13,IF(A14&lt;'Données projet'!$A$36,$K$205^A14,IF(A14='Données projet'!$A$36,'Données projet'!$B$36,N13+M14-V13)))</f>
        <v>47.6875</v>
      </c>
      <c r="O14" s="13">
        <f>N14*VLOOKUP('Données projet'!$B$9,Paramètres!$A$1:$I$89,3,0)*VLOOKUP('Données projet'!$B$9,Paramètres!$A$1:$I$89,5,0)</f>
        <v>48.355125000000001</v>
      </c>
      <c r="P14" s="13">
        <f t="shared" si="33"/>
        <v>14.188140058495547</v>
      </c>
      <c r="Q14" s="20">
        <f t="shared" si="2"/>
        <v>108.92951997687975</v>
      </c>
      <c r="R14" s="59">
        <f t="shared" si="0"/>
        <v>402.26285331021307</v>
      </c>
      <c r="S14" s="59">
        <f ca="1">AVERAGE(OFFSET($R$3,0,0,'Données projet'!$E$9+1,1))-AVERAGE(OFFSET($H$3,0,0,'Données projet'!$E$9+1,1))</f>
        <v>369.23716180779473</v>
      </c>
      <c r="T14" s="59">
        <f t="shared" si="34"/>
        <v>256.03115836031884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9.2928571428571427</v>
      </c>
      <c r="AI14" s="13">
        <f>IF('Données projet'!$A$62&gt;35,AI13+AH14-AQ13,IF(A14&lt;'Données projet'!$A$62,$AF$205^A14,IF(A14='Données projet'!$A$62,'Données projet'!$B$62,AI13+AH14-AQ13)))</f>
        <v>15.838602608402494</v>
      </c>
      <c r="AJ14" s="13">
        <f>AI14*VLOOKUP('Données projet'!$B$10,Paramètres!$A$1:$I$89,3,0)*VLOOKUP('Données projet'!$B$10,Paramètres!$A$1:$I$89,5,0)</f>
        <v>8.8537788580969945</v>
      </c>
      <c r="AK14" s="13">
        <f t="shared" si="35"/>
        <v>3.1654463556314143</v>
      </c>
      <c r="AL14" s="20">
        <f t="shared" si="4"/>
        <v>20.933483913910308</v>
      </c>
      <c r="AM14" s="59">
        <f t="shared" si="5"/>
        <v>314.26681724724364</v>
      </c>
      <c r="AN14" s="59">
        <f ca="1">AVERAGE(OFFSET($AM$3,0,0,'Données projet'!$E$10+1,1))-AVERAGE(OFFSET($H$3,0,0,'Données projet'!$E$10+1,1))</f>
        <v>318.85992789434766</v>
      </c>
      <c r="AO14" s="59">
        <f t="shared" si="36"/>
        <v>285.79375360040717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4.3352272727272725</v>
      </c>
      <c r="N15" s="13">
        <f>IF('Données projet'!$A$36&gt;35,N14+M15-V14,IF(A15&lt;'Données projet'!$A$36,$K$205^A15,IF(A15='Données projet'!$A$36,'Données projet'!$B$36,N14+M15-V14)))</f>
        <v>52.022727272727273</v>
      </c>
      <c r="O15" s="13">
        <f>N15*VLOOKUP('Données projet'!$B$9,Paramètres!$A$1:$I$89,3,0)*VLOOKUP('Données projet'!$B$9,Paramètres!$A$1:$I$89,5,0)</f>
        <v>52.751045454545462</v>
      </c>
      <c r="P15" s="13">
        <f t="shared" si="33"/>
        <v>15.321999342572898</v>
      </c>
      <c r="Q15" s="20">
        <f t="shared" si="2"/>
        <v>118.56055302164781</v>
      </c>
      <c r="R15" s="59">
        <f t="shared" si="0"/>
        <v>411.89388635498113</v>
      </c>
      <c r="S15" s="59">
        <f ca="1">AVERAGE(OFFSET($R$3,0,0,'Données projet'!$E$9+1,1))-AVERAGE(OFFSET($H$3,0,0,'Données projet'!$E$9+1,1))</f>
        <v>369.23716180779473</v>
      </c>
      <c r="T15" s="59">
        <f t="shared" si="34"/>
        <v>256.03115836031884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9.2928571428571427</v>
      </c>
      <c r="AI15" s="13">
        <f>IF('Données projet'!$A$62&gt;35,AI14+AH15-AQ14,IF(A15&lt;'Données projet'!$A$62,$AF$205^A15,IF(A15='Données projet'!$A$62,'Données projet'!$B$62,AI14+AH15-AQ14)))</f>
        <v>20.360199624176857</v>
      </c>
      <c r="AJ15" s="13">
        <f>AI15*VLOOKUP('Données projet'!$B$10,Paramètres!$A$1:$I$89,3,0)*VLOOKUP('Données projet'!$B$10,Paramètres!$A$1:$I$89,5,0)</f>
        <v>11.381351589914864</v>
      </c>
      <c r="AK15" s="13">
        <f t="shared" si="35"/>
        <v>3.9518908554383323</v>
      </c>
      <c r="AL15" s="20">
        <f t="shared" si="4"/>
        <v>26.705397258990146</v>
      </c>
      <c r="AM15" s="59">
        <f t="shared" si="5"/>
        <v>320.03873059232347</v>
      </c>
      <c r="AN15" s="59">
        <f ca="1">AVERAGE(OFFSET($AM$3,0,0,'Données projet'!$E$10+1,1))-AVERAGE(OFFSET($H$3,0,0,'Données projet'!$E$10+1,1))</f>
        <v>318.85992789434766</v>
      </c>
      <c r="AO15" s="59">
        <f t="shared" si="36"/>
        <v>285.79375360040717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4.3352272727272725</v>
      </c>
      <c r="N16" s="13">
        <f>IF('Données projet'!$A$36&gt;35,N15+M16-V15,IF(A16&lt;'Données projet'!$A$36,$K$205^A16,IF(A16='Données projet'!$A$36,'Données projet'!$B$36,N15+M16-V15)))</f>
        <v>56.357954545454547</v>
      </c>
      <c r="O16" s="13">
        <f>N16*VLOOKUP('Données projet'!$B$9,Paramètres!$A$1:$I$89,3,0)*VLOOKUP('Données projet'!$B$9,Paramètres!$A$1:$I$89,5,0)</f>
        <v>57.146965909090909</v>
      </c>
      <c r="P16" s="13">
        <f t="shared" si="33"/>
        <v>16.444899982579656</v>
      </c>
      <c r="Q16" s="20">
        <f t="shared" si="2"/>
        <v>128.17249976132624</v>
      </c>
      <c r="R16" s="59">
        <f t="shared" si="0"/>
        <v>421.50583309465958</v>
      </c>
      <c r="S16" s="59">
        <f ca="1">AVERAGE(OFFSET($R$3,0,0,'Données projet'!$E$9+1,1))-AVERAGE(OFFSET($H$3,0,0,'Données projet'!$E$9+1,1))</f>
        <v>369.23716180779473</v>
      </c>
      <c r="T16" s="59">
        <f t="shared" si="34"/>
        <v>256.03115836031884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9.2928571428571427</v>
      </c>
      <c r="AI16" s="13">
        <f>IF('Données projet'!$A$62&gt;35,AI15+AH16-AQ15,IF(A16&lt;'Données projet'!$A$62,$AF$205^A16,IF(A16='Données projet'!$A$62,'Données projet'!$B$62,AI15+AH16-AQ15)))</f>
        <v>26.172620084325885</v>
      </c>
      <c r="AJ16" s="13">
        <f>AI16*VLOOKUP('Données projet'!$B$10,Paramètres!$A$1:$I$89,3,0)*VLOOKUP('Données projet'!$B$10,Paramètres!$A$1:$I$89,5,0)</f>
        <v>14.63049462713817</v>
      </c>
      <c r="AK16" s="13">
        <f t="shared" si="35"/>
        <v>4.9337248459489009</v>
      </c>
      <c r="AL16" s="20">
        <f t="shared" si="4"/>
        <v>34.074348915626643</v>
      </c>
      <c r="AM16" s="59">
        <f t="shared" si="5"/>
        <v>327.40768224895999</v>
      </c>
      <c r="AN16" s="59">
        <f ca="1">AVERAGE(OFFSET($AM$3,0,0,'Données projet'!$E$10+1,1))-AVERAGE(OFFSET($H$3,0,0,'Données projet'!$E$10+1,1))</f>
        <v>318.85992789434766</v>
      </c>
      <c r="AO16" s="59">
        <f t="shared" si="36"/>
        <v>285.79375360040717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4.3352272727272725</v>
      </c>
      <c r="N17" s="13">
        <f>IF('Données projet'!$A$36&gt;35,N16+M17-V16,IF(A17&lt;'Données projet'!$A$36,$K$205^A17,IF(A17='Données projet'!$A$36,'Données projet'!$B$36,N16+M17-V16)))</f>
        <v>60.69318181818182</v>
      </c>
      <c r="O17" s="13">
        <f>N17*VLOOKUP('Données projet'!$B$9,Paramètres!$A$1:$I$89,3,0)*VLOOKUP('Données projet'!$B$9,Paramètres!$A$1:$I$89,5,0)</f>
        <v>61.54288636363637</v>
      </c>
      <c r="P17" s="13">
        <f t="shared" si="33"/>
        <v>17.557780796385483</v>
      </c>
      <c r="Q17" s="20">
        <f t="shared" si="2"/>
        <v>137.7669953037047</v>
      </c>
      <c r="R17" s="59">
        <f t="shared" si="0"/>
        <v>431.10032863703805</v>
      </c>
      <c r="S17" s="59">
        <f ca="1">AVERAGE(OFFSET($R$3,0,0,'Données projet'!$E$9+1,1))-AVERAGE(OFFSET($H$3,0,0,'Données projet'!$E$9+1,1))</f>
        <v>369.23716180779473</v>
      </c>
      <c r="T17" s="59">
        <f t="shared" si="34"/>
        <v>256.03115836031884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9.2928571428571427</v>
      </c>
      <c r="AI17" s="13">
        <f>IF('Données projet'!$A$62&gt;35,AI16+AH17-AQ16,IF(A17&lt;'Données projet'!$A$62,$AF$205^A17,IF(A17='Données projet'!$A$62,'Données projet'!$B$62,AI16+AH17-AQ16)))</f>
        <v>33.64436767432494</v>
      </c>
      <c r="AJ17" s="13">
        <f>AI17*VLOOKUP('Données projet'!$B$10,Paramètres!$A$1:$I$89,3,0)*VLOOKUP('Données projet'!$B$10,Paramètres!$A$1:$I$89,5,0)</f>
        <v>18.80720152994764</v>
      </c>
      <c r="AK17" s="13">
        <f t="shared" si="35"/>
        <v>6.1594921889191685</v>
      </c>
      <c r="AL17" s="20">
        <f t="shared" si="4"/>
        <v>43.483658227026353</v>
      </c>
      <c r="AM17" s="59">
        <f t="shared" si="5"/>
        <v>336.81699156035967</v>
      </c>
      <c r="AN17" s="59">
        <f ca="1">AVERAGE(OFFSET($AM$3,0,0,'Données projet'!$E$10+1,1))-AVERAGE(OFFSET($H$3,0,0,'Données projet'!$E$10+1,1))</f>
        <v>318.85992789434766</v>
      </c>
      <c r="AO17" s="59">
        <f t="shared" si="36"/>
        <v>285.79375360040717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4.3352272727272725</v>
      </c>
      <c r="N18" s="13">
        <f>IF('Données projet'!$A$36&gt;35,N17+M18-V17,IF(A18&lt;'Données projet'!$A$36,$K$205^A18,IF(A18='Données projet'!$A$36,'Données projet'!$B$36,N17+M18-V17)))</f>
        <v>65.028409090909093</v>
      </c>
      <c r="O18" s="13">
        <f>N18*VLOOKUP('Données projet'!$B$9,Paramètres!$A$1:$I$89,3,0)*VLOOKUP('Données projet'!$B$9,Paramètres!$A$1:$I$89,5,0)</f>
        <v>65.938806818181831</v>
      </c>
      <c r="P18" s="13">
        <f t="shared" si="33"/>
        <v>18.66143888532887</v>
      </c>
      <c r="Q18" s="20">
        <f t="shared" si="2"/>
        <v>147.34542793361445</v>
      </c>
      <c r="R18" s="59">
        <f t="shared" si="0"/>
        <v>440.67876126694773</v>
      </c>
      <c r="S18" s="59">
        <f ca="1">AVERAGE(OFFSET($R$3,0,0,'Données projet'!$E$9+1,1))-AVERAGE(OFFSET($H$3,0,0,'Données projet'!$E$9+1,1))</f>
        <v>369.23716180779473</v>
      </c>
      <c r="T18" s="59">
        <f t="shared" si="34"/>
        <v>256.03115836031884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9.2928571428571427</v>
      </c>
      <c r="AI18" s="13">
        <f>IF('Données projet'!$A$62&gt;35,AI17+AH18-AQ17,IF(A18&lt;'Données projet'!$A$62,$AF$205^A18,IF(A18='Données projet'!$A$62,'Données projet'!$B$62,AI17+AH18-AQ17)))</f>
        <v>43.249146342939241</v>
      </c>
      <c r="AJ18" s="13">
        <f>AI18*VLOOKUP('Données projet'!$B$10,Paramètres!$A$1:$I$89,3,0)*VLOOKUP('Données projet'!$B$10,Paramètres!$A$1:$I$89,5,0)</f>
        <v>24.176272805703039</v>
      </c>
      <c r="AK18" s="13">
        <f t="shared" si="35"/>
        <v>7.6897973052770441</v>
      </c>
      <c r="AL18" s="20">
        <f t="shared" si="4"/>
        <v>55.500072109956967</v>
      </c>
      <c r="AM18" s="59">
        <f t="shared" si="5"/>
        <v>348.8334054432903</v>
      </c>
      <c r="AN18" s="59">
        <f ca="1">AVERAGE(OFFSET($AM$3,0,0,'Données projet'!$E$10+1,1))-AVERAGE(OFFSET($H$3,0,0,'Données projet'!$E$10+1,1))</f>
        <v>318.85992789434766</v>
      </c>
      <c r="AO18" s="59">
        <f t="shared" si="36"/>
        <v>285.79375360040717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4.3352272727272725</v>
      </c>
      <c r="N19" s="13">
        <f>IF('Données projet'!$A$36&gt;35,N18+M19-V18,IF(A19&lt;'Données projet'!$A$36,$K$205^A19,IF(A19='Données projet'!$A$36,'Données projet'!$B$36,N18+M19-V18)))</f>
        <v>69.36363636363636</v>
      </c>
      <c r="O19" s="13">
        <f>N19*VLOOKUP('Données projet'!$B$9,Paramètres!$A$1:$I$89,3,0)*VLOOKUP('Données projet'!$B$9,Paramètres!$A$1:$I$89,5,0)</f>
        <v>70.334727272727278</v>
      </c>
      <c r="P19" s="13">
        <f t="shared" si="33"/>
        <v>19.756559057809525</v>
      </c>
      <c r="Q19" s="20">
        <f t="shared" si="2"/>
        <v>156.90899035901828</v>
      </c>
      <c r="R19" s="59">
        <f t="shared" si="0"/>
        <v>450.24232369235159</v>
      </c>
      <c r="S19" s="59">
        <f ca="1">AVERAGE(OFFSET($R$3,0,0,'Données projet'!$E$9+1,1))-AVERAGE(OFFSET($H$3,0,0,'Données projet'!$E$9+1,1))</f>
        <v>369.23716180779473</v>
      </c>
      <c r="T19" s="59">
        <f t="shared" si="34"/>
        <v>256.03115836031884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9.2928571428571427</v>
      </c>
      <c r="AI19" s="13">
        <f>IF('Données projet'!$A$62&gt;35,AI18+AH19-AQ18,IF(A19&lt;'Données projet'!$A$62,$AF$205^A19,IF(A19='Données projet'!$A$62,'Données projet'!$B$62,AI18+AH19-AQ18)))</f>
        <v>55.595892825187576</v>
      </c>
      <c r="AJ19" s="13">
        <f>AI19*VLOOKUP('Données projet'!$B$10,Paramètres!$A$1:$I$89,3,0)*VLOOKUP('Données projet'!$B$10,Paramètres!$A$1:$I$89,5,0)</f>
        <v>31.078104089279854</v>
      </c>
      <c r="AK19" s="13">
        <f t="shared" si="35"/>
        <v>9.6003015804818173</v>
      </c>
      <c r="AL19" s="20">
        <f t="shared" si="4"/>
        <v>70.84822320816825</v>
      </c>
      <c r="AM19" s="59">
        <f t="shared" si="5"/>
        <v>364.18155654150155</v>
      </c>
      <c r="AN19" s="59">
        <f ca="1">AVERAGE(OFFSET($AM$3,0,0,'Données projet'!$E$10+1,1))-AVERAGE(OFFSET($H$3,0,0,'Données projet'!$E$10+1,1))</f>
        <v>318.85992789434766</v>
      </c>
      <c r="AO19" s="59">
        <f t="shared" si="36"/>
        <v>285.79375360040717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4.3352272727272725</v>
      </c>
      <c r="N20" s="13">
        <f>IF('Données projet'!$A$36&gt;35,N19+M20-V19,IF(A20&lt;'Données projet'!$A$36,$K$205^A20,IF(A20='Données projet'!$A$36,'Données projet'!$B$36,N19+M20-V19)))</f>
        <v>73.698863636363626</v>
      </c>
      <c r="O20" s="13">
        <f>N20*VLOOKUP('Données projet'!$B$9,Paramètres!$A$1:$I$89,3,0)*VLOOKUP('Données projet'!$B$9,Paramètres!$A$1:$I$89,5,0)</f>
        <v>74.730647727272725</v>
      </c>
      <c r="P20" s="13">
        <f t="shared" si="33"/>
        <v>20.843735682990228</v>
      </c>
      <c r="Q20" s="20">
        <f t="shared" si="2"/>
        <v>166.45871777287462</v>
      </c>
      <c r="R20" s="59">
        <f t="shared" si="0"/>
        <v>459.79205110620796</v>
      </c>
      <c r="S20" s="59">
        <f ca="1">AVERAGE(OFFSET($R$3,0,0,'Données projet'!$E$9+1,1))-AVERAGE(OFFSET($H$3,0,0,'Données projet'!$E$9+1,1))</f>
        <v>369.23716180779473</v>
      </c>
      <c r="T20" s="59">
        <f t="shared" si="34"/>
        <v>256.03115836031884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9.2928571428571427</v>
      </c>
      <c r="AI20" s="13">
        <f>IF('Données projet'!$A$62&gt;35,AI19+AH20-AQ19,IF(A20&lt;'Données projet'!$A$62,$AF$205^A20,IF(A20='Données projet'!$A$62,'Données projet'!$B$62,AI19+AH20-AQ19)))</f>
        <v>71.467382836201523</v>
      </c>
      <c r="AJ20" s="13">
        <f>AI20*VLOOKUP('Données projet'!$B$10,Paramètres!$A$1:$I$89,3,0)*VLOOKUP('Données projet'!$B$10,Paramètres!$A$1:$I$89,5,0)</f>
        <v>39.95026700543665</v>
      </c>
      <c r="AK20" s="13">
        <f t="shared" si="35"/>
        <v>11.985464216716585</v>
      </c>
      <c r="AL20" s="20">
        <f t="shared" si="4"/>
        <v>90.454731878583559</v>
      </c>
      <c r="AM20" s="59">
        <f t="shared" si="5"/>
        <v>383.78806521191689</v>
      </c>
      <c r="AN20" s="59">
        <f ca="1">AVERAGE(OFFSET($AM$3,0,0,'Données projet'!$E$10+1,1))-AVERAGE(OFFSET($H$3,0,0,'Données projet'!$E$10+1,1))</f>
        <v>318.85992789434766</v>
      </c>
      <c r="AO20" s="59">
        <f t="shared" si="36"/>
        <v>285.79375360040717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4.3352272727272725</v>
      </c>
      <c r="N21" s="13">
        <f>IF('Données projet'!$A$36&gt;35,N20+M21-V20,IF(A21&lt;'Données projet'!$A$36,$K$205^A21,IF(A21='Données projet'!$A$36,'Données projet'!$B$36,N20+M21-V20)))</f>
        <v>78.034090909090892</v>
      </c>
      <c r="O21" s="13">
        <f>N21*VLOOKUP('Données projet'!$B$9,Paramètres!$A$1:$I$89,3,0)*VLOOKUP('Données projet'!$B$9,Paramètres!$A$1:$I$89,5,0)</f>
        <v>79.126568181818172</v>
      </c>
      <c r="P21" s="13">
        <f t="shared" si="33"/>
        <v>21.923489254091429</v>
      </c>
      <c r="Q21" s="20">
        <f t="shared" si="2"/>
        <v>175.99551670087587</v>
      </c>
      <c r="R21" s="59">
        <f t="shared" si="0"/>
        <v>469.32885003420915</v>
      </c>
      <c r="S21" s="59">
        <f ca="1">AVERAGE(OFFSET($R$3,0,0,'Données projet'!$E$9+1,1))-AVERAGE(OFFSET($H$3,0,0,'Données projet'!$E$9+1,1))</f>
        <v>369.23716180779473</v>
      </c>
      <c r="T21" s="59">
        <f t="shared" si="34"/>
        <v>256.03115836031884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9.2928571428571427</v>
      </c>
      <c r="AI21" s="13">
        <f>IF('Données projet'!$A$62&gt;35,AI20+AH21-AQ20,IF(A21&lt;'Données projet'!$A$62,$AF$205^A21,IF(A21='Données projet'!$A$62,'Données projet'!$B$62,AI20+AH21-AQ20)))</f>
        <v>91.869858543619102</v>
      </c>
      <c r="AJ21" s="13">
        <f>AI21*VLOOKUP('Données projet'!$B$10,Paramètres!$A$1:$I$89,3,0)*VLOOKUP('Données projet'!$B$10,Paramètres!$A$1:$I$89,5,0)</f>
        <v>51.355250925883077</v>
      </c>
      <c r="AK21" s="13">
        <f t="shared" si="35"/>
        <v>14.963212487225249</v>
      </c>
      <c r="AL21" s="20">
        <f t="shared" si="4"/>
        <v>115.50465711116368</v>
      </c>
      <c r="AM21" s="59">
        <f t="shared" si="5"/>
        <v>408.837990444497</v>
      </c>
      <c r="AN21" s="59">
        <f ca="1">AVERAGE(OFFSET($AM$3,0,0,'Données projet'!$E$10+1,1))-AVERAGE(OFFSET($H$3,0,0,'Données projet'!$E$10+1,1))</f>
        <v>318.85992789434766</v>
      </c>
      <c r="AO21" s="59">
        <f t="shared" si="36"/>
        <v>285.79375360040717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4.3352272727272725</v>
      </c>
      <c r="N22" s="13">
        <f>IF('Données projet'!$A$36&gt;35,N21+M22-V21,IF(A22&lt;'Données projet'!$A$36,$K$205^A22,IF(A22='Données projet'!$A$36,'Données projet'!$B$36,N21+M22-V21)))</f>
        <v>82.369318181818159</v>
      </c>
      <c r="O22" s="13">
        <f>N22*VLOOKUP('Données projet'!$B$9,Paramètres!$A$1:$I$89,3,0)*VLOOKUP('Données projet'!$B$9,Paramètres!$A$1:$I$89,5,0)</f>
        <v>83.522488636363619</v>
      </c>
      <c r="P22" s="13">
        <f t="shared" si="33"/>
        <v>22.99627916543033</v>
      </c>
      <c r="Q22" s="20">
        <f t="shared" si="2"/>
        <v>185.52018725479113</v>
      </c>
      <c r="R22" s="59">
        <f t="shared" si="0"/>
        <v>478.85352058812441</v>
      </c>
      <c r="S22" s="59">
        <f ca="1">AVERAGE(OFFSET($R$3,0,0,'Données projet'!$E$9+1,1))-AVERAGE(OFFSET($H$3,0,0,'Données projet'!$E$9+1,1))</f>
        <v>369.23716180779473</v>
      </c>
      <c r="T22" s="59">
        <f t="shared" si="34"/>
        <v>256.03115836031884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9.2928571428571427</v>
      </c>
      <c r="AI22" s="13">
        <f>IF('Données projet'!$A$62&gt;35,AI21+AH22-AQ21,IF(A22&lt;'Données projet'!$A$62,$AF$205^A22,IF(A22='Données projet'!$A$62,'Données projet'!$B$62,AI21+AH22-AQ21)))</f>
        <v>118.09682366805939</v>
      </c>
      <c r="AJ22" s="13">
        <f>AI22*VLOOKUP('Données projet'!$B$10,Paramètres!$A$1:$I$89,3,0)*VLOOKUP('Données projet'!$B$10,Paramètres!$A$1:$I$89,5,0)</f>
        <v>66.016124430445203</v>
      </c>
      <c r="AK22" s="13">
        <f t="shared" si="35"/>
        <v>18.68077229963064</v>
      </c>
      <c r="AL22" s="20">
        <f t="shared" si="4"/>
        <v>147.51376180488208</v>
      </c>
      <c r="AM22" s="59">
        <f t="shared" si="5"/>
        <v>440.84709513821542</v>
      </c>
      <c r="AN22" s="59">
        <f ca="1">AVERAGE(OFFSET($AM$3,0,0,'Données projet'!$E$10+1,1))-AVERAGE(OFFSET($H$3,0,0,'Données projet'!$E$10+1,1))</f>
        <v>318.85992789434766</v>
      </c>
      <c r="AO22" s="59">
        <f t="shared" si="36"/>
        <v>285.79375360040717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4.3352272727272725</v>
      </c>
      <c r="N23" s="13">
        <f>IF('Données projet'!$A$36&gt;35,N22+M23-V22,IF(A23&lt;'Données projet'!$A$36,$K$205^A23,IF(A23='Données projet'!$A$36,'Données projet'!$B$36,N22+M23-V22)))</f>
        <v>86.704545454545425</v>
      </c>
      <c r="O23" s="13">
        <f>N23*VLOOKUP('Données projet'!$B$9,Paramètres!$A$1:$I$89,3,0)*VLOOKUP('Données projet'!$B$9,Paramètres!$A$1:$I$89,5,0)</f>
        <v>87.918409090909066</v>
      </c>
      <c r="P23" s="13">
        <f t="shared" si="33"/>
        <v>24.062513722820214</v>
      </c>
      <c r="Q23" s="20">
        <f t="shared" si="2"/>
        <v>195.03344056724515</v>
      </c>
      <c r="R23" s="59">
        <f t="shared" si="0"/>
        <v>488.36677390057844</v>
      </c>
      <c r="S23" s="59">
        <f ca="1">AVERAGE(OFFSET($R$3,0,0,'Données projet'!$E$9+1,1))-AVERAGE(OFFSET($H$3,0,0,'Données projet'!$E$9+1,1))</f>
        <v>369.23716180779473</v>
      </c>
      <c r="T23" s="59">
        <f t="shared" si="34"/>
        <v>256.03115836031884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9.2928571428571427</v>
      </c>
      <c r="AI23" s="13">
        <f>IF('Données projet'!$A$62&gt;35,AI22+AH23-AQ22,IF(A23&lt;'Données projet'!$A$62,$AF$205^A23,IF(A23='Données projet'!$A$62,'Données projet'!$B$62,AI22+AH23-AQ22)))</f>
        <v>151.81105077965097</v>
      </c>
      <c r="AJ23" s="13">
        <f>AI23*VLOOKUP('Données projet'!$B$10,Paramètres!$A$1:$I$89,3,0)*VLOOKUP('Données projet'!$B$10,Paramètres!$A$1:$I$89,5,0)</f>
        <v>84.8623773858249</v>
      </c>
      <c r="AK23" s="13">
        <f t="shared" si="35"/>
        <v>23.321947343097605</v>
      </c>
      <c r="AL23" s="20">
        <f t="shared" si="4"/>
        <v>188.42103223620668</v>
      </c>
      <c r="AM23" s="59">
        <f t="shared" si="5"/>
        <v>481.75436556954003</v>
      </c>
      <c r="AN23" s="59">
        <f ca="1">AVERAGE(OFFSET($AM$3,0,0,'Données projet'!$E$10+1,1))-AVERAGE(OFFSET($H$3,0,0,'Données projet'!$E$10+1,1))</f>
        <v>318.85992789434766</v>
      </c>
      <c r="AO23" s="59">
        <f t="shared" si="36"/>
        <v>285.79375360040717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4.3352272727272725</v>
      </c>
      <c r="N24" s="13">
        <f>IF('Données projet'!$A$36&gt;35,N23+M24-V23,IF(A24&lt;'Données projet'!$A$36,$K$205^A24,IF(A24='Données projet'!$A$36,'Données projet'!$B$36,N23+M24-V23)))</f>
        <v>91.039772727272691</v>
      </c>
      <c r="O24" s="13">
        <f>N24*VLOOKUP('Données projet'!$B$9,Paramètres!$A$1:$I$89,3,0)*VLOOKUP('Données projet'!$B$9,Paramètres!$A$1:$I$89,5,0)</f>
        <v>92.314329545454513</v>
      </c>
      <c r="P24" s="13">
        <f t="shared" si="33"/>
        <v>25.122558094994151</v>
      </c>
      <c r="Q24" s="20">
        <f t="shared" si="2"/>
        <v>204.53591264044806</v>
      </c>
      <c r="R24" s="59">
        <f t="shared" si="0"/>
        <v>497.8692459737814</v>
      </c>
      <c r="S24" s="59">
        <f ca="1">AVERAGE(OFFSET($R$3,0,0,'Données projet'!$E$9+1,1))-AVERAGE(OFFSET($H$3,0,0,'Données projet'!$E$9+1,1))</f>
        <v>369.23716180779473</v>
      </c>
      <c r="T24" s="59">
        <f t="shared" si="34"/>
        <v>256.03115836031884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195.15</v>
      </c>
      <c r="AG24" s="12">
        <f>VLOOKUP(A24,'Données projet'!$A$61:$I$81,9,0)</f>
        <v>9.2928571428571427</v>
      </c>
      <c r="AH24" s="12">
        <f t="array" ref="AH24">INDEX(AG:AG,MIN(IF(ISNUMBER(AG24:AG220),ROW(AG24:AG220),"")))</f>
        <v>9.2928571428571427</v>
      </c>
      <c r="AI24" s="13">
        <f>IF('Données projet'!$A$62&gt;35,AI23+AH24-AQ23,IF(A24&lt;'Données projet'!$A$62,$AF$205^A24,IF(A24='Données projet'!$A$62,'Données projet'!$B$62,AI23+AH24-AQ23)))</f>
        <v>195.15</v>
      </c>
      <c r="AJ24" s="13">
        <f>AI24*VLOOKUP('Données projet'!$B$10,Paramètres!$A$1:$I$89,3,0)*VLOOKUP('Données projet'!$B$10,Paramètres!$A$1:$I$89,5,0)</f>
        <v>109.08885000000001</v>
      </c>
      <c r="AK24" s="13">
        <f t="shared" si="35"/>
        <v>29.116206715124498</v>
      </c>
      <c r="AL24" s="20">
        <f t="shared" si="4"/>
        <v>240.70714044550846</v>
      </c>
      <c r="AM24" s="59">
        <f t="shared" si="5"/>
        <v>534.04047377884172</v>
      </c>
      <c r="AN24" s="59">
        <f ca="1">AVERAGE(OFFSET($AM$3,0,0,'Données projet'!$E$10+1,1))-AVERAGE(OFFSET($H$3,0,0,'Données projet'!$E$10+1,1))</f>
        <v>318.85992789434766</v>
      </c>
      <c r="AO24" s="59">
        <f t="shared" si="36"/>
        <v>285.79375360040717</v>
      </c>
      <c r="AP24" s="15">
        <f>IF(ISNA(VLOOKUP(A24,'Données projet'!$A$61:$I$81,3,0)),0,VLOOKUP(A24,'Données projet'!$A$61:$I$81,3,0))</f>
        <v>1</v>
      </c>
      <c r="AQ24" s="15">
        <f>IF(ISNA(VLOOKUP(A24,'Données projet'!$A$61:$I$81,4,0)),0,VLOOKUP(A24,'Données projet'!$A$61:$I$81,4,0))</f>
        <v>64.58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0.30800000000000005</v>
      </c>
      <c r="AT24" s="16">
        <f>IF(ISNA(VLOOKUP(A24,'Données projet'!$A$61:$I$81,7,0)),0%,VLOOKUP(A24,'Données projet'!$A$61:$I$81,7,0))</f>
        <v>0.44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14.691818799347127</v>
      </c>
      <c r="AW24" s="21">
        <f>EXP(-LN(2)/2)*AW23+(1-EXP(-LN(2)/2))/(LN(2)/2)*AQ24*AT24*VLOOKUP('Données projet'!$B$10,Paramètres!$A$1:$I$89,3,0)*0.475*44/12</f>
        <v>17.984487413996785</v>
      </c>
      <c r="AX24" s="21">
        <f t="shared" si="6"/>
        <v>32.676306213343913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4.3352272727272725</v>
      </c>
      <c r="N25" s="13">
        <f>IF('Données projet'!$A$36&gt;35,N24+M25-V24,IF(A25&lt;'Données projet'!$A$36,$K$205^A25,IF(A25='Données projet'!$A$36,'Données projet'!$B$36,N24+M25-V24)))</f>
        <v>95.374999999999957</v>
      </c>
      <c r="O25" s="13">
        <f>N25*VLOOKUP('Données projet'!$B$9,Paramètres!$A$1:$I$89,3,0)*VLOOKUP('Données projet'!$B$9,Paramètres!$A$1:$I$89,5,0)</f>
        <v>96.710249999999974</v>
      </c>
      <c r="P25" s="13">
        <f t="shared" si="33"/>
        <v>26.176740707559155</v>
      </c>
      <c r="Q25" s="20">
        <f t="shared" si="2"/>
        <v>214.02817548233216</v>
      </c>
      <c r="R25" s="59">
        <f t="shared" si="0"/>
        <v>507.3615088156655</v>
      </c>
      <c r="S25" s="59">
        <f ca="1">AVERAGE(OFFSET($R$3,0,0,'Données projet'!$E$9+1,1))-AVERAGE(OFFSET($H$3,0,0,'Données projet'!$E$9+1,1))</f>
        <v>369.23716180779473</v>
      </c>
      <c r="T25" s="59">
        <f t="shared" si="34"/>
        <v>256.03115836031884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21.612857142857145</v>
      </c>
      <c r="AI25" s="13">
        <f>IF('Données projet'!$A$62&gt;35,AI24+AH25-AQ24,IF(A25&lt;'Données projet'!$A$62,$AF$205^A25,IF(A25='Données projet'!$A$62,'Données projet'!$B$62,AI24+AH25-AQ24)))</f>
        <v>152.18285714285713</v>
      </c>
      <c r="AJ25" s="13">
        <f>AI25*VLOOKUP('Données projet'!$B$10,Paramètres!$A$1:$I$89,3,0)*VLOOKUP('Données projet'!$B$10,Paramètres!$A$1:$I$89,5,0)</f>
        <v>85.070217142857146</v>
      </c>
      <c r="AK25" s="13">
        <f t="shared" si="35"/>
        <v>23.372410230575955</v>
      </c>
      <c r="AL25" s="20">
        <f t="shared" si="4"/>
        <v>188.87090934206265</v>
      </c>
      <c r="AM25" s="59">
        <f t="shared" si="5"/>
        <v>482.20424267539596</v>
      </c>
      <c r="AN25" s="59">
        <f ca="1">AVERAGE(OFFSET($AM$3,0,0,'Données projet'!$E$10+1,1))-AVERAGE(OFFSET($H$3,0,0,'Données projet'!$E$10+1,1))</f>
        <v>318.85992789434766</v>
      </c>
      <c r="AO25" s="59">
        <f t="shared" si="36"/>
        <v>285.79375360040717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14.290070241669808</v>
      </c>
      <c r="AW25" s="21">
        <f>EXP(-LN(2)/2)*AW24+(1-EXP(-LN(2)/2))/(LN(2)/2)*AQ25*AT25*VLOOKUP('Données projet'!$B$10,Paramètres!$A$1:$I$89,3,0)*0.475*44/12</f>
        <v>12.716953006601244</v>
      </c>
      <c r="AX25" s="21">
        <f t="shared" si="6"/>
        <v>27.007023248271054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4.3352272727272725</v>
      </c>
      <c r="N26" s="13">
        <f>IF('Données projet'!$A$36&gt;35,N25+M26-V25,IF(A26&lt;'Données projet'!$A$36,$K$205^A26,IF(A26='Données projet'!$A$36,'Données projet'!$B$36,N25+M26-V25)))</f>
        <v>99.710227272727224</v>
      </c>
      <c r="O26" s="13">
        <f>N26*VLOOKUP('Données projet'!$B$9,Paramètres!$A$1:$I$89,3,0)*VLOOKUP('Données projet'!$B$9,Paramètres!$A$1:$I$89,5,0)</f>
        <v>101.10617045454542</v>
      </c>
      <c r="P26" s="13">
        <f t="shared" si="33"/>
        <v>27.225358441551219</v>
      </c>
      <c r="Q26" s="20">
        <f t="shared" si="2"/>
        <v>223.51074616070164</v>
      </c>
      <c r="R26" s="59">
        <f t="shared" si="0"/>
        <v>516.84407949403499</v>
      </c>
      <c r="S26" s="59">
        <f ca="1">AVERAGE(OFFSET($R$3,0,0,'Données projet'!$E$9+1,1))-AVERAGE(OFFSET($H$3,0,0,'Données projet'!$E$9+1,1))</f>
        <v>369.23716180779473</v>
      </c>
      <c r="T26" s="59">
        <f t="shared" si="34"/>
        <v>256.03115836031884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21.612857142857145</v>
      </c>
      <c r="AI26" s="13">
        <f>IF('Données projet'!$A$62&gt;35,AI25+AH26-AQ25,IF(A26&lt;'Données projet'!$A$62,$AF$205^A26,IF(A26='Données projet'!$A$62,'Données projet'!$B$62,AI25+AH26-AQ25)))</f>
        <v>173.79571428571427</v>
      </c>
      <c r="AJ26" s="13">
        <f>AI26*VLOOKUP('Données projet'!$B$10,Paramètres!$A$1:$I$89,3,0)*VLOOKUP('Données projet'!$B$10,Paramètres!$A$1:$I$89,5,0)</f>
        <v>97.151804285714277</v>
      </c>
      <c r="AK26" s="13">
        <f t="shared" si="35"/>
        <v>26.282317303127122</v>
      </c>
      <c r="AL26" s="20">
        <f t="shared" si="4"/>
        <v>214.98109510056543</v>
      </c>
      <c r="AM26" s="59">
        <f t="shared" si="5"/>
        <v>508.31442843389874</v>
      </c>
      <c r="AN26" s="59">
        <f ca="1">AVERAGE(OFFSET($AM$3,0,0,'Données projet'!$E$10+1,1))-AVERAGE(OFFSET($H$3,0,0,'Données projet'!$E$10+1,1))</f>
        <v>318.85992789434766</v>
      </c>
      <c r="AO26" s="59">
        <f t="shared" si="36"/>
        <v>285.79375360040717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13.899307519429213</v>
      </c>
      <c r="AW26" s="21">
        <f>EXP(-LN(2)/2)*AW25+(1-EXP(-LN(2)/2))/(LN(2)/2)*AQ26*AT26*VLOOKUP('Données projet'!$B$10,Paramètres!$A$1:$I$89,3,0)*0.475*44/12</f>
        <v>8.9922437069983943</v>
      </c>
      <c r="AX26" s="21">
        <f t="shared" si="6"/>
        <v>22.891551226427609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4.3352272727272725</v>
      </c>
      <c r="N27" s="13">
        <f>IF('Données projet'!$A$36&gt;35,N26+M27-V26,IF(A27&lt;'Données projet'!$A$36,$K$205^A27,IF(A27='Données projet'!$A$36,'Données projet'!$B$36,N26+M27-V26)))</f>
        <v>104.04545454545449</v>
      </c>
      <c r="O27" s="13">
        <f>N27*VLOOKUP('Données projet'!$B$9,Paramètres!$A$1:$I$89,3,0)*VLOOKUP('Données projet'!$B$9,Paramètres!$A$1:$I$89,5,0)</f>
        <v>105.50209090909087</v>
      </c>
      <c r="P27" s="13">
        <f t="shared" si="33"/>
        <v>28.268680902382613</v>
      </c>
      <c r="Q27" s="20">
        <f t="shared" si="2"/>
        <v>232.98409423831629</v>
      </c>
      <c r="R27" s="59">
        <f t="shared" si="0"/>
        <v>526.31742757164966</v>
      </c>
      <c r="S27" s="59">
        <f ca="1">AVERAGE(OFFSET($R$3,0,0,'Données projet'!$E$9+1,1))-AVERAGE(OFFSET($H$3,0,0,'Données projet'!$E$9+1,1))</f>
        <v>369.23716180779473</v>
      </c>
      <c r="T27" s="59">
        <f t="shared" si="34"/>
        <v>256.03115836031884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21.612857142857145</v>
      </c>
      <c r="AI27" s="13">
        <f>IF('Données projet'!$A$62&gt;35,AI26+AH27-AQ26,IF(A27&lt;'Données projet'!$A$62,$AF$205^A27,IF(A27='Données projet'!$A$62,'Données projet'!$B$62,AI26+AH27-AQ26)))</f>
        <v>195.40857142857141</v>
      </c>
      <c r="AJ27" s="13">
        <f>AI27*VLOOKUP('Données projet'!$B$10,Paramètres!$A$1:$I$89,3,0)*VLOOKUP('Données projet'!$B$10,Paramètres!$A$1:$I$89,5,0)</f>
        <v>109.23339142857141</v>
      </c>
      <c r="AK27" s="13">
        <f t="shared" si="35"/>
        <v>29.150292163037918</v>
      </c>
      <c r="AL27" s="20">
        <f t="shared" si="4"/>
        <v>241.01824892205289</v>
      </c>
      <c r="AM27" s="59">
        <f t="shared" si="5"/>
        <v>534.35158225538623</v>
      </c>
      <c r="AN27" s="59">
        <f ca="1">AVERAGE(OFFSET($AM$3,0,0,'Données projet'!$E$10+1,1))-AVERAGE(OFFSET($H$3,0,0,'Données projet'!$E$10+1,1))</f>
        <v>318.85992789434766</v>
      </c>
      <c r="AO27" s="59">
        <f t="shared" si="36"/>
        <v>285.79375360040717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13.519230224377607</v>
      </c>
      <c r="AW27" s="21">
        <f>EXP(-LN(2)/2)*AW26+(1-EXP(-LN(2)/2))/(LN(2)/2)*AQ27*AT27*VLOOKUP('Données projet'!$B$10,Paramètres!$A$1:$I$89,3,0)*0.475*44/12</f>
        <v>6.358476503300623</v>
      </c>
      <c r="AX27" s="21">
        <f t="shared" si="6"/>
        <v>19.87770672767823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4.3352272727272725</v>
      </c>
      <c r="N28" s="13">
        <f>IF('Données projet'!$A$36&gt;35,N27+M28-V27,IF(A28&lt;'Données projet'!$A$36,$K$205^A28,IF(A28='Données projet'!$A$36,'Données projet'!$B$36,N27+M28-V27)))</f>
        <v>108.38068181818176</v>
      </c>
      <c r="O28" s="13">
        <f>N28*VLOOKUP('Données projet'!$B$9,Paramètres!$A$1:$I$89,3,0)*VLOOKUP('Données projet'!$B$9,Paramètres!$A$1:$I$89,5,0)</f>
        <v>109.89801136363631</v>
      </c>
      <c r="P28" s="13">
        <f t="shared" si="33"/>
        <v>29.30695395724986</v>
      </c>
      <c r="Q28" s="20">
        <f t="shared" si="2"/>
        <v>242.44864793387674</v>
      </c>
      <c r="R28" s="59">
        <f t="shared" si="0"/>
        <v>535.78198126721009</v>
      </c>
      <c r="S28" s="59">
        <f ca="1">AVERAGE(OFFSET($R$3,0,0,'Données projet'!$E$9+1,1))-AVERAGE(OFFSET($H$3,0,0,'Données projet'!$E$9+1,1))</f>
        <v>369.23716180779473</v>
      </c>
      <c r="T28" s="59">
        <f t="shared" si="34"/>
        <v>256.03115836031884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21.612857142857145</v>
      </c>
      <c r="AI28" s="13">
        <f>IF('Données projet'!$A$62&gt;35,AI27+AH28-AQ27,IF(A28&lt;'Données projet'!$A$62,$AF$205^A28,IF(A28='Données projet'!$A$62,'Données projet'!$B$62,AI27+AH28-AQ27)))</f>
        <v>217.02142857142854</v>
      </c>
      <c r="AJ28" s="13">
        <f>AI28*VLOOKUP('Données projet'!$B$10,Paramètres!$A$1:$I$89,3,0)*VLOOKUP('Données projet'!$B$10,Paramètres!$A$1:$I$89,5,0)</f>
        <v>121.31497857142855</v>
      </c>
      <c r="AK28" s="13">
        <f t="shared" si="35"/>
        <v>31.981501643962311</v>
      </c>
      <c r="AL28" s="20">
        <f t="shared" si="4"/>
        <v>266.9913697084724</v>
      </c>
      <c r="AM28" s="59">
        <f t="shared" si="5"/>
        <v>560.32470304180572</v>
      </c>
      <c r="AN28" s="59">
        <f ca="1">AVERAGE(OFFSET($AM$3,0,0,'Données projet'!$E$10+1,1))-AVERAGE(OFFSET($H$3,0,0,'Données projet'!$E$10+1,1))</f>
        <v>318.85992789434766</v>
      </c>
      <c r="AO28" s="59">
        <f t="shared" si="36"/>
        <v>285.79375360040717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13.149546162946582</v>
      </c>
      <c r="AW28" s="21">
        <f>EXP(-LN(2)/2)*AW27+(1-EXP(-LN(2)/2))/(LN(2)/2)*AQ28*AT28*VLOOKUP('Données projet'!$B$10,Paramètres!$A$1:$I$89,3,0)*0.475*44/12</f>
        <v>4.496121853499198</v>
      </c>
      <c r="AX28" s="21">
        <f t="shared" si="6"/>
        <v>17.645668016445779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4.3352272727272725</v>
      </c>
      <c r="N29" s="13">
        <f>IF('Données projet'!$A$36&gt;35,N28+M29-V28,IF(A29&lt;'Données projet'!$A$36,$K$205^A29,IF(A29='Données projet'!$A$36,'Données projet'!$B$36,N28+M29-V28)))</f>
        <v>112.71590909090902</v>
      </c>
      <c r="O29" s="13">
        <f>N29*VLOOKUP('Données projet'!$B$9,Paramètres!$A$1:$I$89,3,0)*VLOOKUP('Données projet'!$B$9,Paramètres!$A$1:$I$89,5,0)</f>
        <v>114.29393181818176</v>
      </c>
      <c r="P29" s="13">
        <f t="shared" si="33"/>
        <v>30.340402690624284</v>
      </c>
      <c r="Q29" s="20">
        <f t="shared" si="2"/>
        <v>251.9047992695038</v>
      </c>
      <c r="R29" s="59">
        <f t="shared" si="0"/>
        <v>545.23813260283714</v>
      </c>
      <c r="S29" s="59">
        <f ca="1">AVERAGE(OFFSET($R$3,0,0,'Données projet'!$E$9+1,1))-AVERAGE(OFFSET($H$3,0,0,'Données projet'!$E$9+1,1))</f>
        <v>369.23716180779473</v>
      </c>
      <c r="T29" s="59">
        <f t="shared" si="34"/>
        <v>256.03115836031884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21.612857142857145</v>
      </c>
      <c r="AI29" s="13">
        <f>IF('Données projet'!$A$62&gt;35,AI28+AH29-AQ28,IF(A29&lt;'Données projet'!$A$62,$AF$205^A29,IF(A29='Données projet'!$A$62,'Données projet'!$B$62,AI28+AH29-AQ28)))</f>
        <v>238.63428571428568</v>
      </c>
      <c r="AJ29" s="13">
        <f>AI29*VLOOKUP('Données projet'!$B$10,Paramètres!$A$1:$I$89,3,0)*VLOOKUP('Données projet'!$B$10,Paramètres!$A$1:$I$89,5,0)</f>
        <v>133.39656571428571</v>
      </c>
      <c r="AK29" s="13">
        <f t="shared" si="35"/>
        <v>34.780023938654864</v>
      </c>
      <c r="AL29" s="20">
        <f t="shared" si="4"/>
        <v>292.90756031220479</v>
      </c>
      <c r="AM29" s="59">
        <f t="shared" si="5"/>
        <v>586.24089364553811</v>
      </c>
      <c r="AN29" s="59">
        <f ca="1">AVERAGE(OFFSET($AM$3,0,0,'Données projet'!$E$10+1,1))-AVERAGE(OFFSET($H$3,0,0,'Données projet'!$E$10+1,1))</f>
        <v>318.85992789434766</v>
      </c>
      <c r="AO29" s="59">
        <f t="shared" si="36"/>
        <v>285.79375360040717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12.789971131616229</v>
      </c>
      <c r="AW29" s="21">
        <f>EXP(-LN(2)/2)*AW28+(1-EXP(-LN(2)/2))/(LN(2)/2)*AQ29*AT29*VLOOKUP('Données projet'!$B$10,Paramètres!$A$1:$I$89,3,0)*0.475*44/12</f>
        <v>3.1792382516503119</v>
      </c>
      <c r="AX29" s="21">
        <f t="shared" si="6"/>
        <v>15.969209383266541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4.3352272727272725</v>
      </c>
      <c r="N30" s="13">
        <f>IF('Données projet'!$A$36&gt;35,N29+M30-V29,IF(A30&lt;'Données projet'!$A$36,$K$205^A30,IF(A30='Données projet'!$A$36,'Données projet'!$B$36,N29+M30-V29)))</f>
        <v>117.05113636363629</v>
      </c>
      <c r="O30" s="13">
        <f>N30*VLOOKUP('Données projet'!$B$9,Paramètres!$A$1:$I$89,3,0)*VLOOKUP('Données projet'!$B$9,Paramètres!$A$1:$I$89,5,0)</f>
        <v>118.68985227272721</v>
      </c>
      <c r="P30" s="13">
        <f t="shared" si="33"/>
        <v>31.369233892262525</v>
      </c>
      <c r="Q30" s="20">
        <f t="shared" si="2"/>
        <v>261.35290840402382</v>
      </c>
      <c r="R30" s="59">
        <f t="shared" si="0"/>
        <v>554.68624173735714</v>
      </c>
      <c r="S30" s="59">
        <f ca="1">AVERAGE(OFFSET($R$3,0,0,'Données projet'!$E$9+1,1))-AVERAGE(OFFSET($H$3,0,0,'Données projet'!$E$9+1,1))</f>
        <v>369.23716180779473</v>
      </c>
      <c r="T30" s="59">
        <f t="shared" si="34"/>
        <v>256.03115836031884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21.612857142857145</v>
      </c>
      <c r="AI30" s="13">
        <f>IF('Données projet'!$A$62&gt;35,AI29+AH30-AQ29,IF(A30&lt;'Données projet'!$A$62,$AF$205^A30,IF(A30='Données projet'!$A$62,'Données projet'!$B$62,AI29+AH30-AQ29)))</f>
        <v>260.24714285714282</v>
      </c>
      <c r="AJ30" s="13">
        <f>AI30*VLOOKUP('Données projet'!$B$10,Paramètres!$A$1:$I$89,3,0)*VLOOKUP('Données projet'!$B$10,Paramètres!$A$1:$I$89,5,0)</f>
        <v>145.47815285714285</v>
      </c>
      <c r="AK30" s="13">
        <f t="shared" si="35"/>
        <v>37.54915616665005</v>
      </c>
      <c r="AL30" s="20">
        <f t="shared" si="4"/>
        <v>318.77256321643927</v>
      </c>
      <c r="AM30" s="59">
        <f t="shared" si="5"/>
        <v>612.10589654977252</v>
      </c>
      <c r="AN30" s="59">
        <f ca="1">AVERAGE(OFFSET($AM$3,0,0,'Données projet'!$E$10+1,1))-AVERAGE(OFFSET($H$3,0,0,'Données projet'!$E$10+1,1))</f>
        <v>318.85992789434766</v>
      </c>
      <c r="AO30" s="59">
        <f t="shared" si="36"/>
        <v>285.79375360040717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12.440228698426832</v>
      </c>
      <c r="AW30" s="21">
        <f>EXP(-LN(2)/2)*AW29+(1-EXP(-LN(2)/2))/(LN(2)/2)*AQ30*AT30*VLOOKUP('Données projet'!$B$10,Paramètres!$A$1:$I$89,3,0)*0.475*44/12</f>
        <v>2.248060926749599</v>
      </c>
      <c r="AX30" s="21">
        <f t="shared" si="6"/>
        <v>14.688289625176431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4.3352272727272725</v>
      </c>
      <c r="N31" s="13">
        <f>IF('Données projet'!$A$36&gt;35,N30+M31-V30,IF(A31&lt;'Données projet'!$A$36,$K$205^A31,IF(A31='Données projet'!$A$36,'Données projet'!$B$36,N30+M31-V30)))</f>
        <v>121.38636363636355</v>
      </c>
      <c r="O31" s="13">
        <f>N31*VLOOKUP('Données projet'!$B$9,Paramètres!$A$1:$I$89,3,0)*VLOOKUP('Données projet'!$B$9,Paramètres!$A$1:$I$89,5,0)</f>
        <v>123.08577272727265</v>
      </c>
      <c r="P31" s="13">
        <f t="shared" si="33"/>
        <v>32.393638166261468</v>
      </c>
      <c r="Q31" s="20">
        <f t="shared" si="2"/>
        <v>270.7933073062386</v>
      </c>
      <c r="R31" s="59">
        <f t="shared" si="0"/>
        <v>564.12664063957186</v>
      </c>
      <c r="S31" s="59">
        <f ca="1">AVERAGE(OFFSET($R$3,0,0,'Données projet'!$E$9+1,1))-AVERAGE(OFFSET($H$3,0,0,'Données projet'!$E$9+1,1))</f>
        <v>369.23716180779473</v>
      </c>
      <c r="T31" s="59">
        <f t="shared" si="34"/>
        <v>256.03115836031884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281.86</v>
      </c>
      <c r="AG31" s="12">
        <f>VLOOKUP(A31,'Données projet'!$A$61:$I$81,9,0)</f>
        <v>21.612857142857145</v>
      </c>
      <c r="AH31" s="12">
        <f t="array" ref="AH31">INDEX(AG:AG,MIN(IF(ISNUMBER(AG31:AG227),ROW(AG31:AG227),"")))</f>
        <v>21.612857142857145</v>
      </c>
      <c r="AI31" s="13">
        <f>IF('Données projet'!$A$62&gt;35,AI30+AH31-AQ30,IF(A31&lt;'Données projet'!$A$62,$AF$205^A31,IF(A31='Données projet'!$A$62,'Données projet'!$B$62,AI30+AH31-AQ30)))</f>
        <v>281.85999999999996</v>
      </c>
      <c r="AJ31" s="13">
        <f>AI31*VLOOKUP('Données projet'!$B$10,Paramètres!$A$1:$I$89,3,0)*VLOOKUP('Données projet'!$B$10,Paramètres!$A$1:$I$89,5,0)</f>
        <v>157.55973999999998</v>
      </c>
      <c r="AK31" s="13">
        <f t="shared" si="35"/>
        <v>40.291616590408985</v>
      </c>
      <c r="AL31" s="20">
        <f t="shared" si="4"/>
        <v>344.59111272829563</v>
      </c>
      <c r="AM31" s="59">
        <f t="shared" si="5"/>
        <v>637.92444606162894</v>
      </c>
      <c r="AN31" s="59">
        <f ca="1">AVERAGE(OFFSET($AM$3,0,0,'Données projet'!$E$10+1,1))-AVERAGE(OFFSET($H$3,0,0,'Données projet'!$E$10+1,1))</f>
        <v>318.85992789434766</v>
      </c>
      <c r="AO31" s="59">
        <f t="shared" si="36"/>
        <v>285.79375360040717</v>
      </c>
      <c r="AP31" s="15">
        <f>IF(ISNA(VLOOKUP(A31,'Données projet'!$A$61:$I$81,3,0)),0,VLOOKUP(A31,'Données projet'!$A$61:$I$81,3,0))</f>
        <v>2</v>
      </c>
      <c r="AQ31" s="15">
        <f>IF(ISNA(VLOOKUP(A31,'Données projet'!$A$61:$I$81,4,0)),0,VLOOKUP(A31,'Données projet'!$A$61:$I$81,4,0))</f>
        <v>67.61</v>
      </c>
      <c r="AR31" s="16">
        <f>IF(ISNA(VLOOKUP(A31,'Données projet'!$A$61:$I$81,5,0)),0%,VLOOKUP(A31,'Données projet'!$A$61:$I$81,5,0)*VLOOKUP('Données projet'!$B$10,Paramètres!$A$1:$I$89,7,0))</f>
        <v>0.11000000000000001</v>
      </c>
      <c r="AS31" s="16">
        <f>IF(ISNA(VLOOKUP(A31,'Données projet'!$A$61:$I$81,6,0)),0%,VLOOKUP(A31,'Données projet'!$A$61:$I$81,6,0)*VLOOKUP('Données projet'!$B$10,Paramètres!$A$1:$I$89,7,0))</f>
        <v>0.24750000000000003</v>
      </c>
      <c r="AT31" s="16">
        <f>IF(ISNA(VLOOKUP(A31,'Données projet'!$A$61:$I$81,7,0)),0%,VLOOKUP(A31,'Données projet'!$A$61:$I$81,7,0))</f>
        <v>0.35</v>
      </c>
      <c r="AU31" s="21">
        <f>EXP(-LN(2)/35)*AU30+(1-EXP(-LN(2)/35))/(LN(2)/35)*AQ31*AR31*VLOOKUP('Données projet'!$B$10,Paramètres!$A$1:$I$89,3,0)*0.475*44/12</f>
        <v>5.5149780139561173</v>
      </c>
      <c r="AV31" s="21">
        <f>EXP(-LN(2)/25)*AV30+(1-EXP(-LN(2)/25))/(LN(2)/25)*Calculateur!AQ31*Calculateur!AS31*VLOOKUP('Données projet'!$B$10,Paramètres!$A$1:$I$89,3,0)*0.475*44/12</f>
        <v>24.459892739788717</v>
      </c>
      <c r="AW31" s="21">
        <f>EXP(-LN(2)/2)*AW30+(1-EXP(-LN(2)/2))/(LN(2)/2)*AQ31*AT31*VLOOKUP('Données projet'!$B$10,Paramètres!$A$1:$I$89,3,0)*0.475*44/12</f>
        <v>16.566670771462451</v>
      </c>
      <c r="AX31" s="21">
        <f t="shared" si="6"/>
        <v>46.541541525207286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4.3352272727272725</v>
      </c>
      <c r="N32" s="13">
        <f>IF('Données projet'!$A$36&gt;35,N31+M32-V31,IF(A32&lt;'Données projet'!$A$36,$K$205^A32,IF(A32='Données projet'!$A$36,'Données projet'!$B$36,N31+M32-V31)))</f>
        <v>125.72159090909082</v>
      </c>
      <c r="O32" s="13">
        <f>N32*VLOOKUP('Données projet'!$B$9,Paramètres!$A$1:$I$89,3,0)*VLOOKUP('Données projet'!$B$9,Paramètres!$A$1:$I$89,5,0)</f>
        <v>127.4816931818181</v>
      </c>
      <c r="P32" s="13">
        <f t="shared" si="33"/>
        <v>33.413791730352315</v>
      </c>
      <c r="Q32" s="20">
        <f t="shared" si="2"/>
        <v>280.22630288869681</v>
      </c>
      <c r="R32" s="59">
        <f t="shared" si="0"/>
        <v>573.55963622203012</v>
      </c>
      <c r="S32" s="59">
        <f ca="1">AVERAGE(OFFSET($R$3,0,0,'Données projet'!$E$9+1,1))-AVERAGE(OFFSET($H$3,0,0,'Données projet'!$E$9+1,1))</f>
        <v>369.23716180779473</v>
      </c>
      <c r="T32" s="59">
        <f t="shared" si="34"/>
        <v>256.03115836031884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23.267142857142858</v>
      </c>
      <c r="AI32" s="13">
        <f>IF('Données projet'!$A$62&gt;35,AI31+AH32-AQ31,IF(A32&lt;'Données projet'!$A$62,$AF$205^A32,IF(A32='Données projet'!$A$62,'Données projet'!$B$62,AI31+AH32-AQ31)))</f>
        <v>237.5171428571428</v>
      </c>
      <c r="AJ32" s="13">
        <f>AI32*VLOOKUP('Données projet'!$B$10,Paramètres!$A$1:$I$89,3,0)*VLOOKUP('Données projet'!$B$10,Paramètres!$A$1:$I$89,5,0)</f>
        <v>132.77208285714283</v>
      </c>
      <c r="AK32" s="13">
        <f t="shared" si="35"/>
        <v>34.636117583630416</v>
      </c>
      <c r="AL32" s="20">
        <f t="shared" si="4"/>
        <v>291.56928243434669</v>
      </c>
      <c r="AM32" s="59">
        <f t="shared" si="5"/>
        <v>584.90261576768</v>
      </c>
      <c r="AN32" s="59">
        <f ca="1">AVERAGE(OFFSET($AM$3,0,0,'Données projet'!$E$10+1,1))-AVERAGE(OFFSET($H$3,0,0,'Données projet'!$E$10+1,1))</f>
        <v>318.85992789434766</v>
      </c>
      <c r="AO32" s="59">
        <f t="shared" si="36"/>
        <v>285.79375360040717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5.406832658906878</v>
      </c>
      <c r="AV32" s="21">
        <f>EXP(-LN(2)/25)*AV31+(1-EXP(-LN(2)/25))/(LN(2)/25)*Calculateur!AQ32*Calculateur!AS32*VLOOKUP('Données projet'!$B$10,Paramètres!$A$1:$I$89,3,0)*0.475*44/12</f>
        <v>23.791035686529341</v>
      </c>
      <c r="AW32" s="21">
        <f>EXP(-LN(2)/2)*AW31+(1-EXP(-LN(2)/2))/(LN(2)/2)*AQ32*AT32*VLOOKUP('Données projet'!$B$10,Paramètres!$A$1:$I$89,3,0)*0.475*44/12</f>
        <v>11.714405244186073</v>
      </c>
      <c r="AX32" s="21">
        <f t="shared" si="6"/>
        <v>40.912273589622295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4.3352272727272725</v>
      </c>
      <c r="N33" s="13">
        <f>IF('Données projet'!$A$36&gt;35,N32+M33-V32,IF(A33&lt;'Données projet'!$A$36,$K$205^A33,IF(A33='Données projet'!$A$36,'Données projet'!$B$36,N32+M33-V32)))</f>
        <v>130.0568181818181</v>
      </c>
      <c r="O33" s="13">
        <f>N33*VLOOKUP('Données projet'!$B$9,Paramètres!$A$1:$I$89,3,0)*VLOOKUP('Données projet'!$B$9,Paramètres!$A$1:$I$89,5,0)</f>
        <v>131.87761363636358</v>
      </c>
      <c r="P33" s="13">
        <f t="shared" si="33"/>
        <v>34.429857960044266</v>
      </c>
      <c r="Q33" s="20">
        <f t="shared" si="2"/>
        <v>289.65217969707697</v>
      </c>
      <c r="R33" s="59">
        <f t="shared" si="0"/>
        <v>582.98551303041029</v>
      </c>
      <c r="S33" s="59">
        <f ca="1">AVERAGE(OFFSET($R$3,0,0,'Données projet'!$E$9+1,1))-AVERAGE(OFFSET($H$3,0,0,'Données projet'!$E$9+1,1))</f>
        <v>369.23716180779473</v>
      </c>
      <c r="T33" s="59">
        <f t="shared" si="34"/>
        <v>256.03115836031884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23.267142857142858</v>
      </c>
      <c r="AI33" s="13">
        <f>IF('Données projet'!$A$62&gt;35,AI32+AH33-AQ32,IF(A33&lt;'Données projet'!$A$62,$AF$205^A33,IF(A33='Données projet'!$A$62,'Données projet'!$B$62,AI32+AH33-AQ32)))</f>
        <v>260.78428571428566</v>
      </c>
      <c r="AJ33" s="13">
        <f>AI33*VLOOKUP('Données projet'!$B$10,Paramètres!$A$1:$I$89,3,0)*VLOOKUP('Données projet'!$B$10,Paramètres!$A$1:$I$89,5,0)</f>
        <v>145.7784157142857</v>
      </c>
      <c r="AK33" s="13">
        <f t="shared" si="35"/>
        <v>37.617627311837914</v>
      </c>
      <c r="AL33" s="20">
        <f t="shared" si="4"/>
        <v>319.4147749371653</v>
      </c>
      <c r="AM33" s="59">
        <f t="shared" si="5"/>
        <v>612.74810827049862</v>
      </c>
      <c r="AN33" s="59">
        <f ca="1">AVERAGE(OFFSET($AM$3,0,0,'Données projet'!$E$10+1,1))-AVERAGE(OFFSET($H$3,0,0,'Données projet'!$E$10+1,1))</f>
        <v>318.85992789434766</v>
      </c>
      <c r="AO33" s="59">
        <f t="shared" si="36"/>
        <v>285.79375360040717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5.3008079683080016</v>
      </c>
      <c r="AV33" s="21">
        <f>EXP(-LN(2)/25)*AV32+(1-EXP(-LN(2)/25))/(LN(2)/25)*Calculateur!AQ33*Calculateur!AS33*VLOOKUP('Données projet'!$B$10,Paramètres!$A$1:$I$89,3,0)*0.475*44/12</f>
        <v>23.140468564565005</v>
      </c>
      <c r="AW33" s="21">
        <f>EXP(-LN(2)/2)*AW32+(1-EXP(-LN(2)/2))/(LN(2)/2)*AQ33*AT33*VLOOKUP('Données projet'!$B$10,Paramètres!$A$1:$I$89,3,0)*0.475*44/12</f>
        <v>8.2833353857312275</v>
      </c>
      <c r="AX33" s="21">
        <f t="shared" si="6"/>
        <v>36.724611918604232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4.3352272727272725</v>
      </c>
      <c r="N34" s="13">
        <f>IF('Données projet'!$A$36&gt;35,N33+M34-V33,IF(A34&lt;'Données projet'!$A$36,$K$205^A34,IF(A34='Données projet'!$A$36,'Données projet'!$B$36,N33+M34-V33)))</f>
        <v>134.39204545454538</v>
      </c>
      <c r="O34" s="13">
        <f>N34*VLOOKUP('Données projet'!$B$9,Paramètres!$A$1:$I$89,3,0)*VLOOKUP('Données projet'!$B$9,Paramètres!$A$1:$I$89,5,0)</f>
        <v>136.27353409090904</v>
      </c>
      <c r="P34" s="13">
        <f t="shared" si="33"/>
        <v>35.441988721098411</v>
      </c>
      <c r="Q34" s="20">
        <f t="shared" si="2"/>
        <v>299.071202230913</v>
      </c>
      <c r="R34" s="59">
        <f t="shared" si="0"/>
        <v>592.40453556424632</v>
      </c>
      <c r="S34" s="59">
        <f ca="1">AVERAGE(OFFSET($R$3,0,0,'Données projet'!$E$9+1,1))-AVERAGE(OFFSET($H$3,0,0,'Données projet'!$E$9+1,1))</f>
        <v>369.23716180779473</v>
      </c>
      <c r="T34" s="59">
        <f t="shared" si="34"/>
        <v>256.03115836031884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23.267142857142858</v>
      </c>
      <c r="AI34" s="13">
        <f>IF('Données projet'!$A$62&gt;35,AI33+AH34-AQ33,IF(A34&lt;'Données projet'!$A$62,$AF$205^A34,IF(A34='Données projet'!$A$62,'Données projet'!$B$62,AI33+AH34-AQ33)))</f>
        <v>284.05142857142852</v>
      </c>
      <c r="AJ34" s="13">
        <f>AI34*VLOOKUP('Données projet'!$B$10,Paramètres!$A$1:$I$89,3,0)*VLOOKUP('Données projet'!$B$10,Paramètres!$A$1:$I$89,5,0)</f>
        <v>158.78474857142854</v>
      </c>
      <c r="AK34" s="13">
        <f t="shared" si="35"/>
        <v>40.568290544193985</v>
      </c>
      <c r="AL34" s="20">
        <f t="shared" si="4"/>
        <v>347.20654312637589</v>
      </c>
      <c r="AM34" s="59">
        <f t="shared" si="5"/>
        <v>640.53987645970915</v>
      </c>
      <c r="AN34" s="59">
        <f ca="1">AVERAGE(OFFSET($AM$3,0,0,'Données projet'!$E$10+1,1))-AVERAGE(OFFSET($H$3,0,0,'Données projet'!$E$10+1,1))</f>
        <v>318.85992789434766</v>
      </c>
      <c r="AO34" s="59">
        <f t="shared" si="36"/>
        <v>285.79375360040717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5.1968623572230932</v>
      </c>
      <c r="AV34" s="21">
        <f>EXP(-LN(2)/25)*AV33+(1-EXP(-LN(2)/25))/(LN(2)/25)*Calculateur!AQ34*Calculateur!AS34*VLOOKUP('Données projet'!$B$10,Paramètres!$A$1:$I$89,3,0)*0.475*44/12</f>
        <v>22.507691234762621</v>
      </c>
      <c r="AW34" s="21">
        <f>EXP(-LN(2)/2)*AW33+(1-EXP(-LN(2)/2))/(LN(2)/2)*AQ34*AT34*VLOOKUP('Données projet'!$B$10,Paramètres!$A$1:$I$89,3,0)*0.475*44/12</f>
        <v>5.8572026220930375</v>
      </c>
      <c r="AX34" s="21">
        <f t="shared" si="6"/>
        <v>33.561756214078756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4.3352272727272725</v>
      </c>
      <c r="N35" s="13">
        <f>IF('Données projet'!$A$36&gt;35,N34+M35-V34,IF(A35&lt;'Données projet'!$A$36,$K$205^A35,IF(A35='Données projet'!$A$36,'Données projet'!$B$36,N34+M35-V34)))</f>
        <v>138.72727272727266</v>
      </c>
      <c r="O35" s="13">
        <f>N35*VLOOKUP('Données projet'!$B$9,Paramètres!$A$1:$I$89,3,0)*VLOOKUP('Données projet'!$B$9,Paramètres!$A$1:$I$89,5,0)</f>
        <v>140.66945454545447</v>
      </c>
      <c r="P35" s="13">
        <f t="shared" si="33"/>
        <v>36.450325525239947</v>
      </c>
      <c r="Q35" s="20">
        <f t="shared" ref="Q35:Q66" si="53">(O35+P35)*0.475*44/12</f>
        <v>308.48361695645946</v>
      </c>
      <c r="R35" s="59">
        <f t="shared" si="0"/>
        <v>601.81695028979277</v>
      </c>
      <c r="S35" s="59">
        <f ca="1">AVERAGE(OFFSET($R$3,0,0,'Données projet'!$E$9+1,1))-AVERAGE(OFFSET($H$3,0,0,'Données projet'!$E$9+1,1))</f>
        <v>369.23716180779473</v>
      </c>
      <c r="T35" s="59">
        <f t="shared" si="34"/>
        <v>256.03115836031884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23.267142857142858</v>
      </c>
      <c r="AI35" s="13">
        <f>IF('Données projet'!$A$62&gt;35,AI34+AH35-AQ34,IF(A35&lt;'Données projet'!$A$62,$AF$205^A35,IF(A35='Données projet'!$A$62,'Données projet'!$B$62,AI34+AH35-AQ34)))</f>
        <v>307.31857142857137</v>
      </c>
      <c r="AJ35" s="13">
        <f>AI35*VLOOKUP('Données projet'!$B$10,Paramètres!$A$1:$I$89,3,0)*VLOOKUP('Données projet'!$B$10,Paramètres!$A$1:$I$89,5,0)</f>
        <v>171.79108142857137</v>
      </c>
      <c r="AK35" s="13">
        <f t="shared" si="35"/>
        <v>43.49092122942389</v>
      </c>
      <c r="AL35" s="20">
        <f t="shared" si="4"/>
        <v>374.94948796267505</v>
      </c>
      <c r="AM35" s="59">
        <f t="shared" si="5"/>
        <v>668.28282129600836</v>
      </c>
      <c r="AN35" s="59">
        <f ca="1">AVERAGE(OFFSET($AM$3,0,0,'Données projet'!$E$10+1,1))-AVERAGE(OFFSET($H$3,0,0,'Données projet'!$E$10+1,1))</f>
        <v>318.85992789434766</v>
      </c>
      <c r="AO35" s="59">
        <f t="shared" si="36"/>
        <v>285.79375360040717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5.0949550561709973</v>
      </c>
      <c r="AV35" s="21">
        <f>EXP(-LN(2)/25)*AV34+(1-EXP(-LN(2)/25))/(LN(2)/25)*Calculateur!AQ35*Calculateur!AS35*VLOOKUP('Données projet'!$B$10,Paramètres!$A$1:$I$89,3,0)*0.475*44/12</f>
        <v>21.892217234319997</v>
      </c>
      <c r="AW35" s="21">
        <f>EXP(-LN(2)/2)*AW34+(1-EXP(-LN(2)/2))/(LN(2)/2)*AQ35*AT35*VLOOKUP('Données projet'!$B$10,Paramètres!$A$1:$I$89,3,0)*0.475*44/12</f>
        <v>4.1416676928656138</v>
      </c>
      <c r="AX35" s="21">
        <f t="shared" si="6"/>
        <v>31.12883998335661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4.3352272727272725</v>
      </c>
      <c r="N36" s="13">
        <f>IF('Données projet'!$A$36&gt;35,N35+M36-V35,IF(A36&lt;'Données projet'!$A$36,$K$205^A36,IF(A36='Données projet'!$A$36,'Données projet'!$B$36,N35+M36-V35)))</f>
        <v>143.06249999999994</v>
      </c>
      <c r="O36" s="13">
        <f>N36*VLOOKUP('Données projet'!$B$9,Paramètres!$A$1:$I$89,3,0)*VLOOKUP('Données projet'!$B$9,Paramètres!$A$1:$I$89,5,0)</f>
        <v>145.06537499999996</v>
      </c>
      <c r="P36" s="13">
        <f t="shared" si="33"/>
        <v>37.455000537347836</v>
      </c>
      <c r="Q36" s="20">
        <f t="shared" si="53"/>
        <v>317.88965406088073</v>
      </c>
      <c r="R36" s="59">
        <f t="shared" si="0"/>
        <v>611.22298739421399</v>
      </c>
      <c r="S36" s="59">
        <f ca="1">AVERAGE(OFFSET($R$3,0,0,'Données projet'!$E$9+1,1))-AVERAGE(OFFSET($H$3,0,0,'Données projet'!$E$9+1,1))</f>
        <v>369.23716180779473</v>
      </c>
      <c r="T36" s="59">
        <f t="shared" si="34"/>
        <v>256.03115836031884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23.267142857142858</v>
      </c>
      <c r="AI36" s="13">
        <f>IF('Données projet'!$A$62&gt;35,AI35+AH36-AQ35,IF(A36&lt;'Données projet'!$A$62,$AF$205^A36,IF(A36='Données projet'!$A$62,'Données projet'!$B$62,AI35+AH36-AQ35)))</f>
        <v>330.58571428571423</v>
      </c>
      <c r="AJ36" s="13">
        <f>AI36*VLOOKUP('Données projet'!$B$10,Paramètres!$A$1:$I$89,3,0)*VLOOKUP('Données projet'!$B$10,Paramètres!$A$1:$I$89,5,0)</f>
        <v>184.79741428571427</v>
      </c>
      <c r="AK36" s="13">
        <f t="shared" si="35"/>
        <v>46.387883037381307</v>
      </c>
      <c r="AL36" s="20">
        <f t="shared" si="4"/>
        <v>402.64772617105808</v>
      </c>
      <c r="AM36" s="59">
        <f t="shared" si="5"/>
        <v>695.9810595043914</v>
      </c>
      <c r="AN36" s="59">
        <f ca="1">AVERAGE(OFFSET($AM$3,0,0,'Données projet'!$E$10+1,1))-AVERAGE(OFFSET($H$3,0,0,'Données projet'!$E$10+1,1))</f>
        <v>318.85992789434766</v>
      </c>
      <c r="AO36" s="59">
        <f t="shared" si="36"/>
        <v>285.79375360040717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4.9950460951352165</v>
      </c>
      <c r="AV36" s="21">
        <f>EXP(-LN(2)/25)*AV35+(1-EXP(-LN(2)/25))/(LN(2)/25)*Calculateur!AQ36*Calculateur!AS36*VLOOKUP('Données projet'!$B$10,Paramètres!$A$1:$I$89,3,0)*0.475*44/12</f>
        <v>21.293573402785846</v>
      </c>
      <c r="AW36" s="21">
        <f>EXP(-LN(2)/2)*AW35+(1-EXP(-LN(2)/2))/(LN(2)/2)*AQ36*AT36*VLOOKUP('Données projet'!$B$10,Paramètres!$A$1:$I$89,3,0)*0.475*44/12</f>
        <v>2.9286013110465188</v>
      </c>
      <c r="AX36" s="21">
        <f t="shared" si="6"/>
        <v>29.217220808967582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4.3352272727272725</v>
      </c>
      <c r="N37" s="13">
        <f>IF('Données projet'!$A$36&gt;35,N36+M37-V36,IF(A37&lt;'Données projet'!$A$36,$K$205^A37,IF(A37='Données projet'!$A$36,'Données projet'!$B$36,N36+M37-V36)))</f>
        <v>147.39772727272722</v>
      </c>
      <c r="O37" s="13">
        <f>N37*VLOOKUP('Données projet'!$B$9,Paramètres!$A$1:$I$89,3,0)*VLOOKUP('Données projet'!$B$9,Paramètres!$A$1:$I$89,5,0)</f>
        <v>149.46129545454542</v>
      </c>
      <c r="P37" s="13">
        <f t="shared" si="33"/>
        <v>38.456137457131177</v>
      </c>
      <c r="Q37" s="20">
        <f t="shared" si="53"/>
        <v>327.28952898783672</v>
      </c>
      <c r="R37" s="59">
        <f t="shared" si="0"/>
        <v>620.62286232117003</v>
      </c>
      <c r="S37" s="59">
        <f ca="1">AVERAGE(OFFSET($R$3,0,0,'Données projet'!$E$9+1,1))-AVERAGE(OFFSET($H$3,0,0,'Données projet'!$E$9+1,1))</f>
        <v>369.23716180779473</v>
      </c>
      <c r="T37" s="59">
        <f t="shared" si="34"/>
        <v>256.03115836031884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23.267142857142858</v>
      </c>
      <c r="AI37" s="13">
        <f>IF('Données projet'!$A$62&gt;35,AI36+AH37-AQ36,IF(A37&lt;'Données projet'!$A$62,$AF$205^A37,IF(A37='Données projet'!$A$62,'Données projet'!$B$62,AI36+AH37-AQ36)))</f>
        <v>353.85285714285709</v>
      </c>
      <c r="AJ37" s="13">
        <f>AI37*VLOOKUP('Données projet'!$B$10,Paramètres!$A$1:$I$89,3,0)*VLOOKUP('Données projet'!$B$10,Paramètres!$A$1:$I$89,5,0)</f>
        <v>197.80374714285711</v>
      </c>
      <c r="AK37" s="13">
        <f t="shared" si="35"/>
        <v>49.26118807441209</v>
      </c>
      <c r="AL37" s="20">
        <f t="shared" si="4"/>
        <v>430.30476217007714</v>
      </c>
      <c r="AM37" s="59">
        <f t="shared" si="5"/>
        <v>723.63809550341045</v>
      </c>
      <c r="AN37" s="59">
        <f ca="1">AVERAGE(OFFSET($AM$3,0,0,'Données projet'!$E$10+1,1))-AVERAGE(OFFSET($H$3,0,0,'Données projet'!$E$10+1,1))</f>
        <v>318.85992789434766</v>
      </c>
      <c r="AO37" s="59">
        <f t="shared" si="36"/>
        <v>285.79375360040717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4.8970962878868987</v>
      </c>
      <c r="AV37" s="21">
        <f>EXP(-LN(2)/25)*AV36+(1-EXP(-LN(2)/25))/(LN(2)/25)*Calculateur!AQ37*Calculateur!AS37*VLOOKUP('Données projet'!$B$10,Paramètres!$A$1:$I$89,3,0)*0.475*44/12</f>
        <v>20.711299518306308</v>
      </c>
      <c r="AW37" s="21">
        <f>EXP(-LN(2)/2)*AW36+(1-EXP(-LN(2)/2))/(LN(2)/2)*AQ37*AT37*VLOOKUP('Données projet'!$B$10,Paramètres!$A$1:$I$89,3,0)*0.475*44/12</f>
        <v>2.0708338464328069</v>
      </c>
      <c r="AX37" s="21">
        <f t="shared" si="6"/>
        <v>27.679229652626013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4.3352272727272725</v>
      </c>
      <c r="N38" s="13">
        <f>IF('Données projet'!$A$36&gt;35,N37+M38-V37,IF(A38&lt;'Données projet'!$A$36,$K$205^A38,IF(A38='Données projet'!$A$36,'Données projet'!$B$36,N37+M38-V37)))</f>
        <v>151.7329545454545</v>
      </c>
      <c r="O38" s="13">
        <f>N38*VLOOKUP('Données projet'!$B$9,Paramètres!$A$1:$I$89,3,0)*VLOOKUP('Données projet'!$B$9,Paramètres!$A$1:$I$89,5,0)</f>
        <v>153.85721590909085</v>
      </c>
      <c r="P38" s="13">
        <f t="shared" si="33"/>
        <v>39.453852294163745</v>
      </c>
      <c r="Q38" s="20">
        <f t="shared" si="53"/>
        <v>336.68344378733508</v>
      </c>
      <c r="R38" s="59">
        <f t="shared" si="0"/>
        <v>630.01677712066839</v>
      </c>
      <c r="S38" s="59">
        <f ca="1">AVERAGE(OFFSET($R$3,0,0,'Données projet'!$E$9+1,1))-AVERAGE(OFFSET($H$3,0,0,'Données projet'!$E$9+1,1))</f>
        <v>369.23716180779473</v>
      </c>
      <c r="T38" s="59">
        <f t="shared" si="34"/>
        <v>256.03115836031884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377.12</v>
      </c>
      <c r="AG38" s="12">
        <f>VLOOKUP(A38,'Données projet'!$A$61:$I$81,9,0)</f>
        <v>23.267142857142858</v>
      </c>
      <c r="AH38" s="12">
        <f t="array" ref="AH38">INDEX(AG:AG,MIN(IF(ISNUMBER(AG38:AG234),ROW(AG38:AG234),"")))</f>
        <v>23.267142857142858</v>
      </c>
      <c r="AI38" s="13">
        <f>IF('Données projet'!$A$62&gt;35,AI37+AH38-AQ37,IF(A38&lt;'Données projet'!$A$62,$AF$205^A38,IF(A38='Données projet'!$A$62,'Données projet'!$B$62,AI37+AH38-AQ37)))</f>
        <v>377.11999999999995</v>
      </c>
      <c r="AJ38" s="13">
        <f>AI38*VLOOKUP('Données projet'!$B$10,Paramètres!$A$1:$I$89,3,0)*VLOOKUP('Données projet'!$B$10,Paramètres!$A$1:$I$89,5,0)</f>
        <v>210.81007999999997</v>
      </c>
      <c r="AK38" s="13">
        <f t="shared" si="35"/>
        <v>52.112568873523912</v>
      </c>
      <c r="AL38" s="20">
        <f t="shared" si="4"/>
        <v>457.92361345472074</v>
      </c>
      <c r="AM38" s="59">
        <f t="shared" si="5"/>
        <v>751.25694678805405</v>
      </c>
      <c r="AN38" s="59">
        <f ca="1">AVERAGE(OFFSET($AM$3,0,0,'Données projet'!$E$10+1,1))-AVERAGE(OFFSET($H$3,0,0,'Données projet'!$E$10+1,1))</f>
        <v>318.85992789434766</v>
      </c>
      <c r="AO38" s="59">
        <f t="shared" si="36"/>
        <v>285.79375360040717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86.68</v>
      </c>
      <c r="AR38" s="16">
        <f>IF(ISNA(VLOOKUP(A38,'Données projet'!$A$61:$I$81,5,0)),0%,VLOOKUP(A38,'Données projet'!$A$61:$I$81,5,0)*VLOOKUP('Données projet'!$B$10,Paramètres!$A$1:$I$89,7,0))</f>
        <v>0.22000000000000003</v>
      </c>
      <c r="AS38" s="16">
        <f>IF(ISNA(VLOOKUP(A38,'Données projet'!$A$61:$I$81,6,0)),0%,VLOOKUP(A38,'Données projet'!$A$61:$I$81,6,0)*VLOOKUP('Données projet'!$B$10,Paramètres!$A$1:$I$89,7,0))</f>
        <v>0.18700000000000003</v>
      </c>
      <c r="AT38" s="16">
        <f>IF(ISNA(VLOOKUP(A38,'Données projet'!$A$61:$I$81,7,0)),0%,VLOOKUP(A38,'Données projet'!$A$61:$I$81,7,0))</f>
        <v>0.26</v>
      </c>
      <c r="AU38" s="21">
        <f>EXP(-LN(2)/35)*AU37+(1-EXP(-LN(2)/35))/(LN(2)/35)*AQ38*AR38*VLOOKUP('Données projet'!$B$10,Paramètres!$A$1:$I$89,3,0)*0.475*44/12</f>
        <v>18.94212014516771</v>
      </c>
      <c r="AV38" s="21">
        <f>EXP(-LN(2)/25)*AV37+(1-EXP(-LN(2)/25))/(LN(2)/25)*Calculateur!AQ38*Calculateur!AS38*VLOOKUP('Données projet'!$B$10,Paramètres!$A$1:$I$89,3,0)*0.475*44/12</f>
        <v>32.117516026576112</v>
      </c>
      <c r="AW38" s="21">
        <f>EXP(-LN(2)/2)*AW37+(1-EXP(-LN(2)/2))/(LN(2)/2)*AQ38*AT38*VLOOKUP('Données projet'!$B$10,Paramètres!$A$1:$I$89,3,0)*0.475*44/12</f>
        <v>15.728243754701261</v>
      </c>
      <c r="AX38" s="21">
        <f t="shared" si="6"/>
        <v>66.787879926445072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4.3352272727272725</v>
      </c>
      <c r="N39" s="13">
        <f>IF('Données projet'!$A$36&gt;35,N38+M39-V38,IF(A39&lt;'Données projet'!$A$36,$K$205^A39,IF(A39='Données projet'!$A$36,'Données projet'!$B$36,N38+M39-V38)))</f>
        <v>156.06818181818178</v>
      </c>
      <c r="O39" s="13">
        <f>N39*VLOOKUP('Données projet'!$B$9,Paramètres!$A$1:$I$89,3,0)*VLOOKUP('Données projet'!$B$9,Paramètres!$A$1:$I$89,5,0)</f>
        <v>158.25313636363634</v>
      </c>
      <c r="P39" s="13">
        <f t="shared" si="33"/>
        <v>40.448254051853773</v>
      </c>
      <c r="Q39" s="20">
        <f t="shared" si="53"/>
        <v>346.07158830697864</v>
      </c>
      <c r="R39" s="59">
        <f t="shared" si="0"/>
        <v>639.40492164031195</v>
      </c>
      <c r="S39" s="59">
        <f ca="1">AVERAGE(OFFSET($R$3,0,0,'Données projet'!$E$9+1,1))-AVERAGE(OFFSET($H$3,0,0,'Données projet'!$E$9+1,1))</f>
        <v>369.23716180779473</v>
      </c>
      <c r="T39" s="59">
        <f t="shared" si="34"/>
        <v>256.03115836031884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22.82714285714286</v>
      </c>
      <c r="AI39" s="13">
        <f>IF('Données projet'!$A$62&gt;35,AI38+AH39-AQ38,IF(A39&lt;'Données projet'!$A$62,$AF$205^A39,IF(A39='Données projet'!$A$62,'Données projet'!$B$62,AI38+AH39-AQ38)))</f>
        <v>313.2671428571428</v>
      </c>
      <c r="AJ39" s="13">
        <f>AI39*VLOOKUP('Données projet'!$B$10,Paramètres!$A$1:$I$89,3,0)*VLOOKUP('Données projet'!$B$10,Paramètres!$A$1:$I$89,5,0)</f>
        <v>175.11633285714285</v>
      </c>
      <c r="AK39" s="13">
        <f t="shared" si="35"/>
        <v>44.233926946721667</v>
      </c>
      <c r="AL39" s="20">
        <f t="shared" si="4"/>
        <v>382.03503582506397</v>
      </c>
      <c r="AM39" s="59">
        <f t="shared" si="5"/>
        <v>675.36836915839729</v>
      </c>
      <c r="AN39" s="59">
        <f ca="1">AVERAGE(OFFSET($AM$3,0,0,'Données projet'!$E$10+1,1))-AVERAGE(OFFSET($H$3,0,0,'Données projet'!$E$10+1,1))</f>
        <v>318.85992789434766</v>
      </c>
      <c r="AO39" s="59">
        <f t="shared" si="36"/>
        <v>285.79375360040717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18.57067672267344</v>
      </c>
      <c r="AV39" s="21">
        <f>EXP(-LN(2)/25)*AV38+(1-EXP(-LN(2)/25))/(LN(2)/25)*Calculateur!AQ39*Calculateur!AS39*VLOOKUP('Données projet'!$B$10,Paramètres!$A$1:$I$89,3,0)*0.475*44/12</f>
        <v>31.239260861842627</v>
      </c>
      <c r="AW39" s="21">
        <f>EXP(-LN(2)/2)*AW38+(1-EXP(-LN(2)/2))/(LN(2)/2)*AQ39*AT39*VLOOKUP('Données projet'!$B$10,Paramètres!$A$1:$I$89,3,0)*0.475*44/12</f>
        <v>11.121547815104227</v>
      </c>
      <c r="AX39" s="21">
        <f t="shared" si="6"/>
        <v>60.931485399620293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4.3352272727272725</v>
      </c>
      <c r="N40" s="13">
        <f>IF('Données projet'!$A$36&gt;35,N39+M40-V39,IF(A40&lt;'Données projet'!$A$36,$K$205^A40,IF(A40='Données projet'!$A$36,'Données projet'!$B$36,N39+M40-V39)))</f>
        <v>160.40340909090907</v>
      </c>
      <c r="O40" s="13">
        <f>N40*VLOOKUP('Données projet'!$B$9,Paramètres!$A$1:$I$89,3,0)*VLOOKUP('Données projet'!$B$9,Paramètres!$A$1:$I$89,5,0)</f>
        <v>162.6490568181818</v>
      </c>
      <c r="P40" s="13">
        <f t="shared" si="33"/>
        <v>41.439445333280581</v>
      </c>
      <c r="Q40" s="20">
        <f t="shared" si="53"/>
        <v>355.45414124713034</v>
      </c>
      <c r="R40" s="59">
        <f t="shared" si="0"/>
        <v>648.78747458046359</v>
      </c>
      <c r="S40" s="59">
        <f ca="1">AVERAGE(OFFSET($R$3,0,0,'Données projet'!$E$9+1,1))-AVERAGE(OFFSET($H$3,0,0,'Données projet'!$E$9+1,1))</f>
        <v>369.23716180779473</v>
      </c>
      <c r="T40" s="59">
        <f t="shared" si="34"/>
        <v>256.03115836031884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22.82714285714286</v>
      </c>
      <c r="AI40" s="13">
        <f>IF('Données projet'!$A$62&gt;35,AI39+AH40-AQ39,IF(A40&lt;'Données projet'!$A$62,$AF$205^A40,IF(A40='Données projet'!$A$62,'Données projet'!$B$62,AI39+AH40-AQ39)))</f>
        <v>336.09428571428566</v>
      </c>
      <c r="AJ40" s="13">
        <f>AI40*VLOOKUP('Données projet'!$B$10,Paramètres!$A$1:$I$89,3,0)*VLOOKUP('Données projet'!$B$10,Paramètres!$A$1:$I$89,5,0)</f>
        <v>187.87670571428569</v>
      </c>
      <c r="AK40" s="13">
        <f t="shared" si="35"/>
        <v>47.070216037627873</v>
      </c>
      <c r="AL40" s="20">
        <f t="shared" si="4"/>
        <v>409.19922205124948</v>
      </c>
      <c r="AM40" s="59">
        <f t="shared" si="5"/>
        <v>702.53255538458279</v>
      </c>
      <c r="AN40" s="59">
        <f ca="1">AVERAGE(OFFSET($AM$3,0,0,'Données projet'!$E$10+1,1))-AVERAGE(OFFSET($H$3,0,0,'Données projet'!$E$10+1,1))</f>
        <v>318.85992789434766</v>
      </c>
      <c r="AO40" s="59">
        <f t="shared" si="36"/>
        <v>285.79375360040717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18.206517079136166</v>
      </c>
      <c r="AV40" s="21">
        <f>EXP(-LN(2)/25)*AV39+(1-EXP(-LN(2)/25))/(LN(2)/25)*Calculateur!AQ40*Calculateur!AS40*VLOOKUP('Données projet'!$B$10,Paramètres!$A$1:$I$89,3,0)*0.475*44/12</f>
        <v>30.385021630774212</v>
      </c>
      <c r="AW40" s="21">
        <f>EXP(-LN(2)/2)*AW39+(1-EXP(-LN(2)/2))/(LN(2)/2)*AQ40*AT40*VLOOKUP('Données projet'!$B$10,Paramètres!$A$1:$I$89,3,0)*0.475*44/12</f>
        <v>7.8641218773506312</v>
      </c>
      <c r="AX40" s="21">
        <f t="shared" si="6"/>
        <v>56.455660587261015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4.3352272727272725</v>
      </c>
      <c r="N41" s="13">
        <f>IF('Données projet'!$A$36&gt;35,N40+M41-V40,IF(A41&lt;'Données projet'!$A$36,$K$205^A41,IF(A41='Données projet'!$A$36,'Données projet'!$B$36,N40+M41-V40)))</f>
        <v>164.73863636363635</v>
      </c>
      <c r="O41" s="13">
        <f>N41*VLOOKUP('Données projet'!$B$9,Paramètres!$A$1:$I$89,3,0)*VLOOKUP('Données projet'!$B$9,Paramètres!$A$1:$I$89,5,0)</f>
        <v>167.04497727272727</v>
      </c>
      <c r="P41" s="13">
        <f t="shared" si="33"/>
        <v>42.427522879693463</v>
      </c>
      <c r="Q41" s="20">
        <f t="shared" si="53"/>
        <v>364.83127109879939</v>
      </c>
      <c r="R41" s="59">
        <f t="shared" si="0"/>
        <v>658.16460443213271</v>
      </c>
      <c r="S41" s="59">
        <f ca="1">AVERAGE(OFFSET($R$3,0,0,'Données projet'!$E$9+1,1))-AVERAGE(OFFSET($H$3,0,0,'Données projet'!$E$9+1,1))</f>
        <v>369.23716180779473</v>
      </c>
      <c r="T41" s="59">
        <f t="shared" si="34"/>
        <v>256.03115836031884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22.82714285714286</v>
      </c>
      <c r="AI41" s="13">
        <f>IF('Données projet'!$A$62&gt;35,AI40+AH41-AQ40,IF(A41&lt;'Données projet'!$A$62,$AF$205^A41,IF(A41='Données projet'!$A$62,'Données projet'!$B$62,AI40+AH41-AQ40)))</f>
        <v>358.92142857142852</v>
      </c>
      <c r="AJ41" s="13">
        <f>AI41*VLOOKUP('Données projet'!$B$10,Paramètres!$A$1:$I$89,3,0)*VLOOKUP('Données projet'!$B$10,Paramètres!$A$1:$I$89,5,0)</f>
        <v>200.63707857142853</v>
      </c>
      <c r="AK41" s="13">
        <f t="shared" si="35"/>
        <v>49.884152387105956</v>
      </c>
      <c r="AL41" s="20">
        <f t="shared" si="4"/>
        <v>436.32447725278092</v>
      </c>
      <c r="AM41" s="59">
        <f t="shared" si="5"/>
        <v>729.65781058611424</v>
      </c>
      <c r="AN41" s="59">
        <f ca="1">AVERAGE(OFFSET($AM$3,0,0,'Données projet'!$E$10+1,1))-AVERAGE(OFFSET($H$3,0,0,'Données projet'!$E$10+1,1))</f>
        <v>318.85992789434766</v>
      </c>
      <c r="AO41" s="59">
        <f t="shared" si="36"/>
        <v>285.79375360040717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17.849498384093209</v>
      </c>
      <c r="AV41" s="21">
        <f>EXP(-LN(2)/25)*AV40+(1-EXP(-LN(2)/25))/(LN(2)/25)*Calculateur!AQ41*Calculateur!AS41*VLOOKUP('Données projet'!$B$10,Paramètres!$A$1:$I$89,3,0)*0.475*44/12</f>
        <v>29.55414161640185</v>
      </c>
      <c r="AW41" s="21">
        <f>EXP(-LN(2)/2)*AW40+(1-EXP(-LN(2)/2))/(LN(2)/2)*AQ41*AT41*VLOOKUP('Données projet'!$B$10,Paramètres!$A$1:$I$89,3,0)*0.475*44/12</f>
        <v>5.5607739075521145</v>
      </c>
      <c r="AX41" s="21">
        <f t="shared" si="6"/>
        <v>52.964413908047177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4.3352272727272725</v>
      </c>
      <c r="N42" s="13">
        <f>IF('Données projet'!$A$36&gt;35,N41+M42-V41,IF(A42&lt;'Données projet'!$A$36,$K$205^A42,IF(A42='Données projet'!$A$36,'Données projet'!$B$36,N41+M42-V41)))</f>
        <v>169.07386363636363</v>
      </c>
      <c r="O42" s="13">
        <f>N42*VLOOKUP('Données projet'!$B$9,Paramètres!$A$1:$I$89,3,0)*VLOOKUP('Données projet'!$B$9,Paramètres!$A$1:$I$89,5,0)</f>
        <v>171.44089772727273</v>
      </c>
      <c r="P42" s="13">
        <f t="shared" si="33"/>
        <v>43.412578050731845</v>
      </c>
      <c r="Q42" s="20">
        <f t="shared" si="53"/>
        <v>374.20313698002457</v>
      </c>
      <c r="R42" s="59">
        <f t="shared" si="0"/>
        <v>667.53647031335788</v>
      </c>
      <c r="S42" s="59">
        <f ca="1">AVERAGE(OFFSET($R$3,0,0,'Données projet'!$E$9+1,1))-AVERAGE(OFFSET($H$3,0,0,'Données projet'!$E$9+1,1))</f>
        <v>369.23716180779473</v>
      </c>
      <c r="T42" s="59">
        <f t="shared" si="34"/>
        <v>256.03115836031884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22.82714285714286</v>
      </c>
      <c r="AI42" s="13">
        <f>IF('Données projet'!$A$62&gt;35,AI41+AH42-AQ41,IF(A42&lt;'Données projet'!$A$62,$AF$205^A42,IF(A42='Données projet'!$A$62,'Données projet'!$B$62,AI41+AH42-AQ41)))</f>
        <v>381.74857142857138</v>
      </c>
      <c r="AJ42" s="13">
        <f>AI42*VLOOKUP('Données projet'!$B$10,Paramètres!$A$1:$I$89,3,0)*VLOOKUP('Données projet'!$B$10,Paramètres!$A$1:$I$89,5,0)</f>
        <v>213.3974514285714</v>
      </c>
      <c r="AK42" s="13">
        <f t="shared" si="35"/>
        <v>52.67731943158536</v>
      </c>
      <c r="AL42" s="20">
        <f t="shared" si="4"/>
        <v>463.41355924810637</v>
      </c>
      <c r="AM42" s="59">
        <f t="shared" si="5"/>
        <v>756.74689258143962</v>
      </c>
      <c r="AN42" s="59">
        <f ca="1">AVERAGE(OFFSET($AM$3,0,0,'Données projet'!$E$10+1,1))-AVERAGE(OFFSET($H$3,0,0,'Données projet'!$E$10+1,1))</f>
        <v>318.85992789434766</v>
      </c>
      <c r="AO42" s="59">
        <f t="shared" si="36"/>
        <v>285.79375360040717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17.499480607900143</v>
      </c>
      <c r="AV42" s="21">
        <f>EXP(-LN(2)/25)*AV41+(1-EXP(-LN(2)/25))/(LN(2)/25)*Calculateur!AQ42*Calculateur!AS42*VLOOKUP('Données projet'!$B$10,Paramètres!$A$1:$I$89,3,0)*0.475*44/12</f>
        <v>28.745982059716582</v>
      </c>
      <c r="AW42" s="21">
        <f>EXP(-LN(2)/2)*AW41+(1-EXP(-LN(2)/2))/(LN(2)/2)*AQ42*AT42*VLOOKUP('Données projet'!$B$10,Paramètres!$A$1:$I$89,3,0)*0.475*44/12</f>
        <v>3.932060938675316</v>
      </c>
      <c r="AX42" s="21">
        <f t="shared" si="6"/>
        <v>50.177523606292034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4.3352272727272725</v>
      </c>
      <c r="N43" s="13">
        <f>IF('Données projet'!$A$36&gt;35,N42+M43-V42,IF(A43&lt;'Données projet'!$A$36,$K$205^A43,IF(A43='Données projet'!$A$36,'Données projet'!$B$36,N42+M43-V42)))</f>
        <v>173.40909090909091</v>
      </c>
      <c r="O43" s="13">
        <f>N43*VLOOKUP('Données projet'!$B$9,Paramètres!$A$1:$I$89,3,0)*VLOOKUP('Données projet'!$B$9,Paramètres!$A$1:$I$89,5,0)</f>
        <v>175.83681818181819</v>
      </c>
      <c r="P43" s="13">
        <f t="shared" si="33"/>
        <v>44.39469725400636</v>
      </c>
      <c r="Q43" s="20">
        <f t="shared" si="53"/>
        <v>383.56988938406107</v>
      </c>
      <c r="R43" s="59">
        <f t="shared" si="0"/>
        <v>676.90322271739433</v>
      </c>
      <c r="S43" s="59">
        <f ca="1">AVERAGE(OFFSET($R$3,0,0,'Données projet'!$E$9+1,1))-AVERAGE(OFFSET($H$3,0,0,'Données projet'!$E$9+1,1))</f>
        <v>369.23716180779473</v>
      </c>
      <c r="T43" s="59">
        <f t="shared" si="34"/>
        <v>256.03115836031884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22.82714285714286</v>
      </c>
      <c r="AI43" s="13">
        <f>IF('Données projet'!$A$62&gt;35,AI42+AH43-AQ42,IF(A43&lt;'Données projet'!$A$62,$AF$205^A43,IF(A43='Données projet'!$A$62,'Données projet'!$B$62,AI42+AH43-AQ42)))</f>
        <v>404.57571428571424</v>
      </c>
      <c r="AJ43" s="13">
        <f>AI43*VLOOKUP('Données projet'!$B$10,Paramètres!$A$1:$I$89,3,0)*VLOOKUP('Données projet'!$B$10,Paramètres!$A$1:$I$89,5,0)</f>
        <v>226.15782428571427</v>
      </c>
      <c r="AK43" s="13">
        <f t="shared" si="35"/>
        <v>55.451100541643569</v>
      </c>
      <c r="AL43" s="20">
        <f t="shared" si="4"/>
        <v>490.46887740764822</v>
      </c>
      <c r="AM43" s="59">
        <f t="shared" si="5"/>
        <v>783.80221074098154</v>
      </c>
      <c r="AN43" s="59">
        <f ca="1">AVERAGE(OFFSET($AM$3,0,0,'Données projet'!$E$10+1,1))-AVERAGE(OFFSET($H$3,0,0,'Données projet'!$E$10+1,1))</f>
        <v>318.85992789434766</v>
      </c>
      <c r="AO43" s="59">
        <f t="shared" si="36"/>
        <v>285.79375360040717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17.156326466808459</v>
      </c>
      <c r="AV43" s="21">
        <f>EXP(-LN(2)/25)*AV42+(1-EXP(-LN(2)/25))/(LN(2)/25)*Calculateur!AQ43*Calculateur!AS43*VLOOKUP('Données projet'!$B$10,Paramètres!$A$1:$I$89,3,0)*0.475*44/12</f>
        <v>27.959921668608136</v>
      </c>
      <c r="AW43" s="21">
        <f>EXP(-LN(2)/2)*AW42+(1-EXP(-LN(2)/2))/(LN(2)/2)*AQ43*AT43*VLOOKUP('Données projet'!$B$10,Paramètres!$A$1:$I$89,3,0)*0.475*44/12</f>
        <v>2.7803869537760577</v>
      </c>
      <c r="AX43" s="21">
        <f t="shared" si="6"/>
        <v>47.896635089192657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4.3352272727272725</v>
      </c>
      <c r="N44" s="13">
        <f>IF('Données projet'!$A$36&gt;35,N43+M44-V43,IF(A44&lt;'Données projet'!$A$36,$K$205^A44,IF(A44='Données projet'!$A$36,'Données projet'!$B$36,N43+M44-V43)))</f>
        <v>177.74431818181819</v>
      </c>
      <c r="O44" s="13">
        <f>N44*VLOOKUP('Données projet'!$B$9,Paramètres!$A$1:$I$89,3,0)*VLOOKUP('Données projet'!$B$9,Paramètres!$A$1:$I$89,5,0)</f>
        <v>180.23273863636365</v>
      </c>
      <c r="P44" s="13">
        <f t="shared" si="33"/>
        <v>45.373962330512391</v>
      </c>
      <c r="Q44" s="20">
        <f t="shared" si="53"/>
        <v>392.93167085064243</v>
      </c>
      <c r="R44" s="59">
        <f t="shared" si="0"/>
        <v>686.26500418397575</v>
      </c>
      <c r="S44" s="59">
        <f ca="1">AVERAGE(OFFSET($R$3,0,0,'Données projet'!$E$9+1,1))-AVERAGE(OFFSET($H$3,0,0,'Données projet'!$E$9+1,1))</f>
        <v>369.23716180779473</v>
      </c>
      <c r="T44" s="59">
        <f t="shared" si="34"/>
        <v>256.03115836031884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22.82714285714286</v>
      </c>
      <c r="AI44" s="13">
        <f>IF('Données projet'!$A$62&gt;35,AI43+AH44-AQ43,IF(A44&lt;'Données projet'!$A$62,$AF$205^A44,IF(A44='Données projet'!$A$62,'Données projet'!$B$62,AI43+AH44-AQ43)))</f>
        <v>427.4028571428571</v>
      </c>
      <c r="AJ44" s="13">
        <f>AI44*VLOOKUP('Données projet'!$B$10,Paramètres!$A$1:$I$89,3,0)*VLOOKUP('Données projet'!$B$10,Paramètres!$A$1:$I$89,5,0)</f>
        <v>238.91819714285711</v>
      </c>
      <c r="AK44" s="13">
        <f t="shared" si="35"/>
        <v>58.206714164613295</v>
      </c>
      <c r="AL44" s="20">
        <f t="shared" si="4"/>
        <v>517.49255386051107</v>
      </c>
      <c r="AM44" s="59">
        <f t="shared" si="5"/>
        <v>810.82588719384444</v>
      </c>
      <c r="AN44" s="59">
        <f ca="1">AVERAGE(OFFSET($AM$3,0,0,'Données projet'!$E$10+1,1))-AVERAGE(OFFSET($H$3,0,0,'Données projet'!$E$10+1,1))</f>
        <v>318.85992789434766</v>
      </c>
      <c r="AO44" s="59">
        <f t="shared" si="36"/>
        <v>285.79375360040717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16.819901369120224</v>
      </c>
      <c r="AV44" s="21">
        <f>EXP(-LN(2)/25)*AV43+(1-EXP(-LN(2)/25))/(LN(2)/25)*Calculateur!AQ44*Calculateur!AS44*VLOOKUP('Données projet'!$B$10,Paramètres!$A$1:$I$89,3,0)*0.475*44/12</f>
        <v>27.19535614023167</v>
      </c>
      <c r="AW44" s="21">
        <f>EXP(-LN(2)/2)*AW43+(1-EXP(-LN(2)/2))/(LN(2)/2)*AQ44*AT44*VLOOKUP('Données projet'!$B$10,Paramètres!$A$1:$I$89,3,0)*0.475*44/12</f>
        <v>1.9660304693376585</v>
      </c>
      <c r="AX44" s="21">
        <f t="shared" si="6"/>
        <v>45.981287978689558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4.3352272727272725</v>
      </c>
      <c r="N45" s="13">
        <f>IF('Données projet'!$A$36&gt;35,N44+M45-V44,IF(A45&lt;'Données projet'!$A$36,$K$205^A45,IF(A45='Données projet'!$A$36,'Données projet'!$B$36,N44+M45-V44)))</f>
        <v>182.07954545454547</v>
      </c>
      <c r="O45" s="13">
        <f>N45*VLOOKUP('Données projet'!$B$9,Paramètres!$A$1:$I$89,3,0)*VLOOKUP('Données projet'!$B$9,Paramètres!$A$1:$I$89,5,0)</f>
        <v>184.62865909090911</v>
      </c>
      <c r="P45" s="13">
        <f t="shared" si="33"/>
        <v>46.350450901383766</v>
      </c>
      <c r="Q45" s="20">
        <f t="shared" si="53"/>
        <v>402.28861656991006</v>
      </c>
      <c r="R45" s="59">
        <f t="shared" si="0"/>
        <v>695.62194990324338</v>
      </c>
      <c r="S45" s="59">
        <f ca="1">AVERAGE(OFFSET($R$3,0,0,'Données projet'!$E$9+1,1))-AVERAGE(OFFSET($H$3,0,0,'Données projet'!$E$9+1,1))</f>
        <v>369.23716180779473</v>
      </c>
      <c r="T45" s="59">
        <f t="shared" si="34"/>
        <v>256.03115836031884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450.23</v>
      </c>
      <c r="AG45" s="12">
        <f>VLOOKUP(A45,'Données projet'!$A$61:$I$81,9,0)</f>
        <v>22.82714285714286</v>
      </c>
      <c r="AH45" s="12">
        <f t="array" ref="AH45">INDEX(AG:AG,MIN(IF(ISNUMBER(AG45:AG241),ROW(AG45:AG241),"")))</f>
        <v>22.82714285714286</v>
      </c>
      <c r="AI45" s="13">
        <f>IF('Données projet'!$A$62&gt;35,AI44+AH45-AQ44,IF(A45&lt;'Données projet'!$A$62,$AF$205^A45,IF(A45='Données projet'!$A$62,'Données projet'!$B$62,AI44+AH45-AQ44)))</f>
        <v>450.22999999999996</v>
      </c>
      <c r="AJ45" s="13">
        <f>AI45*VLOOKUP('Données projet'!$B$10,Paramètres!$A$1:$I$89,3,0)*VLOOKUP('Données projet'!$B$10,Paramètres!$A$1:$I$89,5,0)</f>
        <v>251.67856999999998</v>
      </c>
      <c r="AK45" s="13">
        <f t="shared" si="35"/>
        <v>60.945241245024086</v>
      </c>
      <c r="AL45" s="20">
        <f t="shared" si="4"/>
        <v>544.48647125175023</v>
      </c>
      <c r="AM45" s="59">
        <f t="shared" si="5"/>
        <v>837.8198045850836</v>
      </c>
      <c r="AN45" s="59">
        <f ca="1">AVERAGE(OFFSET($AM$3,0,0,'Données projet'!$E$10+1,1))-AVERAGE(OFFSET($H$3,0,0,'Données projet'!$E$10+1,1))</f>
        <v>318.85992789434766</v>
      </c>
      <c r="AO45" s="59">
        <f t="shared" si="36"/>
        <v>285.79375360040717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99.98</v>
      </c>
      <c r="AR45" s="16">
        <f>IF(ISNA(VLOOKUP(A45,'Données projet'!$A$61:$I$81,5,0)),0%,VLOOKUP(A45,'Données projet'!$A$61:$I$81,5,0)*VLOOKUP('Données projet'!$B$10,Paramètres!$A$1:$I$89,7,0))</f>
        <v>0.27500000000000002</v>
      </c>
      <c r="AS45" s="16">
        <f>IF(ISNA(VLOOKUP(A45,'Données projet'!$A$61:$I$81,6,0)),0%,VLOOKUP(A45,'Données projet'!$A$61:$I$81,6,0)*VLOOKUP('Données projet'!$B$10,Paramètres!$A$1:$I$89,7,0))</f>
        <v>0.15400000000000003</v>
      </c>
      <c r="AT45" s="16">
        <f>IF(ISNA(VLOOKUP(A45,'Données projet'!$A$61:$I$81,7,0)),0%,VLOOKUP(A45,'Données projet'!$A$61:$I$81,7,0))</f>
        <v>0.22</v>
      </c>
      <c r="AU45" s="21">
        <f>EXP(-LN(2)/35)*AU44+(1-EXP(-LN(2)/35))/(LN(2)/35)*AQ45*AR45*VLOOKUP('Données projet'!$B$10,Paramètres!$A$1:$I$89,3,0)*0.475*44/12</f>
        <v>36.878606931224688</v>
      </c>
      <c r="AV45" s="21">
        <f>EXP(-LN(2)/25)*AV44+(1-EXP(-LN(2)/25))/(LN(2)/25)*Calculateur!AQ45*Calculateur!AS45*VLOOKUP('Données projet'!$B$10,Paramètres!$A$1:$I$89,3,0)*0.475*44/12</f>
        <v>37.824321136809566</v>
      </c>
      <c r="AW45" s="21">
        <f>EXP(-LN(2)/2)*AW44+(1-EXP(-LN(2)/2))/(LN(2)/2)*AQ45*AT45*VLOOKUP('Données projet'!$B$10,Paramètres!$A$1:$I$89,3,0)*0.475*44/12</f>
        <v>15.311601433309512</v>
      </c>
      <c r="AX45" s="21">
        <f t="shared" si="6"/>
        <v>90.014529501343759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4.3352272727272725</v>
      </c>
      <c r="N46" s="13">
        <f>IF('Données projet'!$A$36&gt;35,N45+M46-V45,IF(A46&lt;'Données projet'!$A$36,$K$205^A46,IF(A46='Données projet'!$A$36,'Données projet'!$B$36,N45+M46-V45)))</f>
        <v>186.41477272727275</v>
      </c>
      <c r="O46" s="13">
        <f>N46*VLOOKUP('Données projet'!$B$9,Paramètres!$A$1:$I$89,3,0)*VLOOKUP('Données projet'!$B$9,Paramètres!$A$1:$I$89,5,0)</f>
        <v>189.02457954545457</v>
      </c>
      <c r="P46" s="13">
        <f t="shared" si="33"/>
        <v>47.324236680692024</v>
      </c>
      <c r="Q46" s="20">
        <f t="shared" si="53"/>
        <v>411.64085492720528</v>
      </c>
      <c r="R46" s="59">
        <f t="shared" si="0"/>
        <v>704.97418826053854</v>
      </c>
      <c r="S46" s="59">
        <f ca="1">AVERAGE(OFFSET($R$3,0,0,'Données projet'!$E$9+1,1))-AVERAGE(OFFSET($H$3,0,0,'Données projet'!$E$9+1,1))</f>
        <v>369.23716180779473</v>
      </c>
      <c r="T46" s="59">
        <f t="shared" si="34"/>
        <v>256.03115836031884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21.939999999999998</v>
      </c>
      <c r="AI46" s="13">
        <f>IF('Données projet'!$A$62&gt;35,AI45+AH46-AQ45,IF(A46&lt;'Données projet'!$A$62,$AF$205^A46,IF(A46='Données projet'!$A$62,'Données projet'!$B$62,AI45+AH46-AQ45)))</f>
        <v>372.18999999999994</v>
      </c>
      <c r="AJ46" s="13">
        <f>AI46*VLOOKUP('Données projet'!$B$10,Paramètres!$A$1:$I$89,3,0)*VLOOKUP('Données projet'!$B$10,Paramètres!$A$1:$I$89,5,0)</f>
        <v>208.05420999999996</v>
      </c>
      <c r="AK46" s="13">
        <f t="shared" si="35"/>
        <v>51.510151537098693</v>
      </c>
      <c r="AL46" s="20">
        <f t="shared" si="4"/>
        <v>452.07459634378012</v>
      </c>
      <c r="AM46" s="59">
        <f t="shared" si="5"/>
        <v>745.40792967711343</v>
      </c>
      <c r="AN46" s="59">
        <f ca="1">AVERAGE(OFFSET($AM$3,0,0,'Données projet'!$E$10+1,1))-AVERAGE(OFFSET($H$3,0,0,'Données projet'!$E$10+1,1))</f>
        <v>318.85992789434766</v>
      </c>
      <c r="AO46" s="59">
        <f t="shared" si="36"/>
        <v>285.79375360040717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36.155439943032526</v>
      </c>
      <c r="AV46" s="21">
        <f>EXP(-LN(2)/25)*AV45+(1-EXP(-LN(2)/25))/(LN(2)/25)*Calculateur!AQ46*Calculateur!AS46*VLOOKUP('Données projet'!$B$10,Paramètres!$A$1:$I$89,3,0)*0.475*44/12</f>
        <v>36.79001308622891</v>
      </c>
      <c r="AW46" s="21">
        <f>EXP(-LN(2)/2)*AW45+(1-EXP(-LN(2)/2))/(LN(2)/2)*AQ46*AT46*VLOOKUP('Données projet'!$B$10,Paramètres!$A$1:$I$89,3,0)*0.475*44/12</f>
        <v>10.826937204318817</v>
      </c>
      <c r="AX46" s="21">
        <f t="shared" si="6"/>
        <v>83.772390233580268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190.75</v>
      </c>
      <c r="L47" s="12">
        <f>VLOOKUP(A47,'Données projet'!$A$35:$I$55,9,0)</f>
        <v>4.3352272727272725</v>
      </c>
      <c r="M47" s="12">
        <f t="array" ref="M47">INDEX(L:L,MIN(IF(ISNUMBER(L47:L243),ROW(L47:L243),"")))</f>
        <v>4.3352272727272725</v>
      </c>
      <c r="N47" s="13">
        <f>IF('Données projet'!$A$36&gt;35,N46+M47-V46,IF(A47&lt;'Données projet'!$A$36,$K$205^A47,IF(A47='Données projet'!$A$36,'Données projet'!$B$36,N46+M47-V46)))</f>
        <v>190.75000000000003</v>
      </c>
      <c r="O47" s="13">
        <f>N47*VLOOKUP('Données projet'!$B$9,Paramètres!$A$1:$I$89,3,0)*VLOOKUP('Données projet'!$B$9,Paramètres!$A$1:$I$89,5,0)</f>
        <v>193.42050000000003</v>
      </c>
      <c r="P47" s="13">
        <f t="shared" si="33"/>
        <v>48.295389758327794</v>
      </c>
      <c r="Q47" s="20">
        <f t="shared" si="53"/>
        <v>420.98850799575433</v>
      </c>
      <c r="R47" s="59">
        <f t="shared" si="0"/>
        <v>714.32184132908765</v>
      </c>
      <c r="S47" s="59">
        <f ca="1">AVERAGE(OFFSET($R$3,0,0,'Données projet'!$E$9+1,1))-AVERAGE(OFFSET($H$3,0,0,'Données projet'!$E$9+1,1))</f>
        <v>369.23716180779473</v>
      </c>
      <c r="T47" s="59">
        <f t="shared" si="34"/>
        <v>256.03115836031884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74.010000000000005</v>
      </c>
      <c r="W47" s="16">
        <f>IF(ISNA(VLOOKUP(A47,'Données projet'!$A$35:$I$55,5,0)),0%,VLOOKUP(A47,'Données projet'!$A$35:$I$55,5,0)*VLOOKUP('Données projet'!$B$9,Paramètres!$A$1:$I$89,7,0))</f>
        <v>8.6000000000000007E-2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7.1346704986723317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7.1346704986723317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21.939999999999998</v>
      </c>
      <c r="AI47" s="13">
        <f>IF('Données projet'!$A$62&gt;35,AI46+AH47-AQ46,IF(A47&lt;'Données projet'!$A$62,$AF$205^A47,IF(A47='Données projet'!$A$62,'Données projet'!$B$62,AI46+AH47-AQ46)))</f>
        <v>394.12999999999994</v>
      </c>
      <c r="AJ47" s="13">
        <f>AI47*VLOOKUP('Données projet'!$B$10,Paramètres!$A$1:$I$89,3,0)*VLOOKUP('Données projet'!$B$10,Paramètres!$A$1:$I$89,5,0)</f>
        <v>220.31866999999997</v>
      </c>
      <c r="AK47" s="13">
        <f t="shared" si="35"/>
        <v>54.184141234835565</v>
      </c>
      <c r="AL47" s="20">
        <f t="shared" si="4"/>
        <v>478.09239623400521</v>
      </c>
      <c r="AM47" s="59">
        <f t="shared" si="5"/>
        <v>771.42572956733852</v>
      </c>
      <c r="AN47" s="59">
        <f ca="1">AVERAGE(OFFSET($AM$3,0,0,'Données projet'!$E$10+1,1))-AVERAGE(OFFSET($H$3,0,0,'Données projet'!$E$10+1,1))</f>
        <v>318.85992789434766</v>
      </c>
      <c r="AO47" s="59">
        <f t="shared" si="36"/>
        <v>285.79375360040717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35.446453818390509</v>
      </c>
      <c r="AV47" s="21">
        <f>EXP(-LN(2)/25)*AV46+(1-EXP(-LN(2)/25))/(LN(2)/25)*Calculateur!AQ47*Calculateur!AS47*VLOOKUP('Données projet'!$B$10,Paramètres!$A$1:$I$89,3,0)*0.475*44/12</f>
        <v>35.783988243683275</v>
      </c>
      <c r="AW47" s="21">
        <f>EXP(-LN(2)/2)*AW46+(1-EXP(-LN(2)/2))/(LN(2)/2)*AQ47*AT47*VLOOKUP('Données projet'!$B$10,Paramètres!$A$1:$I$89,3,0)*0.475*44/12</f>
        <v>7.655800716654757</v>
      </c>
      <c r="AX47" s="21">
        <f t="shared" si="6"/>
        <v>78.886242778728544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8.8971428571428586</v>
      </c>
      <c r="N48" s="13">
        <f>IF('Données projet'!$A$36&gt;35,N47+M48-V47,IF(A48&lt;'Données projet'!$A$36,$K$205^A48,IF(A48='Données projet'!$A$36,'Données projet'!$B$36,N47+M48-V47)))</f>
        <v>125.63714285714288</v>
      </c>
      <c r="O48" s="13">
        <f>N48*VLOOKUP('Données projet'!$B$9,Paramètres!$A$1:$I$89,3,0)*VLOOKUP('Données projet'!$B$9,Paramètres!$A$1:$I$89,5,0)</f>
        <v>127.39606285714289</v>
      </c>
      <c r="P48" s="13">
        <f t="shared" si="33"/>
        <v>33.393959195868241</v>
      </c>
      <c r="Q48" s="20">
        <f t="shared" si="53"/>
        <v>280.0426217423277</v>
      </c>
      <c r="R48" s="59">
        <f t="shared" si="0"/>
        <v>573.37595507566107</v>
      </c>
      <c r="S48" s="59">
        <f ca="1">AVERAGE(OFFSET($R$3,0,0,'Données projet'!$E$9+1,1))-AVERAGE(OFFSET($H$3,0,0,'Données projet'!$E$9+1,1))</f>
        <v>369.23716180779473</v>
      </c>
      <c r="T48" s="59">
        <f t="shared" si="34"/>
        <v>256.03115836031884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6.9947639619126747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6.9947639619126747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21.939999999999998</v>
      </c>
      <c r="AI48" s="13">
        <f>IF('Données projet'!$A$62&gt;35,AI47+AH48-AQ47,IF(A48&lt;'Données projet'!$A$62,$AF$205^A48,IF(A48='Données projet'!$A$62,'Données projet'!$B$62,AI47+AH48-AQ47)))</f>
        <v>416.06999999999994</v>
      </c>
      <c r="AJ48" s="13">
        <f>AI48*VLOOKUP('Données projet'!$B$10,Paramètres!$A$1:$I$89,3,0)*VLOOKUP('Données projet'!$B$10,Paramètres!$A$1:$I$89,5,0)</f>
        <v>232.58312999999998</v>
      </c>
      <c r="AK48" s="13">
        <f t="shared" si="35"/>
        <v>56.840851065639789</v>
      </c>
      <c r="AL48" s="20">
        <f t="shared" si="4"/>
        <v>504.08010035598926</v>
      </c>
      <c r="AM48" s="59">
        <f t="shared" si="5"/>
        <v>797.41343368932257</v>
      </c>
      <c r="AN48" s="59">
        <f ca="1">AVERAGE(OFFSET($AM$3,0,0,'Données projet'!$E$10+1,1))-AVERAGE(OFFSET($H$3,0,0,'Données projet'!$E$10+1,1))</f>
        <v>318.85992789434766</v>
      </c>
      <c r="AO48" s="59">
        <f t="shared" si="36"/>
        <v>285.79375360040717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34.751370479213882</v>
      </c>
      <c r="AV48" s="21">
        <f>EXP(-LN(2)/25)*AV47+(1-EXP(-LN(2)/25))/(LN(2)/25)*Calculateur!AQ48*Calculateur!AS48*VLOOKUP('Données projet'!$B$10,Paramètres!$A$1:$I$89,3,0)*0.475*44/12</f>
        <v>34.805473203361601</v>
      </c>
      <c r="AW48" s="21">
        <f>EXP(-LN(2)/2)*AW47+(1-EXP(-LN(2)/2))/(LN(2)/2)*AQ48*AT48*VLOOKUP('Données projet'!$B$10,Paramètres!$A$1:$I$89,3,0)*0.475*44/12</f>
        <v>5.4134686021594094</v>
      </c>
      <c r="AX48" s="21">
        <f t="shared" si="6"/>
        <v>74.970312284734888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8.8971428571428586</v>
      </c>
      <c r="N49" s="13">
        <f>IF('Données projet'!$A$36&gt;35,N48+M49-V48,IF(A49&lt;'Données projet'!$A$36,$K$205^A49,IF(A49='Données projet'!$A$36,'Données projet'!$B$36,N48+M49-V48)))</f>
        <v>134.53428571428574</v>
      </c>
      <c r="O49" s="13">
        <f>N49*VLOOKUP('Données projet'!$B$9,Paramètres!$A$1:$I$89,3,0)*VLOOKUP('Données projet'!$B$9,Paramètres!$A$1:$I$89,5,0)</f>
        <v>136.41776571428576</v>
      </c>
      <c r="P49" s="13">
        <f t="shared" si="33"/>
        <v>35.475132041912033</v>
      </c>
      <c r="Q49" s="20">
        <f t="shared" si="53"/>
        <v>299.38013025871112</v>
      </c>
      <c r="R49" s="59">
        <f t="shared" si="0"/>
        <v>592.71346359204449</v>
      </c>
      <c r="S49" s="59">
        <f ca="1">AVERAGE(OFFSET($R$3,0,0,'Données projet'!$E$9+1,1))-AVERAGE(OFFSET($H$3,0,0,'Données projet'!$E$9+1,1))</f>
        <v>369.23716180779473</v>
      </c>
      <c r="T49" s="59">
        <f t="shared" si="34"/>
        <v>256.03115836031884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6.8576009070043131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6.8576009070043131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21.939999999999998</v>
      </c>
      <c r="AI49" s="13">
        <f>IF('Données projet'!$A$62&gt;35,AI48+AH49-AQ48,IF(A49&lt;'Données projet'!$A$62,$AF$205^A49,IF(A49='Données projet'!$A$62,'Données projet'!$B$62,AI48+AH49-AQ48)))</f>
        <v>438.00999999999993</v>
      </c>
      <c r="AJ49" s="13">
        <f>AI49*VLOOKUP('Données projet'!$B$10,Paramètres!$A$1:$I$89,3,0)*VLOOKUP('Données projet'!$B$10,Paramètres!$A$1:$I$89,5,0)</f>
        <v>244.84758999999997</v>
      </c>
      <c r="AK49" s="13">
        <f t="shared" si="35"/>
        <v>59.481296135283444</v>
      </c>
      <c r="AL49" s="20">
        <f t="shared" si="4"/>
        <v>530.03947668561864</v>
      </c>
      <c r="AM49" s="59">
        <f t="shared" si="5"/>
        <v>823.3728100189519</v>
      </c>
      <c r="AN49" s="59">
        <f ca="1">AVERAGE(OFFSET($AM$3,0,0,'Données projet'!$E$10+1,1))-AVERAGE(OFFSET($H$3,0,0,'Données projet'!$E$10+1,1))</f>
        <v>318.85992789434766</v>
      </c>
      <c r="AO49" s="59">
        <f t="shared" si="36"/>
        <v>285.79375360040717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34.069917300359535</v>
      </c>
      <c r="AV49" s="21">
        <f>EXP(-LN(2)/25)*AV48+(1-EXP(-LN(2)/25))/(LN(2)/25)*Calculateur!AQ49*Calculateur!AS49*VLOOKUP('Données projet'!$B$10,Paramètres!$A$1:$I$89,3,0)*0.475*44/12</f>
        <v>33.853715708275388</v>
      </c>
      <c r="AW49" s="21">
        <f>EXP(-LN(2)/2)*AW48+(1-EXP(-LN(2)/2))/(LN(2)/2)*AQ49*AT49*VLOOKUP('Données projet'!$B$10,Paramètres!$A$1:$I$89,3,0)*0.475*44/12</f>
        <v>3.827900358327379</v>
      </c>
      <c r="AX49" s="21">
        <f t="shared" si="6"/>
        <v>71.751533366962306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8.8971428571428586</v>
      </c>
      <c r="N50" s="13">
        <f>IF('Données projet'!$A$36&gt;35,N49+M50-V49,IF(A50&lt;'Données projet'!$A$36,$K$205^A50,IF(A50='Données projet'!$A$36,'Données projet'!$B$36,N49+M50-V49)))</f>
        <v>143.4314285714286</v>
      </c>
      <c r="O50" s="13">
        <f>N50*VLOOKUP('Données projet'!$B$9,Paramètres!$A$1:$I$89,3,0)*VLOOKUP('Données projet'!$B$9,Paramètres!$A$1:$I$89,5,0)</f>
        <v>145.43946857142859</v>
      </c>
      <c r="P50" s="13">
        <f t="shared" si="33"/>
        <v>37.540333509258133</v>
      </c>
      <c r="Q50" s="20">
        <f t="shared" si="53"/>
        <v>318.68982195719605</v>
      </c>
      <c r="R50" s="59">
        <f t="shared" si="0"/>
        <v>612.0231552905293</v>
      </c>
      <c r="S50" s="59">
        <f ca="1">AVERAGE(OFFSET($R$3,0,0,'Données projet'!$E$9+1,1))-AVERAGE(OFFSET($H$3,0,0,'Données projet'!$E$9+1,1))</f>
        <v>369.23716180779473</v>
      </c>
      <c r="T50" s="59">
        <f t="shared" si="34"/>
        <v>256.03115836031884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6.7231275359415026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6.7231275359415026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21.939999999999998</v>
      </c>
      <c r="AI50" s="13">
        <f>IF('Données projet'!$A$62&gt;35,AI49+AH50-AQ49,IF(A50&lt;'Données projet'!$A$62,$AF$205^A50,IF(A50='Données projet'!$A$62,'Données projet'!$B$62,AI49+AH50-AQ49)))</f>
        <v>459.94999999999993</v>
      </c>
      <c r="AJ50" s="13">
        <f>AI50*VLOOKUP('Données projet'!$B$10,Paramètres!$A$1:$I$89,3,0)*VLOOKUP('Données projet'!$B$10,Paramètres!$A$1:$I$89,5,0)</f>
        <v>257.11205000000001</v>
      </c>
      <c r="AK50" s="13">
        <f t="shared" si="35"/>
        <v>62.106384111300585</v>
      </c>
      <c r="AL50" s="20">
        <f t="shared" si="4"/>
        <v>555.97210607718182</v>
      </c>
      <c r="AM50" s="59">
        <f t="shared" si="5"/>
        <v>849.30543941051519</v>
      </c>
      <c r="AN50" s="59">
        <f ca="1">AVERAGE(OFFSET($AM$3,0,0,'Données projet'!$E$10+1,1))-AVERAGE(OFFSET($H$3,0,0,'Données projet'!$E$10+1,1))</f>
        <v>318.85992789434766</v>
      </c>
      <c r="AO50" s="59">
        <f t="shared" si="36"/>
        <v>285.79375360040717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33.401827002697125</v>
      </c>
      <c r="AV50" s="21">
        <f>EXP(-LN(2)/25)*AV49+(1-EXP(-LN(2)/25))/(LN(2)/25)*Calculateur!AQ50*Calculateur!AS50*VLOOKUP('Données projet'!$B$10,Paramètres!$A$1:$I$89,3,0)*0.475*44/12</f>
        <v>32.927984071943065</v>
      </c>
      <c r="AW50" s="21">
        <f>EXP(-LN(2)/2)*AW49+(1-EXP(-LN(2)/2))/(LN(2)/2)*AQ50*AT50*VLOOKUP('Données projet'!$B$10,Paramètres!$A$1:$I$89,3,0)*0.475*44/12</f>
        <v>2.7067343010797051</v>
      </c>
      <c r="AX50" s="21">
        <f t="shared" si="6"/>
        <v>69.036545375719896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8.8971428571428586</v>
      </c>
      <c r="N51" s="13">
        <f>IF('Données projet'!$A$36&gt;35,N50+M51-V50,IF(A51&lt;'Données projet'!$A$36,$K$205^A51,IF(A51='Données projet'!$A$36,'Données projet'!$B$36,N50+M51-V50)))</f>
        <v>152.32857142857145</v>
      </c>
      <c r="O51" s="13">
        <f>N51*VLOOKUP('Données projet'!$B$9,Paramètres!$A$1:$I$89,3,0)*VLOOKUP('Données projet'!$B$9,Paramètres!$A$1:$I$89,5,0)</f>
        <v>154.46117142857148</v>
      </c>
      <c r="P51" s="13">
        <f t="shared" si="33"/>
        <v>39.590667107133989</v>
      </c>
      <c r="Q51" s="20">
        <f t="shared" si="53"/>
        <v>337.9736187830203</v>
      </c>
      <c r="R51" s="59">
        <f t="shared" si="0"/>
        <v>631.30695211635361</v>
      </c>
      <c r="S51" s="59">
        <f ca="1">AVERAGE(OFFSET($R$3,0,0,'Données projet'!$E$9+1,1))-AVERAGE(OFFSET($H$3,0,0,'Données projet'!$E$9+1,1))</f>
        <v>369.23716180779473</v>
      </c>
      <c r="T51" s="59">
        <f t="shared" si="34"/>
        <v>256.03115836031884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6.5912911056645758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6.5912911056645758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21.939999999999998</v>
      </c>
      <c r="AI51" s="13">
        <f>IF('Données projet'!$A$62&gt;35,AI50+AH51-AQ50,IF(A51&lt;'Données projet'!$A$62,$AF$205^A51,IF(A51='Données projet'!$A$62,'Données projet'!$B$62,AI50+AH51-AQ50)))</f>
        <v>481.88999999999993</v>
      </c>
      <c r="AJ51" s="13">
        <f>AI51*VLOOKUP('Données projet'!$B$10,Paramètres!$A$1:$I$89,3,0)*VLOOKUP('Données projet'!$B$10,Paramètres!$A$1:$I$89,5,0)</f>
        <v>269.37650999999994</v>
      </c>
      <c r="AK51" s="13">
        <f t="shared" si="35"/>
        <v>64.716931175288423</v>
      </c>
      <c r="AL51" s="20">
        <f t="shared" si="4"/>
        <v>581.87941004696052</v>
      </c>
      <c r="AM51" s="59">
        <f t="shared" si="5"/>
        <v>875.21274338029389</v>
      </c>
      <c r="AN51" s="59">
        <f ca="1">AVERAGE(OFFSET($AM$3,0,0,'Données projet'!$E$10+1,1))-AVERAGE(OFFSET($H$3,0,0,'Données projet'!$E$10+1,1))</f>
        <v>318.85992789434766</v>
      </c>
      <c r="AO51" s="59">
        <f t="shared" si="36"/>
        <v>285.79375360040717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32.746837548277028</v>
      </c>
      <c r="AV51" s="21">
        <f>EXP(-LN(2)/25)*AV50+(1-EXP(-LN(2)/25))/(LN(2)/25)*Calculateur!AQ51*Calculateur!AS51*VLOOKUP('Données projet'!$B$10,Paramètres!$A$1:$I$89,3,0)*0.475*44/12</f>
        <v>32.027566615888361</v>
      </c>
      <c r="AW51" s="21">
        <f>EXP(-LN(2)/2)*AW50+(1-EXP(-LN(2)/2))/(LN(2)/2)*AQ51*AT51*VLOOKUP('Données projet'!$B$10,Paramètres!$A$1:$I$89,3,0)*0.475*44/12</f>
        <v>1.9139501791636899</v>
      </c>
      <c r="AX51" s="21">
        <f t="shared" si="6"/>
        <v>66.688354343329081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8.8971428571428586</v>
      </c>
      <c r="N52" s="13">
        <f>IF('Données projet'!$A$36&gt;35,N51+M52-V51,IF(A52&lt;'Données projet'!$A$36,$K$205^A52,IF(A52='Données projet'!$A$36,'Données projet'!$B$36,N51+M52-V51)))</f>
        <v>161.2257142857143</v>
      </c>
      <c r="O52" s="13">
        <f>N52*VLOOKUP('Données projet'!$B$9,Paramètres!$A$1:$I$89,3,0)*VLOOKUP('Données projet'!$B$9,Paramètres!$A$1:$I$89,5,0)</f>
        <v>163.4828742857143</v>
      </c>
      <c r="P52" s="13">
        <f t="shared" si="33"/>
        <v>41.627100156427311</v>
      </c>
      <c r="Q52" s="20">
        <f t="shared" si="53"/>
        <v>357.23320548672996</v>
      </c>
      <c r="R52" s="59">
        <f t="shared" si="0"/>
        <v>650.56653882006322</v>
      </c>
      <c r="S52" s="59">
        <f ca="1">AVERAGE(OFFSET($R$3,0,0,'Données projet'!$E$9+1,1))-AVERAGE(OFFSET($H$3,0,0,'Données projet'!$E$9+1,1))</f>
        <v>369.23716180779473</v>
      </c>
      <c r="T52" s="59">
        <f t="shared" si="34"/>
        <v>256.03115836031884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6.4620399073730974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6.4620399073730974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503.83</v>
      </c>
      <c r="AG52" s="12">
        <f>VLOOKUP(A52,'Données projet'!$A$61:$I$81,9,0)</f>
        <v>21.939999999999998</v>
      </c>
      <c r="AH52" s="12">
        <f t="array" ref="AH52">INDEX(AG:AG,MIN(IF(ISNUMBER(AG52:AG248),ROW(AG52:AG248),"")))</f>
        <v>21.939999999999998</v>
      </c>
      <c r="AI52" s="13">
        <f>IF('Données projet'!$A$62&gt;35,AI51+AH52-AQ51,IF(A52&lt;'Données projet'!$A$62,$AF$205^A52,IF(A52='Données projet'!$A$62,'Données projet'!$B$62,AI51+AH52-AQ51)))</f>
        <v>503.82999999999993</v>
      </c>
      <c r="AJ52" s="13">
        <f>AI52*VLOOKUP('Données projet'!$B$10,Paramètres!$A$1:$I$89,3,0)*VLOOKUP('Données projet'!$B$10,Paramètres!$A$1:$I$89,5,0)</f>
        <v>281.64096999999998</v>
      </c>
      <c r="AK52" s="13">
        <f t="shared" si="35"/>
        <v>67.313674987907362</v>
      </c>
      <c r="AL52" s="20">
        <f t="shared" si="4"/>
        <v>607.76267335393857</v>
      </c>
      <c r="AM52" s="59">
        <f t="shared" si="5"/>
        <v>901.09600668727194</v>
      </c>
      <c r="AN52" s="59">
        <f ca="1">AVERAGE(OFFSET($AM$3,0,0,'Données projet'!$E$10+1,1))-AVERAGE(OFFSET($H$3,0,0,'Données projet'!$E$10+1,1))</f>
        <v>318.85992789434766</v>
      </c>
      <c r="AO52" s="59">
        <f t="shared" si="36"/>
        <v>285.79375360040717</v>
      </c>
      <c r="AP52" s="15">
        <f>IF(ISNA(VLOOKUP(A52,'Données projet'!$A$61:$I$81,3,0)),0,VLOOKUP(A52,'Données projet'!$A$61:$I$81,3,0))</f>
        <v>6</v>
      </c>
      <c r="AQ52" s="15">
        <f>IF(ISNA(VLOOKUP(A52,'Données projet'!$A$61:$I$81,4,0)),0,VLOOKUP(A52,'Données projet'!$A$61:$I$81,4,0))</f>
        <v>112.61</v>
      </c>
      <c r="AR52" s="16">
        <f>IF(ISNA(VLOOKUP(A52,'Données projet'!$A$61:$I$81,5,0)),0%,VLOOKUP(A52,'Données projet'!$A$61:$I$81,5,0)*VLOOKUP('Données projet'!$B$10,Paramètres!$A$1:$I$89,7,0))</f>
        <v>0.33</v>
      </c>
      <c r="AS52" s="16">
        <f>IF(ISNA(VLOOKUP(A52,'Données projet'!$A$61:$I$81,6,0)),0%,VLOOKUP(A52,'Données projet'!$A$61:$I$81,6,0)*VLOOKUP('Données projet'!$B$10,Paramètres!$A$1:$I$89,7,0))</f>
        <v>0.12100000000000001</v>
      </c>
      <c r="AT52" s="16">
        <f>IF(ISNA(VLOOKUP(A52,'Données projet'!$A$61:$I$81,7,0)),0%,VLOOKUP(A52,'Données projet'!$A$61:$I$81,7,0))</f>
        <v>0.18</v>
      </c>
      <c r="AU52" s="21">
        <f>EXP(-LN(2)/35)*AU51+(1-EXP(-LN(2)/35))/(LN(2)/35)*AQ52*AR52*VLOOKUP('Données projet'!$B$10,Paramètres!$A$1:$I$89,3,0)*0.475*44/12</f>
        <v>59.66163660869428</v>
      </c>
      <c r="AV52" s="21">
        <f>EXP(-LN(2)/25)*AV51+(1-EXP(-LN(2)/25))/(LN(2)/25)*Calculateur!AQ52*Calculateur!AS52*VLOOKUP('Données projet'!$B$10,Paramètres!$A$1:$I$89,3,0)*0.475*44/12</f>
        <v>41.216199995313403</v>
      </c>
      <c r="AW52" s="21">
        <f>EXP(-LN(2)/2)*AW51+(1-EXP(-LN(2)/2))/(LN(2)/2)*AQ52*AT52*VLOOKUP('Données projet'!$B$10,Paramètres!$A$1:$I$89,3,0)*0.475*44/12</f>
        <v>14.182485473980547</v>
      </c>
      <c r="AX52" s="21">
        <f t="shared" si="6"/>
        <v>115.06032207798823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8.8971428571428586</v>
      </c>
      <c r="N53" s="13">
        <f>IF('Données projet'!$A$36&gt;35,N52+M53-V52,IF(A53&lt;'Données projet'!$A$36,$K$205^A53,IF(A53='Données projet'!$A$36,'Données projet'!$B$36,N52+M53-V52)))</f>
        <v>170.12285714285716</v>
      </c>
      <c r="O53" s="13">
        <f>N53*VLOOKUP('Données projet'!$B$9,Paramètres!$A$1:$I$89,3,0)*VLOOKUP('Données projet'!$B$9,Paramètres!$A$1:$I$89,5,0)</f>
        <v>172.50457714285716</v>
      </c>
      <c r="P53" s="13">
        <f t="shared" si="33"/>
        <v>43.650487186242977</v>
      </c>
      <c r="Q53" s="20">
        <f t="shared" si="53"/>
        <v>376.47007037318275</v>
      </c>
      <c r="R53" s="59">
        <f t="shared" si="0"/>
        <v>669.80340370651606</v>
      </c>
      <c r="S53" s="59">
        <f ca="1">AVERAGE(OFFSET($R$3,0,0,'Données projet'!$E$9+1,1))-AVERAGE(OFFSET($H$3,0,0,'Données projet'!$E$9+1,1))</f>
        <v>369.23716180779473</v>
      </c>
      <c r="T53" s="59">
        <f t="shared" si="34"/>
        <v>256.03115836031884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6.335323246244668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6.335323246244668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20.324285714285718</v>
      </c>
      <c r="AI53" s="13">
        <f>IF('Données projet'!$A$62&gt;35,AI52+AH53-AQ52,IF(A53&lt;'Données projet'!$A$62,$AF$205^A53,IF(A53='Données projet'!$A$62,'Données projet'!$B$62,AI52+AH53-AQ52)))</f>
        <v>411.54428571428559</v>
      </c>
      <c r="AJ53" s="13">
        <f>AI53*VLOOKUP('Données projet'!$B$10,Paramètres!$A$1:$I$89,3,0)*VLOOKUP('Données projet'!$B$10,Paramètres!$A$1:$I$89,5,0)</f>
        <v>230.05325571428565</v>
      </c>
      <c r="AK53" s="13">
        <f t="shared" si="35"/>
        <v>56.294196506523697</v>
      </c>
      <c r="AL53" s="20">
        <f t="shared" si="4"/>
        <v>498.72181261790962</v>
      </c>
      <c r="AM53" s="59">
        <f t="shared" si="5"/>
        <v>792.05514595124293</v>
      </c>
      <c r="AN53" s="59">
        <f ca="1">AVERAGE(OFFSET($AM$3,0,0,'Données projet'!$E$10+1,1))-AVERAGE(OFFSET($H$3,0,0,'Données projet'!$E$10+1,1))</f>
        <v>318.85992789434766</v>
      </c>
      <c r="AO53" s="59">
        <f t="shared" si="36"/>
        <v>285.79375360040717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58.491708304802906</v>
      </c>
      <c r="AV53" s="21">
        <f>EXP(-LN(2)/25)*AV52+(1-EXP(-LN(2)/25))/(LN(2)/25)*Calculateur!AQ53*Calculateur!AS53*VLOOKUP('Données projet'!$B$10,Paramètres!$A$1:$I$89,3,0)*0.475*44/12</f>
        <v>40.089140838975801</v>
      </c>
      <c r="AW53" s="21">
        <f>EXP(-LN(2)/2)*AW52+(1-EXP(-LN(2)/2))/(LN(2)/2)*AQ53*AT53*VLOOKUP('Données projet'!$B$10,Paramètres!$A$1:$I$89,3,0)*0.475*44/12</f>
        <v>10.028531652731353</v>
      </c>
      <c r="AX53" s="21">
        <f t="shared" si="6"/>
        <v>108.60938079651007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179.02</v>
      </c>
      <c r="L54" s="12">
        <f>VLOOKUP(A54,'Données projet'!$A$35:$I$55,9,0)</f>
        <v>8.8971428571428586</v>
      </c>
      <c r="M54" s="12">
        <f t="array" ref="M54">INDEX(L:L,MIN(IF(ISNUMBER(L54:L250),ROW(L54:L250),"")))</f>
        <v>8.8971428571428586</v>
      </c>
      <c r="N54" s="13">
        <f>IF('Données projet'!$A$36&gt;35,N53+M54-V53,IF(A54&lt;'Données projet'!$A$36,$K$205^A54,IF(A54='Données projet'!$A$36,'Données projet'!$B$36,N53+M54-V53)))</f>
        <v>179.02</v>
      </c>
      <c r="O54" s="13">
        <f>N54*VLOOKUP('Données projet'!$B$9,Paramètres!$A$1:$I$89,3,0)*VLOOKUP('Données projet'!$B$9,Paramètres!$A$1:$I$89,5,0)</f>
        <v>181.52628000000001</v>
      </c>
      <c r="P54" s="13">
        <f t="shared" si="33"/>
        <v>45.661588296502025</v>
      </c>
      <c r="Q54" s="20">
        <f t="shared" si="53"/>
        <v>395.68553728307438</v>
      </c>
      <c r="R54" s="59">
        <f t="shared" si="0"/>
        <v>689.01887061640764</v>
      </c>
      <c r="S54" s="59">
        <f ca="1">AVERAGE(OFFSET($R$3,0,0,'Données projet'!$E$9+1,1))-AVERAGE(OFFSET($H$3,0,0,'Données projet'!$E$9+1,1))</f>
        <v>369.23716180779473</v>
      </c>
      <c r="T54" s="59">
        <f t="shared" si="34"/>
        <v>256.03115836031884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46.13</v>
      </c>
      <c r="W54" s="16">
        <f>IF(ISNA(VLOOKUP(A54,'Données projet'!$A$35:$I$55,5,0)),0%,VLOOKUP(A54,'Données projet'!$A$35:$I$55,5,0)*VLOOKUP('Données projet'!$B$9,Paramètres!$A$1:$I$89,7,0))</f>
        <v>8.6000000000000007E-2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10.658089801550823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10.658089801550823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20.324285714285718</v>
      </c>
      <c r="AI54" s="13">
        <f>IF('Données projet'!$A$62&gt;35,AI53+AH54-AQ53,IF(A54&lt;'Données projet'!$A$62,$AF$205^A54,IF(A54='Données projet'!$A$62,'Données projet'!$B$62,AI53+AH54-AQ53)))</f>
        <v>431.86857142857133</v>
      </c>
      <c r="AJ54" s="13">
        <f>AI54*VLOOKUP('Données projet'!$B$10,Paramètres!$A$1:$I$89,3,0)*VLOOKUP('Données projet'!$B$10,Paramètres!$A$1:$I$89,5,0)</f>
        <v>241.41453142857139</v>
      </c>
      <c r="AK54" s="13">
        <f t="shared" si="35"/>
        <v>58.743769641045859</v>
      </c>
      <c r="AL54" s="20">
        <f t="shared" si="4"/>
        <v>522.77570769625004</v>
      </c>
      <c r="AM54" s="59">
        <f t="shared" si="5"/>
        <v>816.1090410295833</v>
      </c>
      <c r="AN54" s="59">
        <f ca="1">AVERAGE(OFFSET($AM$3,0,0,'Données projet'!$E$10+1,1))-AVERAGE(OFFSET($H$3,0,0,'Données projet'!$E$10+1,1))</f>
        <v>318.85992789434766</v>
      </c>
      <c r="AO54" s="59">
        <f t="shared" si="36"/>
        <v>285.79375360040717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57.344721581365036</v>
      </c>
      <c r="AV54" s="21">
        <f>EXP(-LN(2)/25)*AV53+(1-EXP(-LN(2)/25))/(LN(2)/25)*Calculateur!AQ54*Calculateur!AS54*VLOOKUP('Données projet'!$B$10,Paramètres!$A$1:$I$89,3,0)*0.475*44/12</f>
        <v>38.992901174537714</v>
      </c>
      <c r="AW54" s="21">
        <f>EXP(-LN(2)/2)*AW53+(1-EXP(-LN(2)/2))/(LN(2)/2)*AQ54*AT54*VLOOKUP('Données projet'!$B$10,Paramètres!$A$1:$I$89,3,0)*0.475*44/12</f>
        <v>7.0912427369902744</v>
      </c>
      <c r="AX54" s="21">
        <f t="shared" si="6"/>
        <v>103.42886549289301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8.2874999999999979</v>
      </c>
      <c r="N55" s="13">
        <f>IF('Données projet'!$A$36&gt;35,N54+M55-V54,IF(A55&lt;'Données projet'!$A$36,$K$205^A55,IF(A55='Données projet'!$A$36,'Données projet'!$B$36,N54+M55-V54)))</f>
        <v>141.17750000000001</v>
      </c>
      <c r="O55" s="13">
        <f>N55*VLOOKUP('Données projet'!$B$9,Paramètres!$A$1:$I$89,3,0)*VLOOKUP('Données projet'!$B$9,Paramètres!$A$1:$I$89,5,0)</f>
        <v>143.15398500000001</v>
      </c>
      <c r="P55" s="13">
        <f t="shared" si="33"/>
        <v>37.018599662860296</v>
      </c>
      <c r="Q55" s="20">
        <f t="shared" si="53"/>
        <v>313.80058495448168</v>
      </c>
      <c r="R55" s="59">
        <f t="shared" si="0"/>
        <v>607.13391828781505</v>
      </c>
      <c r="S55" s="59">
        <f ca="1">AVERAGE(OFFSET($R$3,0,0,'Données projet'!$E$9+1,1))-AVERAGE(OFFSET($H$3,0,0,'Données projet'!$E$9+1,1))</f>
        <v>369.23716180779473</v>
      </c>
      <c r="T55" s="59">
        <f t="shared" si="34"/>
        <v>256.03115836031884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10.449091161335289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10.449091161335289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20.324285714285718</v>
      </c>
      <c r="AI55" s="13">
        <f>IF('Données projet'!$A$62&gt;35,AI54+AH55-AQ54,IF(A55&lt;'Données projet'!$A$62,$AF$205^A55,IF(A55='Données projet'!$A$62,'Données projet'!$B$62,AI54+AH55-AQ54)))</f>
        <v>452.19285714285706</v>
      </c>
      <c r="AJ55" s="13">
        <f>AI55*VLOOKUP('Données projet'!$B$10,Paramètres!$A$1:$I$89,3,0)*VLOOKUP('Données projet'!$B$10,Paramètres!$A$1:$I$89,5,0)</f>
        <v>252.7758071428571</v>
      </c>
      <c r="AK55" s="13">
        <f t="shared" si="35"/>
        <v>61.179955647848509</v>
      </c>
      <c r="AL55" s="20">
        <f t="shared" si="4"/>
        <v>546.80628686047885</v>
      </c>
      <c r="AM55" s="59">
        <f t="shared" si="5"/>
        <v>840.13962019381211</v>
      </c>
      <c r="AN55" s="59">
        <f ca="1">AVERAGE(OFFSET($AM$3,0,0,'Données projet'!$E$10+1,1))-AVERAGE(OFFSET($H$3,0,0,'Données projet'!$E$10+1,1))</f>
        <v>318.85992789434766</v>
      </c>
      <c r="AO55" s="59">
        <f t="shared" si="36"/>
        <v>285.79375360040717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56.220226567980959</v>
      </c>
      <c r="AV55" s="21">
        <f>EXP(-LN(2)/25)*AV54+(1-EXP(-LN(2)/25))/(LN(2)/25)*Calculateur!AQ55*Calculateur!AS55*VLOOKUP('Données projet'!$B$10,Paramètres!$A$1:$I$89,3,0)*0.475*44/12</f>
        <v>37.92663824137243</v>
      </c>
      <c r="AW55" s="21">
        <f>EXP(-LN(2)/2)*AW54+(1-EXP(-LN(2)/2))/(LN(2)/2)*AQ55*AT55*VLOOKUP('Données projet'!$B$10,Paramètres!$A$1:$I$89,3,0)*0.475*44/12</f>
        <v>5.0142658263656763</v>
      </c>
      <c r="AX55" s="21">
        <f t="shared" si="6"/>
        <v>99.161130635719061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8.2874999999999979</v>
      </c>
      <c r="N56" s="13">
        <f>IF('Données projet'!$A$36&gt;35,N55+M56-V55,IF(A56&lt;'Données projet'!$A$36,$K$205^A56,IF(A56='Données projet'!$A$36,'Données projet'!$B$36,N55+M56-V55)))</f>
        <v>149.465</v>
      </c>
      <c r="O56" s="13">
        <f>N56*VLOOKUP('Données projet'!$B$9,Paramètres!$A$1:$I$89,3,0)*VLOOKUP('Données projet'!$B$9,Paramètres!$A$1:$I$89,5,0)</f>
        <v>151.55751000000001</v>
      </c>
      <c r="P56" s="13">
        <f t="shared" si="33"/>
        <v>38.932322282515337</v>
      </c>
      <c r="Q56" s="20">
        <f t="shared" si="53"/>
        <v>331.76979122538091</v>
      </c>
      <c r="R56" s="59">
        <f t="shared" si="0"/>
        <v>625.10312455871417</v>
      </c>
      <c r="S56" s="59">
        <f ca="1">AVERAGE(OFFSET($R$3,0,0,'Données projet'!$E$9+1,1))-AVERAGE(OFFSET($H$3,0,0,'Données projet'!$E$9+1,1))</f>
        <v>369.23716180779473</v>
      </c>
      <c r="T56" s="59">
        <f t="shared" si="34"/>
        <v>256.03115836031884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10.2441908569778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10.2441908569778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20.324285714285718</v>
      </c>
      <c r="AI56" s="13">
        <f>IF('Données projet'!$A$62&gt;35,AI55+AH56-AQ55,IF(A56&lt;'Données projet'!$A$62,$AF$205^A56,IF(A56='Données projet'!$A$62,'Données projet'!$B$62,AI55+AH56-AQ55)))</f>
        <v>472.5171428571428</v>
      </c>
      <c r="AJ56" s="13">
        <f>AI56*VLOOKUP('Données projet'!$B$10,Paramètres!$A$1:$I$89,3,0)*VLOOKUP('Données projet'!$B$10,Paramètres!$A$1:$I$89,5,0)</f>
        <v>264.13708285714284</v>
      </c>
      <c r="AK56" s="13">
        <f t="shared" si="35"/>
        <v>63.60342497029243</v>
      </c>
      <c r="AL56" s="20">
        <f t="shared" si="4"/>
        <v>570.8147177994498</v>
      </c>
      <c r="AM56" s="59">
        <f t="shared" si="5"/>
        <v>864.14805113278317</v>
      </c>
      <c r="AN56" s="59">
        <f ca="1">AVERAGE(OFFSET($AM$3,0,0,'Données projet'!$E$10+1,1))-AVERAGE(OFFSET($H$3,0,0,'Données projet'!$E$10+1,1))</f>
        <v>318.85992789434766</v>
      </c>
      <c r="AO56" s="59">
        <f t="shared" si="36"/>
        <v>285.79375360040717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55.117782215935108</v>
      </c>
      <c r="AV56" s="21">
        <f>EXP(-LN(2)/25)*AV55+(1-EXP(-LN(2)/25))/(LN(2)/25)*Calculateur!AQ56*Calculateur!AS56*VLOOKUP('Données projet'!$B$10,Paramètres!$A$1:$I$89,3,0)*0.475*44/12</f>
        <v>36.889532324186881</v>
      </c>
      <c r="AW56" s="21">
        <f>EXP(-LN(2)/2)*AW55+(1-EXP(-LN(2)/2))/(LN(2)/2)*AQ56*AT56*VLOOKUP('Données projet'!$B$10,Paramètres!$A$1:$I$89,3,0)*0.475*44/12</f>
        <v>3.5456213684951372</v>
      </c>
      <c r="AX56" s="21">
        <f t="shared" si="6"/>
        <v>95.55293590861713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8.2874999999999979</v>
      </c>
      <c r="N57" s="13">
        <f>IF('Données projet'!$A$36&gt;35,N56+M57-V56,IF(A57&lt;'Données projet'!$A$36,$K$205^A57,IF(A57='Données projet'!$A$36,'Données projet'!$B$36,N56+M57-V56)))</f>
        <v>157.7525</v>
      </c>
      <c r="O57" s="13">
        <f>N57*VLOOKUP('Données projet'!$B$9,Paramètres!$A$1:$I$89,3,0)*VLOOKUP('Données projet'!$B$9,Paramètres!$A$1:$I$89,5,0)</f>
        <v>159.96103500000001</v>
      </c>
      <c r="P57" s="13">
        <f t="shared" si="33"/>
        <v>40.833726617603936</v>
      </c>
      <c r="Q57" s="20">
        <f t="shared" si="53"/>
        <v>349.71754315066022</v>
      </c>
      <c r="R57" s="59">
        <f t="shared" si="0"/>
        <v>643.05087648399353</v>
      </c>
      <c r="S57" s="59">
        <f ca="1">AVERAGE(OFFSET($R$3,0,0,'Données projet'!$E$9+1,1))-AVERAGE(OFFSET($H$3,0,0,'Données projet'!$E$9+1,1))</f>
        <v>369.23716180779473</v>
      </c>
      <c r="T57" s="59">
        <f t="shared" si="34"/>
        <v>256.03115836031884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10.043308522611916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10.043308522611916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20.324285714285718</v>
      </c>
      <c r="AI57" s="13">
        <f>IF('Données projet'!$A$62&gt;35,AI56+AH57-AQ56,IF(A57&lt;'Données projet'!$A$62,$AF$205^A57,IF(A57='Données projet'!$A$62,'Données projet'!$B$62,AI56+AH57-AQ56)))</f>
        <v>492.84142857142854</v>
      </c>
      <c r="AJ57" s="13">
        <f>AI57*VLOOKUP('Données projet'!$B$10,Paramètres!$A$1:$I$89,3,0)*VLOOKUP('Données projet'!$B$10,Paramètres!$A$1:$I$89,5,0)</f>
        <v>275.49835857142858</v>
      </c>
      <c r="AK57" s="13">
        <f t="shared" si="35"/>
        <v>66.0147871145425</v>
      </c>
      <c r="AL57" s="20">
        <f t="shared" si="4"/>
        <v>594.80206206973287</v>
      </c>
      <c r="AM57" s="59">
        <f t="shared" si="5"/>
        <v>888.13539540306624</v>
      </c>
      <c r="AN57" s="59">
        <f ca="1">AVERAGE(OFFSET($AM$3,0,0,'Données projet'!$E$10+1,1))-AVERAGE(OFFSET($H$3,0,0,'Données projet'!$E$10+1,1))</f>
        <v>318.85992789434766</v>
      </c>
      <c r="AO57" s="59">
        <f t="shared" si="36"/>
        <v>285.79375360040717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54.036956125208221</v>
      </c>
      <c r="AV57" s="21">
        <f>EXP(-LN(2)/25)*AV56+(1-EXP(-LN(2)/25))/(LN(2)/25)*Calculateur!AQ57*Calculateur!AS57*VLOOKUP('Données projet'!$B$10,Paramètres!$A$1:$I$89,3,0)*0.475*44/12</f>
        <v>35.880786122845798</v>
      </c>
      <c r="AW57" s="21">
        <f>EXP(-LN(2)/2)*AW56+(1-EXP(-LN(2)/2))/(LN(2)/2)*AQ57*AT57*VLOOKUP('Données projet'!$B$10,Paramètres!$A$1:$I$89,3,0)*0.475*44/12</f>
        <v>2.5071329131828382</v>
      </c>
      <c r="AX57" s="21">
        <f t="shared" si="6"/>
        <v>92.424875161236869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8.2874999999999979</v>
      </c>
      <c r="N58" s="13">
        <f>IF('Données projet'!$A$36&gt;35,N57+M58-V57,IF(A58&lt;'Données projet'!$A$36,$K$205^A58,IF(A58='Données projet'!$A$36,'Données projet'!$B$36,N57+M58-V57)))</f>
        <v>166.04</v>
      </c>
      <c r="O58" s="13">
        <f>N58*VLOOKUP('Données projet'!$B$9,Paramètres!$A$1:$I$89,3,0)*VLOOKUP('Données projet'!$B$9,Paramètres!$A$1:$I$89,5,0)</f>
        <v>168.36456000000001</v>
      </c>
      <c r="P58" s="13">
        <f t="shared" si="33"/>
        <v>42.72353360967368</v>
      </c>
      <c r="Q58" s="20">
        <f t="shared" si="53"/>
        <v>367.64509637018165</v>
      </c>
      <c r="R58" s="59">
        <f t="shared" si="0"/>
        <v>660.97842970351496</v>
      </c>
      <c r="S58" s="59">
        <f ca="1">AVERAGE(OFFSET($R$3,0,0,'Données projet'!$E$9+1,1))-AVERAGE(OFFSET($H$3,0,0,'Données projet'!$E$9+1,1))</f>
        <v>369.23716180779473</v>
      </c>
      <c r="T58" s="59">
        <f t="shared" si="34"/>
        <v>256.03115836031884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9.8463653682968211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9.8463653682968211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20.324285714285718</v>
      </c>
      <c r="AI58" s="13">
        <f>IF('Données projet'!$A$62&gt;35,AI57+AH58-AQ57,IF(A58&lt;'Données projet'!$A$62,$AF$205^A58,IF(A58='Données projet'!$A$62,'Données projet'!$B$62,AI57+AH58-AQ57)))</f>
        <v>513.16571428571422</v>
      </c>
      <c r="AJ58" s="13">
        <f>AI58*VLOOKUP('Données projet'!$B$10,Paramètres!$A$1:$I$89,3,0)*VLOOKUP('Données projet'!$B$10,Paramètres!$A$1:$I$89,5,0)</f>
        <v>286.85963428571421</v>
      </c>
      <c r="AK58" s="13">
        <f t="shared" si="35"/>
        <v>68.41459847146298</v>
      </c>
      <c r="AL58" s="20">
        <f t="shared" si="4"/>
        <v>618.7692887187502</v>
      </c>
      <c r="AM58" s="59">
        <f t="shared" si="5"/>
        <v>912.10262205208346</v>
      </c>
      <c r="AN58" s="59">
        <f ca="1">AVERAGE(OFFSET($AM$3,0,0,'Données projet'!$E$10+1,1))-AVERAGE(OFFSET($H$3,0,0,'Données projet'!$E$10+1,1))</f>
        <v>318.85992789434766</v>
      </c>
      <c r="AO58" s="59">
        <f t="shared" si="36"/>
        <v>285.79375360040717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52.977324374881661</v>
      </c>
      <c r="AV58" s="21">
        <f>EXP(-LN(2)/25)*AV57+(1-EXP(-LN(2)/25))/(LN(2)/25)*Calculateur!AQ58*Calculateur!AS58*VLOOKUP('Données projet'!$B$10,Paramètres!$A$1:$I$89,3,0)*0.475*44/12</f>
        <v>34.899624139428042</v>
      </c>
      <c r="AW58" s="21">
        <f>EXP(-LN(2)/2)*AW57+(1-EXP(-LN(2)/2))/(LN(2)/2)*AQ58*AT58*VLOOKUP('Données projet'!$B$10,Paramètres!$A$1:$I$89,3,0)*0.475*44/12</f>
        <v>1.7728106842475686</v>
      </c>
      <c r="AX58" s="21">
        <f t="shared" si="6"/>
        <v>89.649759198557277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8.2874999999999979</v>
      </c>
      <c r="N59" s="13">
        <f>IF('Données projet'!$A$36&gt;35,N58+M59-V58,IF(A59&lt;'Données projet'!$A$36,$K$205^A59,IF(A59='Données projet'!$A$36,'Données projet'!$B$36,N58+M59-V58)))</f>
        <v>174.32749999999999</v>
      </c>
      <c r="O59" s="13">
        <f>N59*VLOOKUP('Données projet'!$B$9,Paramètres!$A$1:$I$89,3,0)*VLOOKUP('Données projet'!$B$9,Paramètres!$A$1:$I$89,5,0)</f>
        <v>176.76808499999999</v>
      </c>
      <c r="P59" s="13">
        <f t="shared" si="33"/>
        <v>44.602388166551528</v>
      </c>
      <c r="Q59" s="20">
        <f t="shared" si="53"/>
        <v>385.55357409841054</v>
      </c>
      <c r="R59" s="59">
        <f t="shared" si="0"/>
        <v>678.88690743174379</v>
      </c>
      <c r="S59" s="59">
        <f ca="1">AVERAGE(OFFSET($R$3,0,0,'Données projet'!$E$9+1,1))-AVERAGE(OFFSET($H$3,0,0,'Données projet'!$E$9+1,1))</f>
        <v>369.23716180779473</v>
      </c>
      <c r="T59" s="59">
        <f t="shared" si="34"/>
        <v>256.03115836031884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9.6532841491143824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9.6532841491143824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533.49</v>
      </c>
      <c r="AG59" s="12">
        <f>VLOOKUP(A59,'Données projet'!$A$61:$I$81,9,0)</f>
        <v>20.324285714285718</v>
      </c>
      <c r="AH59" s="12">
        <f t="array" ref="AH59">INDEX(AG:AG,MIN(IF(ISNUMBER(AG59:AG255),ROW(AG59:AG255),"")))</f>
        <v>20.324285714285718</v>
      </c>
      <c r="AI59" s="13">
        <f>IF('Données projet'!$A$62&gt;35,AI58+AH59-AQ58,IF(A59&lt;'Données projet'!$A$62,$AF$205^A59,IF(A59='Données projet'!$A$62,'Données projet'!$B$62,AI58+AH59-AQ58)))</f>
        <v>533.4899999999999</v>
      </c>
      <c r="AJ59" s="13">
        <f>AI59*VLOOKUP('Données projet'!$B$10,Paramètres!$A$1:$I$89,3,0)*VLOOKUP('Données projet'!$B$10,Paramètres!$A$1:$I$89,5,0)</f>
        <v>298.22090999999995</v>
      </c>
      <c r="AK59" s="13">
        <f t="shared" si="35"/>
        <v>70.803368864473384</v>
      </c>
      <c r="AL59" s="20">
        <f t="shared" si="4"/>
        <v>642.71728568895765</v>
      </c>
      <c r="AM59" s="59">
        <f t="shared" si="5"/>
        <v>936.0506190222909</v>
      </c>
      <c r="AN59" s="59">
        <f ca="1">AVERAGE(OFFSET($AM$3,0,0,'Données projet'!$E$10+1,1))-AVERAGE(OFFSET($H$3,0,0,'Données projet'!$E$10+1,1))</f>
        <v>318.85992789434766</v>
      </c>
      <c r="AO59" s="59">
        <f t="shared" si="36"/>
        <v>285.79375360040717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94.57</v>
      </c>
      <c r="AR59" s="16">
        <f>IF(ISNA(VLOOKUP(A59,'Données projet'!$A$61:$I$81,5,0)),0%,VLOOKUP(A59,'Données projet'!$A$61:$I$81,5,0)*VLOOKUP('Données projet'!$B$10,Paramètres!$A$1:$I$89,7,0))</f>
        <v>0.38500000000000001</v>
      </c>
      <c r="AS59" s="16">
        <f>IF(ISNA(VLOOKUP(A59,'Données projet'!$A$61:$I$81,6,0)),0%,VLOOKUP(A59,'Données projet'!$A$61:$I$81,6,0)*VLOOKUP('Données projet'!$B$10,Paramètres!$A$1:$I$89,7,0))</f>
        <v>9.3500000000000014E-2</v>
      </c>
      <c r="AT59" s="16">
        <f>IF(ISNA(VLOOKUP(A59,'Données projet'!$A$61:$I$81,7,0)),0%,VLOOKUP(A59,'Données projet'!$A$61:$I$81,7,0))</f>
        <v>0.13</v>
      </c>
      <c r="AU59" s="21">
        <f>EXP(-LN(2)/35)*AU58+(1-EXP(-LN(2)/35))/(LN(2)/35)*AQ59*AR59*VLOOKUP('Données projet'!$B$10,Paramètres!$A$1:$I$89,3,0)*0.475*44/12</f>
        <v>78.937881913433131</v>
      </c>
      <c r="AV59" s="21">
        <f>EXP(-LN(2)/25)*AV58+(1-EXP(-LN(2)/25))/(LN(2)/25)*Calculateur!AQ59*Calculateur!AS59*VLOOKUP('Données projet'!$B$10,Paramètres!$A$1:$I$89,3,0)*0.475*44/12</f>
        <v>40.476474382380808</v>
      </c>
      <c r="AW59" s="21">
        <f>EXP(-LN(2)/2)*AW58+(1-EXP(-LN(2)/2))/(LN(2)/2)*AQ59*AT59*VLOOKUP('Données projet'!$B$10,Paramètres!$A$1:$I$89,3,0)*0.475*44/12</f>
        <v>9.0347218493536676</v>
      </c>
      <c r="AX59" s="21">
        <f t="shared" si="6"/>
        <v>128.44907814516762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8.2874999999999979</v>
      </c>
      <c r="N60" s="13">
        <f>IF('Données projet'!$A$36&gt;35,N59+M60-V59,IF(A60&lt;'Données projet'!$A$36,$K$205^A60,IF(A60='Données projet'!$A$36,'Données projet'!$B$36,N59+M60-V59)))</f>
        <v>182.61499999999998</v>
      </c>
      <c r="O60" s="13">
        <f>N60*VLOOKUP('Données projet'!$B$9,Paramètres!$A$1:$I$89,3,0)*VLOOKUP('Données projet'!$B$9,Paramètres!$A$1:$I$89,5,0)</f>
        <v>185.17160999999999</v>
      </c>
      <c r="P60" s="13">
        <f t="shared" si="33"/>
        <v>46.470870413614271</v>
      </c>
      <c r="Q60" s="20">
        <f t="shared" si="53"/>
        <v>403.44398672037818</v>
      </c>
      <c r="R60" s="59">
        <f t="shared" si="0"/>
        <v>696.77732005371149</v>
      </c>
      <c r="S60" s="59">
        <f ca="1">AVERAGE(OFFSET($R$3,0,0,'Données projet'!$E$9+1,1))-AVERAGE(OFFSET($H$3,0,0,'Données projet'!$E$9+1,1))</f>
        <v>369.23716180779473</v>
      </c>
      <c r="T60" s="59">
        <f t="shared" si="34"/>
        <v>256.03115836031884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9.4639891348721967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9.4639891348721967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18.58285714285714</v>
      </c>
      <c r="AI60" s="13">
        <f>IF('Données projet'!$A$62&gt;35,AI59+AH60-AQ59,IF(A60&lt;'Données projet'!$A$62,$AF$205^A60,IF(A60='Données projet'!$A$62,'Données projet'!$B$62,AI59+AH60-AQ59)))</f>
        <v>457.50285714285707</v>
      </c>
      <c r="AJ60" s="13">
        <f>AI60*VLOOKUP('Données projet'!$B$10,Paramètres!$A$1:$I$89,3,0)*VLOOKUP('Données projet'!$B$10,Paramètres!$A$1:$I$89,5,0)</f>
        <v>255.74409714285713</v>
      </c>
      <c r="AK60" s="13">
        <f t="shared" si="35"/>
        <v>61.814321894325772</v>
      </c>
      <c r="AL60" s="20">
        <f t="shared" si="4"/>
        <v>553.08091315642685</v>
      </c>
      <c r="AM60" s="59">
        <f t="shared" si="5"/>
        <v>846.41424648976022</v>
      </c>
      <c r="AN60" s="59">
        <f ca="1">AVERAGE(OFFSET($AM$3,0,0,'Données projet'!$E$10+1,1))-AVERAGE(OFFSET($H$3,0,0,'Données projet'!$E$10+1,1))</f>
        <v>318.85992789434766</v>
      </c>
      <c r="AO60" s="59">
        <f t="shared" si="36"/>
        <v>285.79375360040717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77.389958196464519</v>
      </c>
      <c r="AV60" s="21">
        <f>EXP(-LN(2)/25)*AV59+(1-EXP(-LN(2)/25))/(LN(2)/25)*Calculateur!AQ60*Calculateur!AS60*VLOOKUP('Données projet'!$B$10,Paramètres!$A$1:$I$89,3,0)*0.475*44/12</f>
        <v>39.369643061829329</v>
      </c>
      <c r="AW60" s="21">
        <f>EXP(-LN(2)/2)*AW59+(1-EXP(-LN(2)/2))/(LN(2)/2)*AQ60*AT60*VLOOKUP('Données projet'!$B$10,Paramètres!$A$1:$I$89,3,0)*0.475*44/12</f>
        <v>6.3885130858122441</v>
      </c>
      <c r="AX60" s="21">
        <f t="shared" si="6"/>
        <v>123.14811434410611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8.2874999999999979</v>
      </c>
      <c r="N61" s="13">
        <f>IF('Données projet'!$A$36&gt;35,N60+M61-V60,IF(A61&lt;'Données projet'!$A$36,$K$205^A61,IF(A61='Données projet'!$A$36,'Données projet'!$B$36,N60+M61-V60)))</f>
        <v>190.90249999999997</v>
      </c>
      <c r="O61" s="13">
        <f>N61*VLOOKUP('Données projet'!$B$9,Paramètres!$A$1:$I$89,3,0)*VLOOKUP('Données projet'!$B$9,Paramètres!$A$1:$I$89,5,0)</f>
        <v>193.57513499999999</v>
      </c>
      <c r="P61" s="13">
        <f t="shared" si="33"/>
        <v>48.329504844891687</v>
      </c>
      <c r="Q61" s="20">
        <f t="shared" si="53"/>
        <v>421.31724772985291</v>
      </c>
      <c r="R61" s="59">
        <f t="shared" si="0"/>
        <v>714.65058106318622</v>
      </c>
      <c r="S61" s="59">
        <f ca="1">AVERAGE(OFFSET($R$3,0,0,'Données projet'!$E$9+1,1))-AVERAGE(OFFSET($H$3,0,0,'Données projet'!$E$9+1,1))</f>
        <v>369.23716180779473</v>
      </c>
      <c r="T61" s="59">
        <f t="shared" si="34"/>
        <v>256.03115836031884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9.2784060804007424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9.2784060804007424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18.58285714285714</v>
      </c>
      <c r="AI61" s="13">
        <f>IF('Données projet'!$A$62&gt;35,AI60+AH61-AQ60,IF(A61&lt;'Données projet'!$A$62,$AF$205^A61,IF(A61='Données projet'!$A$62,'Données projet'!$B$62,AI60+AH61-AQ60)))</f>
        <v>476.08571428571423</v>
      </c>
      <c r="AJ61" s="13">
        <f>AI61*VLOOKUP('Données projet'!$B$10,Paramètres!$A$1:$I$89,3,0)*VLOOKUP('Données projet'!$B$10,Paramètres!$A$1:$I$89,5,0)</f>
        <v>266.13191428571429</v>
      </c>
      <c r="AK61" s="13">
        <f t="shared" si="35"/>
        <v>64.027675737818726</v>
      </c>
      <c r="AL61" s="20">
        <f t="shared" si="4"/>
        <v>575.02795262431994</v>
      </c>
      <c r="AM61" s="59">
        <f t="shared" si="5"/>
        <v>868.36128595765331</v>
      </c>
      <c r="AN61" s="59">
        <f ca="1">AVERAGE(OFFSET($AM$3,0,0,'Données projet'!$E$10+1,1))-AVERAGE(OFFSET($H$3,0,0,'Données projet'!$E$10+1,1))</f>
        <v>318.85992789434766</v>
      </c>
      <c r="AO61" s="59">
        <f t="shared" si="36"/>
        <v>285.79375360040717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75.87238831944542</v>
      </c>
      <c r="AV61" s="21">
        <f>EXP(-LN(2)/25)*AV60+(1-EXP(-LN(2)/25))/(LN(2)/25)*Calculateur!AQ61*Calculateur!AS61*VLOOKUP('Données projet'!$B$10,Paramètres!$A$1:$I$89,3,0)*0.475*44/12</f>
        <v>38.293078101944062</v>
      </c>
      <c r="AW61" s="21">
        <f>EXP(-LN(2)/2)*AW60+(1-EXP(-LN(2)/2))/(LN(2)/2)*AQ61*AT61*VLOOKUP('Données projet'!$B$10,Paramètres!$A$1:$I$89,3,0)*0.475*44/12</f>
        <v>4.5173609246768347</v>
      </c>
      <c r="AX61" s="21">
        <f t="shared" si="6"/>
        <v>118.68282734606632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199.19</v>
      </c>
      <c r="L62" s="12">
        <f>VLOOKUP(A62,'Données projet'!$A$35:$I$55,9,0)</f>
        <v>8.2874999999999979</v>
      </c>
      <c r="M62" s="12">
        <f t="array" ref="M62">INDEX(L:L,MIN(IF(ISNUMBER(L62:L258),ROW(L62:L258),"")))</f>
        <v>8.2874999999999979</v>
      </c>
      <c r="N62" s="13">
        <f>IF('Données projet'!$A$36&gt;35,N61+M62-V61,IF(A62&lt;'Données projet'!$A$36,$K$205^A62,IF(A62='Données projet'!$A$36,'Données projet'!$B$36,N61+M62-V61)))</f>
        <v>199.18999999999997</v>
      </c>
      <c r="O62" s="13">
        <f>N62*VLOOKUP('Données projet'!$B$9,Paramètres!$A$1:$I$89,3,0)*VLOOKUP('Données projet'!$B$9,Paramètres!$A$1:$I$89,5,0)</f>
        <v>201.97865999999996</v>
      </c>
      <c r="P62" s="13">
        <f t="shared" si="33"/>
        <v>50.178767840254075</v>
      </c>
      <c r="Q62" s="20">
        <f t="shared" si="53"/>
        <v>439.17418682177572</v>
      </c>
      <c r="R62" s="59">
        <f t="shared" si="0"/>
        <v>732.50752015510898</v>
      </c>
      <c r="S62" s="59">
        <f ca="1">AVERAGE(OFFSET($R$3,0,0,'Données projet'!$E$9+1,1))-AVERAGE(OFFSET($H$3,0,0,'Données projet'!$E$9+1,1))</f>
        <v>369.23716180779473</v>
      </c>
      <c r="T62" s="59">
        <f t="shared" si="34"/>
        <v>256.03115836031884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48.96</v>
      </c>
      <c r="W62" s="16">
        <f>IF(ISNA(VLOOKUP(A62,'Données projet'!$A$35:$I$55,5,0)),0%,VLOOKUP(A62,'Données projet'!$A$35:$I$55,5,0)*VLOOKUP('Données projet'!$B$9,Paramètres!$A$1:$I$89,7,0))</f>
        <v>0.129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16.176183874888544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16.176183874888544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18.58285714285714</v>
      </c>
      <c r="AI62" s="13">
        <f>IF('Données projet'!$A$62&gt;35,AI61+AH62-AQ61,IF(A62&lt;'Données projet'!$A$62,$AF$205^A62,IF(A62='Données projet'!$A$62,'Données projet'!$B$62,AI61+AH62-AQ61)))</f>
        <v>494.6685714285714</v>
      </c>
      <c r="AJ62" s="13">
        <f>AI62*VLOOKUP('Données projet'!$B$10,Paramètres!$A$1:$I$89,3,0)*VLOOKUP('Données projet'!$B$10,Paramètres!$A$1:$I$89,5,0)</f>
        <v>276.51973142857139</v>
      </c>
      <c r="AK62" s="13">
        <f t="shared" si="35"/>
        <v>66.230993562988928</v>
      </c>
      <c r="AL62" s="20">
        <f t="shared" si="4"/>
        <v>596.95751269363416</v>
      </c>
      <c r="AM62" s="59">
        <f t="shared" si="5"/>
        <v>890.29084602696753</v>
      </c>
      <c r="AN62" s="59">
        <f ca="1">AVERAGE(OFFSET($AM$3,0,0,'Données projet'!$E$10+1,1))-AVERAGE(OFFSET($H$3,0,0,'Données projet'!$E$10+1,1))</f>
        <v>318.85992789434766</v>
      </c>
      <c r="AO62" s="59">
        <f t="shared" si="36"/>
        <v>285.79375360040717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74.384577062088439</v>
      </c>
      <c r="AV62" s="21">
        <f>EXP(-LN(2)/25)*AV61+(1-EXP(-LN(2)/25))/(LN(2)/25)*Calculateur!AQ62*Calculateur!AS62*VLOOKUP('Données projet'!$B$10,Paramètres!$A$1:$I$89,3,0)*0.475*44/12</f>
        <v>37.245951867500942</v>
      </c>
      <c r="AW62" s="21">
        <f>EXP(-LN(2)/2)*AW61+(1-EXP(-LN(2)/2))/(LN(2)/2)*AQ62*AT62*VLOOKUP('Données projet'!$B$10,Paramètres!$A$1:$I$89,3,0)*0.475*44/12</f>
        <v>3.1942565429061229</v>
      </c>
      <c r="AX62" s="21">
        <f t="shared" si="6"/>
        <v>114.82478547249551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7.6762499999999996</v>
      </c>
      <c r="N63" s="13">
        <f>IF('Données projet'!$A$36&gt;35,N62+M63-V62,IF(A63&lt;'Données projet'!$A$36,$K$205^A63,IF(A63='Données projet'!$A$36,'Données projet'!$B$36,N62+M63-V62)))</f>
        <v>157.90624999999997</v>
      </c>
      <c r="O63" s="13">
        <f>N63*VLOOKUP('Données projet'!$B$9,Paramètres!$A$1:$I$89,3,0)*VLOOKUP('Données projet'!$B$9,Paramètres!$A$1:$I$89,5,0)</f>
        <v>160.11693749999998</v>
      </c>
      <c r="P63" s="13">
        <f t="shared" si="33"/>
        <v>40.868889864625359</v>
      </c>
      <c r="Q63" s="20">
        <f t="shared" si="53"/>
        <v>350.05031599338912</v>
      </c>
      <c r="R63" s="59">
        <f t="shared" si="0"/>
        <v>643.38364932672243</v>
      </c>
      <c r="S63" s="59">
        <f ca="1">AVERAGE(OFFSET($R$3,0,0,'Données projet'!$E$9+1,1))-AVERAGE(OFFSET($H$3,0,0,'Données projet'!$E$9+1,1))</f>
        <v>369.23716180779473</v>
      </c>
      <c r="T63" s="59">
        <f t="shared" si="34"/>
        <v>256.03115836031884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15.858978775599907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15.858978775599907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18.58285714285714</v>
      </c>
      <c r="AI63" s="13">
        <f>IF('Données projet'!$A$62&gt;35,AI62+AH63-AQ62,IF(A63&lt;'Données projet'!$A$62,$AF$205^A63,IF(A63='Données projet'!$A$62,'Données projet'!$B$62,AI62+AH63-AQ62)))</f>
        <v>513.25142857142851</v>
      </c>
      <c r="AJ63" s="13">
        <f>AI63*VLOOKUP('Données projet'!$B$10,Paramètres!$A$1:$I$89,3,0)*VLOOKUP('Données projet'!$B$10,Paramètres!$A$1:$I$89,5,0)</f>
        <v>286.90754857142855</v>
      </c>
      <c r="AK63" s="13">
        <f t="shared" si="35"/>
        <v>68.42469555259359</v>
      </c>
      <c r="AL63" s="20">
        <f t="shared" si="4"/>
        <v>618.87032518267199</v>
      </c>
      <c r="AM63" s="59">
        <f t="shared" si="5"/>
        <v>912.20365851600536</v>
      </c>
      <c r="AN63" s="59">
        <f ca="1">AVERAGE(OFFSET($AM$3,0,0,'Données projet'!$E$10+1,1))-AVERAGE(OFFSET($H$3,0,0,'Données projet'!$E$10+1,1))</f>
        <v>318.85992789434766</v>
      </c>
      <c r="AO63" s="59">
        <f t="shared" si="36"/>
        <v>285.79375360040717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72.925940876012973</v>
      </c>
      <c r="AV63" s="21">
        <f>EXP(-LN(2)/25)*AV62+(1-EXP(-LN(2)/25))/(LN(2)/25)*Calculateur!AQ63*Calculateur!AS63*VLOOKUP('Données projet'!$B$10,Paramètres!$A$1:$I$89,3,0)*0.475*44/12</f>
        <v>36.227459355004648</v>
      </c>
      <c r="AW63" s="21">
        <f>EXP(-LN(2)/2)*AW62+(1-EXP(-LN(2)/2))/(LN(2)/2)*AQ63*AT63*VLOOKUP('Données projet'!$B$10,Paramètres!$A$1:$I$89,3,0)*0.475*44/12</f>
        <v>2.2586804623384178</v>
      </c>
      <c r="AX63" s="21">
        <f t="shared" si="6"/>
        <v>111.41208069335605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7.6762499999999996</v>
      </c>
      <c r="N64" s="13">
        <f>IF('Données projet'!$A$36&gt;35,N63+M64-V63,IF(A64&lt;'Données projet'!$A$36,$K$205^A64,IF(A64='Données projet'!$A$36,'Données projet'!$B$36,N63+M64-V63)))</f>
        <v>165.58249999999998</v>
      </c>
      <c r="O64" s="13">
        <f>N64*VLOOKUP('Données projet'!$B$9,Paramètres!$A$1:$I$89,3,0)*VLOOKUP('Données projet'!$B$9,Paramètres!$A$1:$I$89,5,0)</f>
        <v>167.90065499999997</v>
      </c>
      <c r="P64" s="13">
        <f t="shared" si="33"/>
        <v>42.61950064939839</v>
      </c>
      <c r="Q64" s="20">
        <f t="shared" si="53"/>
        <v>366.65593775603548</v>
      </c>
      <c r="R64" s="59">
        <f t="shared" si="0"/>
        <v>659.9892710893688</v>
      </c>
      <c r="S64" s="59">
        <f ca="1">AVERAGE(OFFSET($R$3,0,0,'Données projet'!$E$9+1,1))-AVERAGE(OFFSET($H$3,0,0,'Données projet'!$E$9+1,1))</f>
        <v>369.23716180779473</v>
      </c>
      <c r="T64" s="59">
        <f t="shared" si="34"/>
        <v>256.03115836031884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15.547993874832313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15.547993874832313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18.58285714285714</v>
      </c>
      <c r="AI64" s="13">
        <f>IF('Données projet'!$A$62&gt;35,AI63+AH64-AQ63,IF(A64&lt;'Données projet'!$A$62,$AF$205^A64,IF(A64='Données projet'!$A$62,'Données projet'!$B$62,AI63+AH64-AQ63)))</f>
        <v>531.83428571428567</v>
      </c>
      <c r="AJ64" s="13">
        <f>AI64*VLOOKUP('Données projet'!$B$10,Paramètres!$A$1:$I$89,3,0)*VLOOKUP('Données projet'!$B$10,Paramètres!$A$1:$I$89,5,0)</f>
        <v>297.29536571428571</v>
      </c>
      <c r="AK64" s="13">
        <f t="shared" si="35"/>
        <v>70.609169738501635</v>
      </c>
      <c r="AL64" s="20">
        <f t="shared" si="4"/>
        <v>640.7670659136046</v>
      </c>
      <c r="AM64" s="59">
        <f t="shared" si="5"/>
        <v>934.10039924693797</v>
      </c>
      <c r="AN64" s="59">
        <f ca="1">AVERAGE(OFFSET($AM$3,0,0,'Données projet'!$E$10+1,1))-AVERAGE(OFFSET($H$3,0,0,'Données projet'!$E$10+1,1))</f>
        <v>318.85992789434766</v>
      </c>
      <c r="AO64" s="59">
        <f t="shared" si="36"/>
        <v>285.79375360040717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71.495907655866219</v>
      </c>
      <c r="AV64" s="21">
        <f>EXP(-LN(2)/25)*AV63+(1-EXP(-LN(2)/25))/(LN(2)/25)*Calculateur!AQ64*Calculateur!AS64*VLOOKUP('Données projet'!$B$10,Paramètres!$A$1:$I$89,3,0)*0.475*44/12</f>
        <v>35.236817573822755</v>
      </c>
      <c r="AW64" s="21">
        <f>EXP(-LN(2)/2)*AW63+(1-EXP(-LN(2)/2))/(LN(2)/2)*AQ64*AT64*VLOOKUP('Données projet'!$B$10,Paramètres!$A$1:$I$89,3,0)*0.475*44/12</f>
        <v>1.5971282714530617</v>
      </c>
      <c r="AX64" s="21">
        <f t="shared" si="6"/>
        <v>108.32985350114204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7.6762499999999996</v>
      </c>
      <c r="N65" s="13">
        <f>IF('Données projet'!$A$36&gt;35,N64+M65-V64,IF(A65&lt;'Données projet'!$A$36,$K$205^A65,IF(A65='Données projet'!$A$36,'Données projet'!$B$36,N64+M65-V64)))</f>
        <v>173.25874999999999</v>
      </c>
      <c r="O65" s="13">
        <f>N65*VLOOKUP('Données projet'!$B$9,Paramètres!$A$1:$I$89,3,0)*VLOOKUP('Données projet'!$B$9,Paramètres!$A$1:$I$89,5,0)</f>
        <v>175.68437250000002</v>
      </c>
      <c r="P65" s="13">
        <f t="shared" si="33"/>
        <v>44.360686674140567</v>
      </c>
      <c r="Q65" s="20">
        <f t="shared" si="53"/>
        <v>383.24514472829486</v>
      </c>
      <c r="R65" s="59">
        <f t="shared" si="0"/>
        <v>676.57847806162818</v>
      </c>
      <c r="S65" s="59">
        <f ca="1">AVERAGE(OFFSET($R$3,0,0,'Données projet'!$E$9+1,1))-AVERAGE(OFFSET($H$3,0,0,'Données projet'!$E$9+1,1))</f>
        <v>369.23716180779473</v>
      </c>
      <c r="T65" s="59">
        <f t="shared" si="34"/>
        <v>256.03115836031884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15.243107198286713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15.243107198286713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18.58285714285714</v>
      </c>
      <c r="AI65" s="13">
        <f>IF('Données projet'!$A$62&gt;35,AI64+AH65-AQ64,IF(A65&lt;'Données projet'!$A$62,$AF$205^A65,IF(A65='Données projet'!$A$62,'Données projet'!$B$62,AI64+AH65-AQ64)))</f>
        <v>550.41714285714284</v>
      </c>
      <c r="AJ65" s="13">
        <f>AI65*VLOOKUP('Données projet'!$B$10,Paramètres!$A$1:$I$89,3,0)*VLOOKUP('Données projet'!$B$10,Paramètres!$A$1:$I$89,5,0)</f>
        <v>307.68318285714287</v>
      </c>
      <c r="AK65" s="13">
        <f t="shared" si="35"/>
        <v>72.784775498421325</v>
      </c>
      <c r="AL65" s="20">
        <f t="shared" si="4"/>
        <v>662.64836080260761</v>
      </c>
      <c r="AM65" s="59">
        <f t="shared" si="5"/>
        <v>955.98169413594087</v>
      </c>
      <c r="AN65" s="59">
        <f ca="1">AVERAGE(OFFSET($AM$3,0,0,'Données projet'!$E$10+1,1))-AVERAGE(OFFSET($H$3,0,0,'Données projet'!$E$10+1,1))</f>
        <v>318.85992789434766</v>
      </c>
      <c r="AO65" s="59">
        <f t="shared" si="36"/>
        <v>285.79375360040717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70.093916514932403</v>
      </c>
      <c r="AV65" s="21">
        <f>EXP(-LN(2)/25)*AV64+(1-EXP(-LN(2)/25))/(LN(2)/25)*Calculateur!AQ65*Calculateur!AS65*VLOOKUP('Données projet'!$B$10,Paramètres!$A$1:$I$89,3,0)*0.475*44/12</f>
        <v>34.273264944242868</v>
      </c>
      <c r="AW65" s="21">
        <f>EXP(-LN(2)/2)*AW64+(1-EXP(-LN(2)/2))/(LN(2)/2)*AQ65*AT65*VLOOKUP('Données projet'!$B$10,Paramètres!$A$1:$I$89,3,0)*0.475*44/12</f>
        <v>1.1293402311692091</v>
      </c>
      <c r="AX65" s="21">
        <f t="shared" si="6"/>
        <v>105.49652169034448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7.6762499999999996</v>
      </c>
      <c r="N66" s="13">
        <f>IF('Données projet'!$A$36&gt;35,N65+M66-V65,IF(A66&lt;'Données projet'!$A$36,$K$205^A66,IF(A66='Données projet'!$A$36,'Données projet'!$B$36,N65+M66-V65)))</f>
        <v>180.935</v>
      </c>
      <c r="O66" s="13">
        <f>N66*VLOOKUP('Données projet'!$B$9,Paramètres!$A$1:$I$89,3,0)*VLOOKUP('Données projet'!$B$9,Paramètres!$A$1:$I$89,5,0)</f>
        <v>183.46809000000002</v>
      </c>
      <c r="P66" s="13">
        <f t="shared" si="33"/>
        <v>46.09291321946413</v>
      </c>
      <c r="Q66" s="20">
        <f t="shared" si="53"/>
        <v>399.81874727390004</v>
      </c>
      <c r="R66" s="59">
        <f t="shared" si="0"/>
        <v>693.1520806072333</v>
      </c>
      <c r="S66" s="59">
        <f ca="1">AVERAGE(OFFSET($R$3,0,0,'Données projet'!$E$9+1,1))-AVERAGE(OFFSET($H$3,0,0,'Données projet'!$E$9+1,1))</f>
        <v>369.23716180779473</v>
      </c>
      <c r="T66" s="59">
        <f t="shared" si="34"/>
        <v>256.03115836031884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14.944199163505662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14.944199163505662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569</v>
      </c>
      <c r="AG66" s="12">
        <f>VLOOKUP(A66,'Données projet'!$A$61:$I$81,9,0)</f>
        <v>18.58285714285714</v>
      </c>
      <c r="AH66" s="12">
        <f t="array" ref="AH66">INDEX(AG:AG,MIN(IF(ISNUMBER(AG66:AG262),ROW(AG66:AG262),"")))</f>
        <v>18.58285714285714</v>
      </c>
      <c r="AI66" s="13">
        <f>IF('Données projet'!$A$62&gt;35,AI65+AH66-AQ65,IF(A66&lt;'Données projet'!$A$62,$AF$205^A66,IF(A66='Données projet'!$A$62,'Données projet'!$B$62,AI65+AH66-AQ65)))</f>
        <v>569</v>
      </c>
      <c r="AJ66" s="13">
        <f>AI66*VLOOKUP('Données projet'!$B$10,Paramètres!$A$1:$I$89,3,0)*VLOOKUP('Données projet'!$B$10,Paramètres!$A$1:$I$89,5,0)</f>
        <v>318.07099999999997</v>
      </c>
      <c r="AK66" s="13">
        <f t="shared" si="35"/>
        <v>74.951846567144685</v>
      </c>
      <c r="AL66" s="20">
        <f t="shared" si="4"/>
        <v>684.51479110444359</v>
      </c>
      <c r="AM66" s="59">
        <f t="shared" si="5"/>
        <v>977.84812443777696</v>
      </c>
      <c r="AN66" s="59">
        <f ca="1">AVERAGE(OFFSET($AM$3,0,0,'Données projet'!$E$10+1,1))-AVERAGE(OFFSET($H$3,0,0,'Données projet'!$E$10+1,1))</f>
        <v>318.85992789434766</v>
      </c>
      <c r="AO66" s="59">
        <f t="shared" si="36"/>
        <v>285.79375360040717</v>
      </c>
      <c r="AP66" s="15">
        <f>IF(ISNA(VLOOKUP(A66,'Données projet'!$A$61:$I$81,3,0)),0,VLOOKUP(A66,'Données projet'!$A$61:$I$81,3,0))</f>
        <v>8</v>
      </c>
      <c r="AQ66" s="15">
        <f>IF(ISNA(VLOOKUP(A66,'Données projet'!$A$61:$I$81,4,0)),0,VLOOKUP(A66,'Données projet'!$A$61:$I$81,4,0))</f>
        <v>99.49</v>
      </c>
      <c r="AR66" s="16">
        <f>IF(ISNA(VLOOKUP(A66,'Données projet'!$A$61:$I$81,5,0)),0%,VLOOKUP(A66,'Données projet'!$A$61:$I$81,5,0)*VLOOKUP('Données projet'!$B$10,Paramètres!$A$1:$I$89,7,0))</f>
        <v>0.44000000000000006</v>
      </c>
      <c r="AS66" s="16">
        <f>IF(ISNA(VLOOKUP(A66,'Données projet'!$A$61:$I$81,6,0)),0%,VLOOKUP(A66,'Données projet'!$A$61:$I$81,6,0)*VLOOKUP('Données projet'!$B$10,Paramètres!$A$1:$I$89,7,0))</f>
        <v>6.0500000000000005E-2</v>
      </c>
      <c r="AT66" s="16">
        <f>IF(ISNA(VLOOKUP(A66,'Données projet'!$A$61:$I$81,7,0)),0%,VLOOKUP(A66,'Données projet'!$A$61:$I$81,7,0))</f>
        <v>0.09</v>
      </c>
      <c r="AU66" s="21">
        <f>EXP(-LN(2)/35)*AU65+(1-EXP(-LN(2)/35))/(LN(2)/35)*AQ66*AR66*VLOOKUP('Données projet'!$B$10,Paramètres!$A$1:$I$89,3,0)*0.475*44/12</f>
        <v>101.18119319646851</v>
      </c>
      <c r="AV66" s="21">
        <f>EXP(-LN(2)/25)*AV65+(1-EXP(-LN(2)/25))/(LN(2)/25)*Calculateur!AQ66*Calculateur!AS66*VLOOKUP('Données projet'!$B$10,Paramètres!$A$1:$I$89,3,0)*0.475*44/12</f>
        <v>37.781980384106824</v>
      </c>
      <c r="AW66" s="21">
        <f>EXP(-LN(2)/2)*AW65+(1-EXP(-LN(2)/2))/(LN(2)/2)*AQ66*AT66*VLOOKUP('Données projet'!$B$10,Paramètres!$A$1:$I$89,3,0)*0.475*44/12</f>
        <v>6.4657738950690158</v>
      </c>
      <c r="AX66" s="21">
        <f t="shared" si="6"/>
        <v>145.42894747564435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7.6762499999999996</v>
      </c>
      <c r="N67" s="13">
        <f>IF('Données projet'!$A$36&gt;35,N66+M67-V66,IF(A67&lt;'Données projet'!$A$36,$K$205^A67,IF(A67='Données projet'!$A$36,'Données projet'!$B$36,N66+M67-V66)))</f>
        <v>188.61125000000001</v>
      </c>
      <c r="O67" s="13">
        <f>N67*VLOOKUP('Données projet'!$B$9,Paramètres!$A$1:$I$89,3,0)*VLOOKUP('Données projet'!$B$9,Paramètres!$A$1:$I$89,5,0)</f>
        <v>191.25180750000004</v>
      </c>
      <c r="P67" s="13">
        <f t="shared" si="33"/>
        <v>47.81660385335465</v>
      </c>
      <c r="Q67" s="20">
        <f t="shared" ref="Q67:Q98" si="54">(O67+P67)*0.475*44/12</f>
        <v>416.37748310709276</v>
      </c>
      <c r="R67" s="59">
        <f t="shared" ref="R67:R130" si="55">Q67+(I67+J67)*44/12</f>
        <v>709.71081644042602</v>
      </c>
      <c r="S67" s="59">
        <f ca="1">AVERAGE(OFFSET($R$3,0,0,'Données projet'!$E$9+1,1))-AVERAGE(OFFSET($H$3,0,0,'Données projet'!$E$9+1,1))</f>
        <v>369.23716180779473</v>
      </c>
      <c r="T67" s="59">
        <f t="shared" si="34"/>
        <v>256.03115836031884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14.651152532970768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14.651152532970768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16.649999999999995</v>
      </c>
      <c r="AI67" s="13">
        <f>IF('Données projet'!$A$62&gt;35,AI66+AH67-AQ66,IF(A67&lt;'Données projet'!$A$62,$AF$205^A67,IF(A67='Données projet'!$A$62,'Données projet'!$B$62,AI66+AH67-AQ66)))</f>
        <v>486.15999999999997</v>
      </c>
      <c r="AJ67" s="13">
        <f>AI67*VLOOKUP('Données projet'!$B$10,Paramètres!$A$1:$I$89,3,0)*VLOOKUP('Données projet'!$B$10,Paramètres!$A$1:$I$89,5,0)</f>
        <v>271.76343999999995</v>
      </c>
      <c r="AK67" s="13">
        <f t="shared" si="35"/>
        <v>65.223373848342817</v>
      </c>
      <c r="AL67" s="20">
        <f t="shared" si="4"/>
        <v>586.91870078586362</v>
      </c>
      <c r="AM67" s="59">
        <f t="shared" si="5"/>
        <v>880.25203411919688</v>
      </c>
      <c r="AN67" s="59">
        <f ca="1">AVERAGE(OFFSET($AM$3,0,0,'Données projet'!$E$10+1,1))-AVERAGE(OFFSET($H$3,0,0,'Données projet'!$E$10+1,1))</f>
        <v>318.85992789434766</v>
      </c>
      <c r="AO67" s="59">
        <f t="shared" si="36"/>
        <v>285.79375360040717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99.197091712319818</v>
      </c>
      <c r="AV67" s="21">
        <f>EXP(-LN(2)/25)*AV66+(1-EXP(-LN(2)/25))/(LN(2)/25)*Calculateur!AQ67*Calculateur!AS67*VLOOKUP('Données projet'!$B$10,Paramètres!$A$1:$I$89,3,0)*0.475*44/12</f>
        <v>36.748830143635423</v>
      </c>
      <c r="AW67" s="21">
        <f>EXP(-LN(2)/2)*AW66+(1-EXP(-LN(2)/2))/(LN(2)/2)*AQ67*AT67*VLOOKUP('Données projet'!$B$10,Paramètres!$A$1:$I$89,3,0)*0.475*44/12</f>
        <v>4.5719925668222583</v>
      </c>
      <c r="AX67" s="21">
        <f t="shared" si="6"/>
        <v>140.51791442277749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7.6762499999999996</v>
      </c>
      <c r="N68" s="13">
        <f>IF('Données projet'!$A$36&gt;35,N67+M68-V67,IF(A68&lt;'Données projet'!$A$36,$K$205^A68,IF(A68='Données projet'!$A$36,'Données projet'!$B$36,N67+M68-V67)))</f>
        <v>196.28750000000002</v>
      </c>
      <c r="O68" s="13">
        <f>N68*VLOOKUP('Données projet'!$B$9,Paramètres!$A$1:$I$89,3,0)*VLOOKUP('Données projet'!$B$9,Paramètres!$A$1:$I$89,5,0)</f>
        <v>199.03552500000004</v>
      </c>
      <c r="P68" s="13">
        <f t="shared" si="33"/>
        <v>49.532145715263418</v>
      </c>
      <c r="Q68" s="20">
        <f t="shared" si="54"/>
        <v>432.92202649575052</v>
      </c>
      <c r="R68" s="59">
        <f t="shared" si="55"/>
        <v>726.25535982908377</v>
      </c>
      <c r="S68" s="59">
        <f ca="1">AVERAGE(OFFSET($R$3,0,0,'Données projet'!$E$9+1,1))-AVERAGE(OFFSET($H$3,0,0,'Données projet'!$E$9+1,1))</f>
        <v>369.23716180779473</v>
      </c>
      <c r="T68" s="59">
        <f t="shared" si="34"/>
        <v>256.03115836031884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14.363852368119868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14.363852368119868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16.649999999999995</v>
      </c>
      <c r="AI68" s="13">
        <f>IF('Données projet'!$A$62&gt;35,AI67+AH68-AQ67,IF(A68&lt;'Données projet'!$A$62,$AF$205^A68,IF(A68='Données projet'!$A$62,'Données projet'!$B$62,AI67+AH68-AQ67)))</f>
        <v>502.80999999999995</v>
      </c>
      <c r="AJ68" s="13">
        <f>AI68*VLOOKUP('Données projet'!$B$10,Paramètres!$A$1:$I$89,3,0)*VLOOKUP('Données projet'!$B$10,Paramètres!$A$1:$I$89,5,0)</f>
        <v>281.07078999999999</v>
      </c>
      <c r="AK68" s="13">
        <f t="shared" si="35"/>
        <v>67.193247295825813</v>
      </c>
      <c r="AL68" s="20">
        <f t="shared" ref="AL68:AL131" si="58">(AJ68+AK68)*0.475*44/12</f>
        <v>606.5598649568966</v>
      </c>
      <c r="AM68" s="59">
        <f t="shared" ref="AM68:AM131" si="59">AL68+(AD68+AE68)*44/12</f>
        <v>899.89319829022998</v>
      </c>
      <c r="AN68" s="59">
        <f ca="1">AVERAGE(OFFSET($AM$3,0,0,'Données projet'!$E$10+1,1))-AVERAGE(OFFSET($H$3,0,0,'Données projet'!$E$10+1,1))</f>
        <v>318.85992789434766</v>
      </c>
      <c r="AO68" s="59">
        <f t="shared" si="36"/>
        <v>285.79375360040717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97.251897248092874</v>
      </c>
      <c r="AV68" s="21">
        <f>EXP(-LN(2)/25)*AV67+(1-EXP(-LN(2)/25))/(LN(2)/25)*Calculateur!AQ68*Calculateur!AS68*VLOOKUP('Données projet'!$B$10,Paramètres!$A$1:$I$89,3,0)*0.475*44/12</f>
        <v>35.743931450820725</v>
      </c>
      <c r="AW68" s="21">
        <f>EXP(-LN(2)/2)*AW67+(1-EXP(-LN(2)/2))/(LN(2)/2)*AQ68*AT68*VLOOKUP('Données projet'!$B$10,Paramètres!$A$1:$I$89,3,0)*0.475*44/12</f>
        <v>3.2328869475345088</v>
      </c>
      <c r="AX68" s="21">
        <f t="shared" ref="AX68:AX131" si="60">SUM(AU68:AW68)</f>
        <v>136.22871564644811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7.6762499999999996</v>
      </c>
      <c r="N69" s="13">
        <f>IF('Données projet'!$A$36&gt;35,N68+M69-V68,IF(A69&lt;'Données projet'!$A$36,$K$205^A69,IF(A69='Données projet'!$A$36,'Données projet'!$B$36,N68+M69-V68)))</f>
        <v>203.96375000000003</v>
      </c>
      <c r="O69" s="13">
        <f>N69*VLOOKUP('Données projet'!$B$9,Paramètres!$A$1:$I$89,3,0)*VLOOKUP('Données projet'!$B$9,Paramètres!$A$1:$I$89,5,0)</f>
        <v>206.81924250000006</v>
      </c>
      <c r="P69" s="13">
        <f t="shared" ref="P69:P132" si="87">EXP(-1.0587+0.8836*LN(O69)+0.284)</f>
        <v>51.239893950359914</v>
      </c>
      <c r="Q69" s="20">
        <f t="shared" si="54"/>
        <v>449.45299598437691</v>
      </c>
      <c r="R69" s="59">
        <f t="shared" si="55"/>
        <v>742.78632931771017</v>
      </c>
      <c r="S69" s="59">
        <f ca="1">AVERAGE(OFFSET($R$3,0,0,'Données projet'!$E$9+1,1))-AVERAGE(OFFSET($H$3,0,0,'Données projet'!$E$9+1,1))</f>
        <v>369.23716180779473</v>
      </c>
      <c r="T69" s="59">
        <f t="shared" ref="T69:T132" si="88">$T$3</f>
        <v>256.03115836031884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14.082185984265896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14.082185984265896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16.649999999999995</v>
      </c>
      <c r="AI69" s="13">
        <f>IF('Données projet'!$A$62&gt;35,AI68+AH69-AQ68,IF(A69&lt;'Données projet'!$A$62,$AF$205^A69,IF(A69='Données projet'!$A$62,'Données projet'!$B$62,AI68+AH69-AQ68)))</f>
        <v>519.45999999999992</v>
      </c>
      <c r="AJ69" s="13">
        <f>AI69*VLOOKUP('Données projet'!$B$10,Paramètres!$A$1:$I$89,3,0)*VLOOKUP('Données projet'!$B$10,Paramètres!$A$1:$I$89,5,0)</f>
        <v>290.37813999999997</v>
      </c>
      <c r="AK69" s="13">
        <f t="shared" ref="AK69:AK132" si="89">EXP(-1.0587+0.8836*LN(AJ69)+0.284)</f>
        <v>69.155541099812666</v>
      </c>
      <c r="AL69" s="20">
        <f t="shared" si="58"/>
        <v>626.187827915507</v>
      </c>
      <c r="AM69" s="59">
        <f t="shared" si="59"/>
        <v>919.52116124884037</v>
      </c>
      <c r="AN69" s="59">
        <f ca="1">AVERAGE(OFFSET($AM$3,0,0,'Données projet'!$E$10+1,1))-AVERAGE(OFFSET($H$3,0,0,'Données projet'!$E$10+1,1))</f>
        <v>318.85992789434766</v>
      </c>
      <c r="AO69" s="59">
        <f t="shared" ref="AO69:AO132" si="90">$AO$3</f>
        <v>285.79375360040717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95.344846860857942</v>
      </c>
      <c r="AV69" s="21">
        <f>EXP(-LN(2)/25)*AV68+(1-EXP(-LN(2)/25))/(LN(2)/25)*Calculateur!AQ69*Calculateur!AS69*VLOOKUP('Données projet'!$B$10,Paramètres!$A$1:$I$89,3,0)*0.475*44/12</f>
        <v>34.766511765606374</v>
      </c>
      <c r="AW69" s="21">
        <f>EXP(-LN(2)/2)*AW68+(1-EXP(-LN(2)/2))/(LN(2)/2)*AQ69*AT69*VLOOKUP('Données projet'!$B$10,Paramètres!$A$1:$I$89,3,0)*0.475*44/12</f>
        <v>2.2859962834111296</v>
      </c>
      <c r="AX69" s="21">
        <f t="shared" si="60"/>
        <v>132.39735490987545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211.64</v>
      </c>
      <c r="L70" s="12">
        <f>VLOOKUP(A70,'Données projet'!$A$35:$I$55,9,0)</f>
        <v>7.6762499999999996</v>
      </c>
      <c r="M70" s="12">
        <f t="array" ref="M70">INDEX(L:L,MIN(IF(ISNUMBER(L70:L266),ROW(L70:L266),"")))</f>
        <v>7.6762499999999996</v>
      </c>
      <c r="N70" s="13">
        <f>IF('Données projet'!$A$36&gt;35,N69+M70-V69,IF(A70&lt;'Données projet'!$A$36,$K$205^A70,IF(A70='Données projet'!$A$36,'Données projet'!$B$36,N69+M70-V69)))</f>
        <v>211.64000000000004</v>
      </c>
      <c r="O70" s="13">
        <f>N70*VLOOKUP('Données projet'!$B$9,Paramètres!$A$1:$I$89,3,0)*VLOOKUP('Données projet'!$B$9,Paramètres!$A$1:$I$89,5,0)</f>
        <v>214.60296000000005</v>
      </c>
      <c r="P70" s="13">
        <f t="shared" si="87"/>
        <v>52.940175457475355</v>
      </c>
      <c r="Q70" s="20">
        <f t="shared" si="54"/>
        <v>465.97096092176963</v>
      </c>
      <c r="R70" s="59">
        <f t="shared" si="55"/>
        <v>759.30429425510295</v>
      </c>
      <c r="S70" s="59">
        <f ca="1">AVERAGE(OFFSET($R$3,0,0,'Données projet'!$E$9+1,1))-AVERAGE(OFFSET($H$3,0,0,'Données projet'!$E$9+1,1))</f>
        <v>369.23716180779473</v>
      </c>
      <c r="T70" s="59">
        <f t="shared" si="88"/>
        <v>256.03115836031884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40.630000000000003</v>
      </c>
      <c r="W70" s="16">
        <f>IF(ISNA(VLOOKUP(A70,'Données projet'!$A$35:$I$55,5,0)),0%,VLOOKUP(A70,'Données projet'!$A$35:$I$55,5,0)*VLOOKUP('Données projet'!$B$9,Paramètres!$A$1:$I$89,7,0))</f>
        <v>0.129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19.681228604840324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19.681228604840324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16.649999999999995</v>
      </c>
      <c r="AI70" s="13">
        <f>IF('Données projet'!$A$62&gt;35,AI69+AH70-AQ69,IF(A70&lt;'Données projet'!$A$62,$AF$205^A70,IF(A70='Données projet'!$A$62,'Données projet'!$B$62,AI69+AH70-AQ69)))</f>
        <v>536.1099999999999</v>
      </c>
      <c r="AJ70" s="13">
        <f>AI70*VLOOKUP('Données projet'!$B$10,Paramètres!$A$1:$I$89,3,0)*VLOOKUP('Données projet'!$B$10,Paramètres!$A$1:$I$89,5,0)</f>
        <v>299.68548999999996</v>
      </c>
      <c r="AK70" s="13">
        <f t="shared" si="89"/>
        <v>71.110526074734537</v>
      </c>
      <c r="AL70" s="20">
        <f t="shared" si="58"/>
        <v>645.80306133016256</v>
      </c>
      <c r="AM70" s="59">
        <f t="shared" si="59"/>
        <v>939.13639466349582</v>
      </c>
      <c r="AN70" s="59">
        <f ca="1">AVERAGE(OFFSET($AM$3,0,0,'Données projet'!$E$10+1,1))-AVERAGE(OFFSET($H$3,0,0,'Données projet'!$E$10+1,1))</f>
        <v>318.85992789434766</v>
      </c>
      <c r="AO70" s="59">
        <f t="shared" si="90"/>
        <v>285.79375360040717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93.475192568530815</v>
      </c>
      <c r="AV70" s="21">
        <f>EXP(-LN(2)/25)*AV69+(1-EXP(-LN(2)/25))/(LN(2)/25)*Calculateur!AQ70*Calculateur!AS70*VLOOKUP('Données projet'!$B$10,Paramètres!$A$1:$I$89,3,0)*0.475*44/12</f>
        <v>33.815819673084476</v>
      </c>
      <c r="AW70" s="21">
        <f>EXP(-LN(2)/2)*AW69+(1-EXP(-LN(2)/2))/(LN(2)/2)*AQ70*AT70*VLOOKUP('Données projet'!$B$10,Paramètres!$A$1:$I$89,3,0)*0.475*44/12</f>
        <v>1.6164434737672546</v>
      </c>
      <c r="AX70" s="21">
        <f t="shared" si="60"/>
        <v>128.90745571538255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7.3250000000000028</v>
      </c>
      <c r="N71" s="13">
        <f>IF('Données projet'!$A$36&gt;35,N70+M71-V70,IF(A71&lt;'Données projet'!$A$36,$K$205^A71,IF(A71='Données projet'!$A$36,'Données projet'!$B$36,N70+M71-V70)))</f>
        <v>178.33500000000004</v>
      </c>
      <c r="O71" s="13">
        <f>N71*VLOOKUP('Données projet'!$B$9,Paramètres!$A$1:$I$89,3,0)*VLOOKUP('Données projet'!$B$9,Paramètres!$A$1:$I$89,5,0)</f>
        <v>180.83169000000004</v>
      </c>
      <c r="P71" s="13">
        <f t="shared" si="87"/>
        <v>45.507172195409083</v>
      </c>
      <c r="Q71" s="20">
        <f t="shared" si="54"/>
        <v>394.20685165700417</v>
      </c>
      <c r="R71" s="59">
        <f t="shared" si="55"/>
        <v>687.54018499033748</v>
      </c>
      <c r="S71" s="59">
        <f ca="1">AVERAGE(OFFSET($R$3,0,0,'Données projet'!$E$9+1,1))-AVERAGE(OFFSET($H$3,0,0,'Données projet'!$E$9+1,1))</f>
        <v>369.23716180779473</v>
      </c>
      <c r="T71" s="59">
        <f t="shared" si="88"/>
        <v>256.03115836031884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19.295291716263524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19.295291716263524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16.649999999999995</v>
      </c>
      <c r="AI71" s="13">
        <f>IF('Données projet'!$A$62&gt;35,AI70+AH71-AQ70,IF(A71&lt;'Données projet'!$A$62,$AF$205^A71,IF(A71='Données projet'!$A$62,'Données projet'!$B$62,AI70+AH71-AQ70)))</f>
        <v>552.75999999999988</v>
      </c>
      <c r="AJ71" s="13">
        <f>AI71*VLOOKUP('Données projet'!$B$10,Paramètres!$A$1:$I$89,3,0)*VLOOKUP('Données projet'!$B$10,Paramètres!$A$1:$I$89,5,0)</f>
        <v>308.99283999999994</v>
      </c>
      <c r="AK71" s="13">
        <f t="shared" si="89"/>
        <v>73.058455258084479</v>
      </c>
      <c r="AL71" s="20">
        <f t="shared" si="58"/>
        <v>665.40600590783038</v>
      </c>
      <c r="AM71" s="59">
        <f t="shared" si="59"/>
        <v>958.73933924116363</v>
      </c>
      <c r="AN71" s="59">
        <f ca="1">AVERAGE(OFFSET($AM$3,0,0,'Données projet'!$E$10+1,1))-AVERAGE(OFFSET($H$3,0,0,'Données projet'!$E$10+1,1))</f>
        <v>318.85992789434766</v>
      </c>
      <c r="AO71" s="59">
        <f t="shared" si="90"/>
        <v>285.79375360040717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91.642201056499701</v>
      </c>
      <c r="AV71" s="21">
        <f>EXP(-LN(2)/25)*AV70+(1-EXP(-LN(2)/25))/(LN(2)/25)*Calculateur!AQ71*Calculateur!AS71*VLOOKUP('Données projet'!$B$10,Paramètres!$A$1:$I$89,3,0)*0.475*44/12</f>
        <v>32.891124305827312</v>
      </c>
      <c r="AW71" s="21">
        <f>EXP(-LN(2)/2)*AW70+(1-EXP(-LN(2)/2))/(LN(2)/2)*AQ71*AT71*VLOOKUP('Données projet'!$B$10,Paramètres!$A$1:$I$89,3,0)*0.475*44/12</f>
        <v>1.142998141705565</v>
      </c>
      <c r="AX71" s="21">
        <f t="shared" si="60"/>
        <v>125.67632350403258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7.3250000000000028</v>
      </c>
      <c r="N72" s="13">
        <f>IF('Données projet'!$A$36&gt;35,N71+M72-V71,IF(A72&lt;'Données projet'!$A$36,$K$205^A72,IF(A72='Données projet'!$A$36,'Données projet'!$B$36,N71+M72-V71)))</f>
        <v>185.66000000000003</v>
      </c>
      <c r="O72" s="13">
        <f>N72*VLOOKUP('Données projet'!$B$9,Paramètres!$A$1:$I$89,3,0)*VLOOKUP('Données projet'!$B$9,Paramètres!$A$1:$I$89,5,0)</f>
        <v>188.25924000000003</v>
      </c>
      <c r="P72" s="13">
        <f t="shared" si="87"/>
        <v>47.154889613336614</v>
      </c>
      <c r="Q72" s="20">
        <f t="shared" si="54"/>
        <v>410.01294240989472</v>
      </c>
      <c r="R72" s="59">
        <f t="shared" si="55"/>
        <v>703.34627574322803</v>
      </c>
      <c r="S72" s="59">
        <f ca="1">AVERAGE(OFFSET($R$3,0,0,'Données projet'!$E$9+1,1))-AVERAGE(OFFSET($H$3,0,0,'Données projet'!$E$9+1,1))</f>
        <v>369.23716180779473</v>
      </c>
      <c r="T72" s="59">
        <f t="shared" si="88"/>
        <v>256.03115836031884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18.916922814673455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18.916922814673455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16.649999999999995</v>
      </c>
      <c r="AI72" s="13">
        <f>IF('Données projet'!$A$62&gt;35,AI71+AH72-AQ71,IF(A72&lt;'Données projet'!$A$62,$AF$205^A72,IF(A72='Données projet'!$A$62,'Données projet'!$B$62,AI71+AH72-AQ71)))</f>
        <v>569.40999999999985</v>
      </c>
      <c r="AJ72" s="13">
        <f>AI72*VLOOKUP('Données projet'!$B$10,Paramètres!$A$1:$I$89,3,0)*VLOOKUP('Données projet'!$B$10,Paramètres!$A$1:$I$89,5,0)</f>
        <v>318.30018999999993</v>
      </c>
      <c r="AK72" s="13">
        <f t="shared" si="89"/>
        <v>74.999565577256092</v>
      </c>
      <c r="AL72" s="20">
        <f t="shared" si="58"/>
        <v>684.99707429705416</v>
      </c>
      <c r="AM72" s="59">
        <f t="shared" si="59"/>
        <v>978.33040763038753</v>
      </c>
      <c r="AN72" s="59">
        <f ca="1">AVERAGE(OFFSET($AM$3,0,0,'Données projet'!$E$10+1,1))-AVERAGE(OFFSET($H$3,0,0,'Données projet'!$E$10+1,1))</f>
        <v>318.85992789434766</v>
      </c>
      <c r="AO72" s="59">
        <f t="shared" si="90"/>
        <v>285.79375360040717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89.845153390005095</v>
      </c>
      <c r="AV72" s="21">
        <f>EXP(-LN(2)/25)*AV71+(1-EXP(-LN(2)/25))/(LN(2)/25)*Calculateur!AQ72*Calculateur!AS72*VLOOKUP('Données projet'!$B$10,Paramètres!$A$1:$I$89,3,0)*0.475*44/12</f>
        <v>31.991714782015411</v>
      </c>
      <c r="AW72" s="21">
        <f>EXP(-LN(2)/2)*AW71+(1-EXP(-LN(2)/2))/(LN(2)/2)*AQ72*AT72*VLOOKUP('Données projet'!$B$10,Paramètres!$A$1:$I$89,3,0)*0.475*44/12</f>
        <v>0.80822173688362742</v>
      </c>
      <c r="AX72" s="21">
        <f t="shared" si="60"/>
        <v>122.64508990890413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7.3250000000000028</v>
      </c>
      <c r="N73" s="13">
        <f>IF('Données projet'!$A$36&gt;35,N72+M73-V72,IF(A73&lt;'Données projet'!$A$36,$K$205^A73,IF(A73='Données projet'!$A$36,'Données projet'!$B$36,N72+M73-V72)))</f>
        <v>192.98500000000001</v>
      </c>
      <c r="O73" s="13">
        <f>N73*VLOOKUP('Données projet'!$B$9,Paramètres!$A$1:$I$89,3,0)*VLOOKUP('Données projet'!$B$9,Paramètres!$A$1:$I$89,5,0)</f>
        <v>195.68679000000003</v>
      </c>
      <c r="P73" s="13">
        <f t="shared" si="87"/>
        <v>48.79505528897846</v>
      </c>
      <c r="Q73" s="20">
        <f t="shared" si="54"/>
        <v>425.80588054497088</v>
      </c>
      <c r="R73" s="59">
        <f t="shared" si="55"/>
        <v>719.13921387830419</v>
      </c>
      <c r="S73" s="59">
        <f ca="1">AVERAGE(OFFSET($R$3,0,0,'Données projet'!$E$9+1,1))-AVERAGE(OFFSET($H$3,0,0,'Données projet'!$E$9+1,1))</f>
        <v>369.23716180779473</v>
      </c>
      <c r="T73" s="59">
        <f t="shared" si="88"/>
        <v>256.03115836031884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18.545973496461325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18.545973496461325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586.05999999999995</v>
      </c>
      <c r="AG73" s="12">
        <f>VLOOKUP(A73,'Données projet'!$A$61:$I$81,9,0)</f>
        <v>16.649999999999995</v>
      </c>
      <c r="AH73" s="12">
        <f t="array" ref="AH73">INDEX(AG:AG,MIN(IF(ISNUMBER(AG73:AG269),ROW(AG73:AG269),"")))</f>
        <v>16.649999999999995</v>
      </c>
      <c r="AI73" s="13">
        <f>IF('Données projet'!$A$62&gt;35,AI72+AH73-AQ72,IF(A73&lt;'Données projet'!$A$62,$AF$205^A73,IF(A73='Données projet'!$A$62,'Données projet'!$B$62,AI72+AH73-AQ72)))</f>
        <v>586.05999999999983</v>
      </c>
      <c r="AJ73" s="13">
        <f>AI73*VLOOKUP('Données projet'!$B$10,Paramètres!$A$1:$I$89,3,0)*VLOOKUP('Données projet'!$B$10,Paramètres!$A$1:$I$89,5,0)</f>
        <v>327.60753999999991</v>
      </c>
      <c r="AK73" s="13">
        <f t="shared" si="89"/>
        <v>76.934079315946775</v>
      </c>
      <c r="AL73" s="20">
        <f t="shared" si="58"/>
        <v>704.57665364194054</v>
      </c>
      <c r="AM73" s="59">
        <f t="shared" si="59"/>
        <v>997.9099869752738</v>
      </c>
      <c r="AN73" s="59">
        <f ca="1">AVERAGE(OFFSET($AM$3,0,0,'Données projet'!$E$10+1,1))-AVERAGE(OFFSET($H$3,0,0,'Données projet'!$E$10+1,1))</f>
        <v>318.85992789434766</v>
      </c>
      <c r="AO73" s="59">
        <f t="shared" si="90"/>
        <v>285.79375360040717</v>
      </c>
      <c r="AP73" s="15">
        <f>IF(ISNA(VLOOKUP(A73,'Données projet'!$A$61:$I$81,3,0)),0,VLOOKUP(A73,'Données projet'!$A$61:$I$81,3,0))</f>
        <v>9</v>
      </c>
      <c r="AQ73" s="15">
        <f>IF(ISNA(VLOOKUP(A73,'Données projet'!$A$61:$I$81,4,0)),0,VLOOKUP(A73,'Données projet'!$A$61:$I$81,4,0))</f>
        <v>586.05999999999995</v>
      </c>
      <c r="AR73" s="16">
        <f>IF(ISNA(VLOOKUP(A73,'Données projet'!$A$61:$I$81,5,0)),0%,VLOOKUP(A73,'Données projet'!$A$61:$I$81,5,0)*VLOOKUP('Données projet'!$B$10,Paramètres!$A$1:$I$89,7,0))</f>
        <v>0.49500000000000005</v>
      </c>
      <c r="AS73" s="16">
        <f>IF(ISNA(VLOOKUP(A73,'Données projet'!$A$61:$I$81,6,0)),0%,VLOOKUP(A73,'Données projet'!$A$61:$I$81,6,0)*VLOOKUP('Données projet'!$B$10,Paramètres!$A$1:$I$89,7,0))</f>
        <v>3.3000000000000002E-2</v>
      </c>
      <c r="AT73" s="16">
        <f>IF(ISNA(VLOOKUP(A73,'Données projet'!$A$61:$I$81,7,0)),0%,VLOOKUP(A73,'Données projet'!$A$61:$I$81,7,0))</f>
        <v>0.04</v>
      </c>
      <c r="AU73" s="21">
        <f>EXP(-LN(2)/35)*AU72+(1-EXP(-LN(2)/35))/(LN(2)/35)*AQ73*AR73*VLOOKUP('Données projet'!$B$10,Paramètres!$A$1:$I$89,3,0)*0.475*44/12</f>
        <v>303.20664109166336</v>
      </c>
      <c r="AV73" s="21">
        <f>EXP(-LN(2)/25)*AV72+(1-EXP(-LN(2)/25))/(LN(2)/25)*Calculateur!AQ73*Calculateur!AS73*VLOOKUP('Données projet'!$B$10,Paramètres!$A$1:$I$89,3,0)*0.475*44/12</f>
        <v>45.401984590485654</v>
      </c>
      <c r="AW73" s="21">
        <f>EXP(-LN(2)/2)*AW72+(1-EXP(-LN(2)/2))/(LN(2)/2)*AQ73*AT73*VLOOKUP('Données projet'!$B$10,Paramètres!$A$1:$I$89,3,0)*0.475*44/12</f>
        <v>15.408612578900524</v>
      </c>
      <c r="AX73" s="21">
        <f t="shared" si="60"/>
        <v>364.01723826104956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7.3250000000000028</v>
      </c>
      <c r="N74" s="13">
        <f>IF('Données projet'!$A$36&gt;35,N73+M74-V73,IF(A74&lt;'Données projet'!$A$36,$K$205^A74,IF(A74='Données projet'!$A$36,'Données projet'!$B$36,N73+M74-V73)))</f>
        <v>200.31</v>
      </c>
      <c r="O74" s="13">
        <f>N74*VLOOKUP('Données projet'!$B$9,Paramètres!$A$1:$I$89,3,0)*VLOOKUP('Données projet'!$B$9,Paramètres!$A$1:$I$89,5,0)</f>
        <v>203.11434000000003</v>
      </c>
      <c r="P74" s="13">
        <f t="shared" si="87"/>
        <v>50.427988673427436</v>
      </c>
      <c r="Q74" s="20">
        <f t="shared" si="54"/>
        <v>441.58622243955278</v>
      </c>
      <c r="R74" s="59">
        <f t="shared" si="55"/>
        <v>734.91955577288604</v>
      </c>
      <c r="S74" s="59">
        <f ca="1">AVERAGE(OFFSET($R$3,0,0,'Données projet'!$E$9+1,1))-AVERAGE(OFFSET($H$3,0,0,'Données projet'!$E$9+1,1))</f>
        <v>369.23716180779473</v>
      </c>
      <c r="T74" s="59">
        <f t="shared" si="88"/>
        <v>256.03115836031884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18.18229826812259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18.18229826812259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-6.3550942286383367E-14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318.85992789434766</v>
      </c>
      <c r="AO74" s="59">
        <f t="shared" si="90"/>
        <v>285.79375360040717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297.26094379764584</v>
      </c>
      <c r="AV74" s="21">
        <f>EXP(-LN(2)/25)*AV73+(1-EXP(-LN(2)/25))/(LN(2)/25)*Calculateur!AQ74*Calculateur!AS74*VLOOKUP('Données projet'!$B$10,Paramètres!$A$1:$I$89,3,0)*0.475*44/12</f>
        <v>44.16046493427222</v>
      </c>
      <c r="AW74" s="21">
        <f>EXP(-LN(2)/2)*AW73+(1-EXP(-LN(2)/2))/(LN(2)/2)*AQ74*AT74*VLOOKUP('Données projet'!$B$10,Paramètres!$A$1:$I$89,3,0)*0.475*44/12</f>
        <v>10.895534443216897</v>
      </c>
      <c r="AX74" s="21">
        <f t="shared" si="60"/>
        <v>352.31694317513495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7.3250000000000028</v>
      </c>
      <c r="N75" s="13">
        <f>IF('Données projet'!$A$36&gt;35,N74+M75-V74,IF(A75&lt;'Données projet'!$A$36,$K$205^A75,IF(A75='Données projet'!$A$36,'Données projet'!$B$36,N74+M75-V74)))</f>
        <v>207.63499999999999</v>
      </c>
      <c r="O75" s="13">
        <f>N75*VLOOKUP('Données projet'!$B$9,Paramètres!$A$1:$I$89,3,0)*VLOOKUP('Données projet'!$B$9,Paramètres!$A$1:$I$89,5,0)</f>
        <v>210.54189</v>
      </c>
      <c r="P75" s="13">
        <f t="shared" si="87"/>
        <v>52.053984530192217</v>
      </c>
      <c r="Q75" s="20">
        <f t="shared" si="54"/>
        <v>457.35448147341799</v>
      </c>
      <c r="R75" s="59">
        <f t="shared" si="55"/>
        <v>750.68781480675125</v>
      </c>
      <c r="S75" s="59">
        <f ca="1">AVERAGE(OFFSET($R$3,0,0,'Données projet'!$E$9+1,1))-AVERAGE(OFFSET($H$3,0,0,'Données projet'!$E$9+1,1))</f>
        <v>369.23716180779473</v>
      </c>
      <c r="T75" s="59">
        <f t="shared" si="88"/>
        <v>256.03115836031884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17.825754489191592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17.825754489191592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-6.3550942286383367E-14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318.85992789434766</v>
      </c>
      <c r="AO75" s="59">
        <f t="shared" si="90"/>
        <v>285.79375360040717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291.43183800104674</v>
      </c>
      <c r="AV75" s="21">
        <f>EXP(-LN(2)/25)*AV74+(1-EXP(-LN(2)/25))/(LN(2)/25)*Calculateur!AQ75*Calculateur!AS75*VLOOKUP('Données projet'!$B$10,Paramètres!$A$1:$I$89,3,0)*0.475*44/12</f>
        <v>42.952894698346626</v>
      </c>
      <c r="AW75" s="21">
        <f>EXP(-LN(2)/2)*AW74+(1-EXP(-LN(2)/2))/(LN(2)/2)*AQ75*AT75*VLOOKUP('Données projet'!$B$10,Paramètres!$A$1:$I$89,3,0)*0.475*44/12</f>
        <v>7.7043062894502627</v>
      </c>
      <c r="AX75" s="21">
        <f t="shared" si="60"/>
        <v>342.08903898884358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7.3250000000000028</v>
      </c>
      <c r="N76" s="13">
        <f>IF('Données projet'!$A$36&gt;35,N75+M76-V75,IF(A76&lt;'Données projet'!$A$36,$K$205^A76,IF(A76='Données projet'!$A$36,'Données projet'!$B$36,N75+M76-V75)))</f>
        <v>214.95999999999998</v>
      </c>
      <c r="O76" s="13">
        <f>N76*VLOOKUP('Données projet'!$B$9,Paramètres!$A$1:$I$89,3,0)*VLOOKUP('Données projet'!$B$9,Paramètres!$A$1:$I$89,5,0)</f>
        <v>217.96943999999999</v>
      </c>
      <c r="P76" s="13">
        <f t="shared" si="87"/>
        <v>53.673315646119541</v>
      </c>
      <c r="Q76" s="20">
        <f t="shared" si="54"/>
        <v>473.11113275032488</v>
      </c>
      <c r="R76" s="59">
        <f t="shared" si="55"/>
        <v>766.4444660836582</v>
      </c>
      <c r="S76" s="59">
        <f ca="1">AVERAGE(OFFSET($R$3,0,0,'Données projet'!$E$9+1,1))-AVERAGE(OFFSET($H$3,0,0,'Données projet'!$E$9+1,1))</f>
        <v>369.23716180779473</v>
      </c>
      <c r="T76" s="59">
        <f t="shared" si="88"/>
        <v>256.03115836031884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17.4762023162952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17.4762023162952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-6.3550942286383367E-14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318.85992789434766</v>
      </c>
      <c r="AO76" s="59">
        <f t="shared" si="90"/>
        <v>285.79375360040717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285.71703741371545</v>
      </c>
      <c r="AV76" s="21">
        <f>EXP(-LN(2)/25)*AV75+(1-EXP(-LN(2)/25))/(LN(2)/25)*Calculateur!AQ76*Calculateur!AS76*VLOOKUP('Données projet'!$B$10,Paramètres!$A$1:$I$89,3,0)*0.475*44/12</f>
        <v>41.778345534025775</v>
      </c>
      <c r="AW76" s="21">
        <f>EXP(-LN(2)/2)*AW75+(1-EXP(-LN(2)/2))/(LN(2)/2)*AQ76*AT76*VLOOKUP('Données projet'!$B$10,Paramètres!$A$1:$I$89,3,0)*0.475*44/12</f>
        <v>5.4477672216084496</v>
      </c>
      <c r="AX76" s="21">
        <f t="shared" si="60"/>
        <v>332.94315016934968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7.3250000000000028</v>
      </c>
      <c r="N77" s="13">
        <f>IF('Données projet'!$A$36&gt;35,N76+M77-V76,IF(A77&lt;'Données projet'!$A$36,$K$205^A77,IF(A77='Données projet'!$A$36,'Données projet'!$B$36,N76+M77-V76)))</f>
        <v>222.28499999999997</v>
      </c>
      <c r="O77" s="13">
        <f>N77*VLOOKUP('Données projet'!$B$9,Paramètres!$A$1:$I$89,3,0)*VLOOKUP('Données projet'!$B$9,Paramètres!$A$1:$I$89,5,0)</f>
        <v>225.39698999999999</v>
      </c>
      <c r="P77" s="13">
        <f t="shared" si="87"/>
        <v>55.286235162425108</v>
      </c>
      <c r="Q77" s="20">
        <f t="shared" si="54"/>
        <v>488.8566171578903</v>
      </c>
      <c r="R77" s="59">
        <f t="shared" si="55"/>
        <v>782.18995049122361</v>
      </c>
      <c r="S77" s="59">
        <f ca="1">AVERAGE(OFFSET($R$3,0,0,'Données projet'!$E$9+1,1))-AVERAGE(OFFSET($H$3,0,0,'Données projet'!$E$9+1,1))</f>
        <v>369.23716180779473</v>
      </c>
      <c r="T77" s="59">
        <f t="shared" si="88"/>
        <v>256.03115836031884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17.133504648303532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17.133504648303532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-6.3550942286383367E-14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318.85992789434766</v>
      </c>
      <c r="AO77" s="59">
        <f t="shared" si="90"/>
        <v>285.79375360040717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280.11430058021756</v>
      </c>
      <c r="AV77" s="21">
        <f>EXP(-LN(2)/25)*AV76+(1-EXP(-LN(2)/25))/(LN(2)/25)*Calculateur!AQ77*Calculateur!AS77*VLOOKUP('Données projet'!$B$10,Paramètres!$A$1:$I$89,3,0)*0.475*44/12</f>
        <v>40.635914478370132</v>
      </c>
      <c r="AW77" s="21">
        <f>EXP(-LN(2)/2)*AW76+(1-EXP(-LN(2)/2))/(LN(2)/2)*AQ77*AT77*VLOOKUP('Données projet'!$B$10,Paramètres!$A$1:$I$89,3,0)*0.475*44/12</f>
        <v>3.8521531447251323</v>
      </c>
      <c r="AX77" s="21">
        <f t="shared" si="60"/>
        <v>324.60236820331284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229.61</v>
      </c>
      <c r="L78" s="12">
        <f>VLOOKUP(A78,'Données projet'!$A$35:$I$55,9,0)</f>
        <v>7.3250000000000028</v>
      </c>
      <c r="M78" s="12">
        <f t="array" ref="M78">INDEX(L:L,MIN(IF(ISNUMBER(L78:L274),ROW(L78:L274),"")))</f>
        <v>7.3250000000000028</v>
      </c>
      <c r="N78" s="13">
        <f>IF('Données projet'!$A$36&gt;35,N77+M78-V77,IF(A78&lt;'Données projet'!$A$36,$K$205^A78,IF(A78='Données projet'!$A$36,'Données projet'!$B$36,N77+M78-V77)))</f>
        <v>229.60999999999996</v>
      </c>
      <c r="O78" s="13">
        <f>N78*VLOOKUP('Données projet'!$B$9,Paramètres!$A$1:$I$89,3,0)*VLOOKUP('Données projet'!$B$9,Paramètres!$A$1:$I$89,5,0)</f>
        <v>232.82453999999996</v>
      </c>
      <c r="P78" s="13">
        <f t="shared" si="87"/>
        <v>56.892978589833511</v>
      </c>
      <c r="Q78" s="20">
        <f t="shared" si="54"/>
        <v>504.59134487729324</v>
      </c>
      <c r="R78" s="59">
        <f t="shared" si="55"/>
        <v>797.92467821062655</v>
      </c>
      <c r="S78" s="59">
        <f ca="1">AVERAGE(OFFSET($R$3,0,0,'Données projet'!$E$9+1,1))-AVERAGE(OFFSET($H$3,0,0,'Données projet'!$E$9+1,1))</f>
        <v>369.23716180779473</v>
      </c>
      <c r="T78" s="59">
        <f t="shared" si="88"/>
        <v>256.03115836031884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39.54</v>
      </c>
      <c r="W78" s="16">
        <f>IF(ISNA(VLOOKUP(A78,'Données projet'!$A$35:$I$55,5,0)),0%,VLOOKUP(A78,'Données projet'!$A$35:$I$55,5,0)*VLOOKUP('Données projet'!$B$9,Paramètres!$A$1:$I$89,7,0))</f>
        <v>0.17200000000000001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24.420952866840906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24.420952866840906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-6.3550942286383367E-14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318.85992789434766</v>
      </c>
      <c r="AO78" s="59">
        <f t="shared" si="90"/>
        <v>285.79375360040717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274.62142999869252</v>
      </c>
      <c r="AV78" s="21">
        <f>EXP(-LN(2)/25)*AV77+(1-EXP(-LN(2)/25))/(LN(2)/25)*Calculateur!AQ78*Calculateur!AS78*VLOOKUP('Données projet'!$B$10,Paramètres!$A$1:$I$89,3,0)*0.475*44/12</f>
        <v>39.524723260009232</v>
      </c>
      <c r="AW78" s="21">
        <f>EXP(-LN(2)/2)*AW77+(1-EXP(-LN(2)/2))/(LN(2)/2)*AQ78*AT78*VLOOKUP('Données projet'!$B$10,Paramètres!$A$1:$I$89,3,0)*0.475*44/12</f>
        <v>2.7238836108042253</v>
      </c>
      <c r="AX78" s="21">
        <f t="shared" si="60"/>
        <v>316.87003686950601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7.0711111111111098</v>
      </c>
      <c r="N79" s="13">
        <f>IF('Données projet'!$A$36&gt;35,N78+M79-V78,IF(A79&lt;'Données projet'!$A$36,$K$205^A79,IF(A79='Données projet'!$A$36,'Données projet'!$B$36,N78+M79-V78)))</f>
        <v>197.14111111111109</v>
      </c>
      <c r="O79" s="13">
        <f>N79*VLOOKUP('Données projet'!$B$9,Paramètres!$A$1:$I$89,3,0)*VLOOKUP('Données projet'!$B$9,Paramètres!$A$1:$I$89,5,0)</f>
        <v>199.90108666666663</v>
      </c>
      <c r="P79" s="13">
        <f t="shared" si="87"/>
        <v>49.722428942703814</v>
      </c>
      <c r="Q79" s="20">
        <f t="shared" si="54"/>
        <v>434.7609563529868</v>
      </c>
      <c r="R79" s="59">
        <f t="shared" si="55"/>
        <v>728.09428968632005</v>
      </c>
      <c r="S79" s="59">
        <f ca="1">AVERAGE(OFFSET($R$3,0,0,'Données projet'!$E$9+1,1))-AVERAGE(OFFSET($H$3,0,0,'Données projet'!$E$9+1,1))</f>
        <v>369.23716180779473</v>
      </c>
      <c r="T79" s="59">
        <f t="shared" si="88"/>
        <v>256.03115836031884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23.942072876432615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23.942072876432615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-6.3550942286383367E-14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318.85992789434766</v>
      </c>
      <c r="AO79" s="59">
        <f t="shared" si="90"/>
        <v>285.79375360040717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269.23627125895098</v>
      </c>
      <c r="AV79" s="21">
        <f>EXP(-LN(2)/25)*AV78+(1-EXP(-LN(2)/25))/(LN(2)/25)*Calculateur!AQ79*Calculateur!AS79*VLOOKUP('Données projet'!$B$10,Paramètres!$A$1:$I$89,3,0)*0.475*44/12</f>
        <v>38.443917623949417</v>
      </c>
      <c r="AW79" s="21">
        <f>EXP(-LN(2)/2)*AW78+(1-EXP(-LN(2)/2))/(LN(2)/2)*AQ79*AT79*VLOOKUP('Données projet'!$B$10,Paramètres!$A$1:$I$89,3,0)*0.475*44/12</f>
        <v>1.9260765723625664</v>
      </c>
      <c r="AX79" s="21">
        <f t="shared" si="60"/>
        <v>309.60626545526293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7.0711111111111098</v>
      </c>
      <c r="N80" s="13">
        <f>IF('Données projet'!$A$36&gt;35,N79+M80-V79,IF(A80&lt;'Données projet'!$A$36,$K$205^A80,IF(A80='Données projet'!$A$36,'Données projet'!$B$36,N79+M80-V79)))</f>
        <v>204.21222222222221</v>
      </c>
      <c r="O80" s="13">
        <f>N80*VLOOKUP('Données projet'!$B$9,Paramètres!$A$1:$I$89,3,0)*VLOOKUP('Données projet'!$B$9,Paramètres!$A$1:$I$89,5,0)</f>
        <v>207.07119333333335</v>
      </c>
      <c r="P80" s="13">
        <f t="shared" si="87"/>
        <v>51.295045536446253</v>
      </c>
      <c r="Q80" s="20">
        <f t="shared" si="54"/>
        <v>449.98786603153286</v>
      </c>
      <c r="R80" s="59">
        <f t="shared" si="55"/>
        <v>743.32119936486617</v>
      </c>
      <c r="S80" s="59">
        <f ca="1">AVERAGE(OFFSET($R$3,0,0,'Données projet'!$E$9+1,1))-AVERAGE(OFFSET($H$3,0,0,'Données projet'!$E$9+1,1))</f>
        <v>369.23716180779473</v>
      </c>
      <c r="T80" s="59">
        <f t="shared" si="88"/>
        <v>256.03115836031884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23.472583430548276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23.472583430548276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-6.3550942286383367E-14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318.85992789434766</v>
      </c>
      <c r="AO80" s="59">
        <f t="shared" si="90"/>
        <v>285.79375360040717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263.95671219747322</v>
      </c>
      <c r="AV80" s="21">
        <f>EXP(-LN(2)/25)*AV79+(1-EXP(-LN(2)/25))/(LN(2)/25)*Calculateur!AQ80*Calculateur!AS80*VLOOKUP('Données projet'!$B$10,Paramètres!$A$1:$I$89,3,0)*0.475*44/12</f>
        <v>37.392666674844754</v>
      </c>
      <c r="AW80" s="21">
        <f>EXP(-LN(2)/2)*AW79+(1-EXP(-LN(2)/2))/(LN(2)/2)*AQ80*AT80*VLOOKUP('Données projet'!$B$10,Paramètres!$A$1:$I$89,3,0)*0.475*44/12</f>
        <v>1.3619418054021128</v>
      </c>
      <c r="AX80" s="21">
        <f t="shared" si="60"/>
        <v>302.7113206777201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7.0711111111111098</v>
      </c>
      <c r="N81" s="13">
        <f>IF('Données projet'!$A$36&gt;35,N80+M81-V80,IF(A81&lt;'Données projet'!$A$36,$K$205^A81,IF(A81='Données projet'!$A$36,'Données projet'!$B$36,N80+M81-V80)))</f>
        <v>211.28333333333333</v>
      </c>
      <c r="O81" s="13">
        <f>N81*VLOOKUP('Données projet'!$B$9,Paramètres!$A$1:$I$89,3,0)*VLOOKUP('Données projet'!$B$9,Paramètres!$A$1:$I$89,5,0)</f>
        <v>214.24130000000002</v>
      </c>
      <c r="P81" s="13">
        <f t="shared" si="87"/>
        <v>52.861335120000511</v>
      </c>
      <c r="Q81" s="20">
        <f t="shared" si="54"/>
        <v>465.20375616733418</v>
      </c>
      <c r="R81" s="59">
        <f t="shared" si="55"/>
        <v>758.53708950066743</v>
      </c>
      <c r="S81" s="59">
        <f ca="1">AVERAGE(OFFSET($R$3,0,0,'Données projet'!$E$9+1,1))-AVERAGE(OFFSET($H$3,0,0,'Données projet'!$E$9+1,1))</f>
        <v>369.23716180779473</v>
      </c>
      <c r="T81" s="59">
        <f t="shared" si="88"/>
        <v>256.03115836031884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23.012300386337444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23.012300386337444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-6.3550942286383367E-14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318.85992789434766</v>
      </c>
      <c r="AO81" s="59">
        <f t="shared" si="90"/>
        <v>285.79375360040717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258.78068206897802</v>
      </c>
      <c r="AV81" s="21">
        <f>EXP(-LN(2)/25)*AV80+(1-EXP(-LN(2)/25))/(LN(2)/25)*Calculateur!AQ81*Calculateur!AS81*VLOOKUP('Données projet'!$B$10,Paramètres!$A$1:$I$89,3,0)*0.475*44/12</f>
        <v>36.370162238226243</v>
      </c>
      <c r="AW81" s="21">
        <f>EXP(-LN(2)/2)*AW80+(1-EXP(-LN(2)/2))/(LN(2)/2)*AQ81*AT81*VLOOKUP('Données projet'!$B$10,Paramètres!$A$1:$I$89,3,0)*0.475*44/12</f>
        <v>0.9630382861812834</v>
      </c>
      <c r="AX81" s="21">
        <f t="shared" si="60"/>
        <v>296.11388259338554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7.0711111111111098</v>
      </c>
      <c r="N82" s="13">
        <f>IF('Données projet'!$A$36&gt;35,N81+M82-V81,IF(A82&lt;'Données projet'!$A$36,$K$205^A82,IF(A82='Données projet'!$A$36,'Données projet'!$B$36,N81+M82-V81)))</f>
        <v>218.35444444444445</v>
      </c>
      <c r="O82" s="13">
        <f>N82*VLOOKUP('Données projet'!$B$9,Paramètres!$A$1:$I$89,3,0)*VLOOKUP('Données projet'!$B$9,Paramètres!$A$1:$I$89,5,0)</f>
        <v>221.41140666666669</v>
      </c>
      <c r="P82" s="13">
        <f t="shared" si="87"/>
        <v>54.42153371936967</v>
      </c>
      <c r="Q82" s="20">
        <f t="shared" si="54"/>
        <v>480.40903783901331</v>
      </c>
      <c r="R82" s="59">
        <f t="shared" si="55"/>
        <v>773.74237117234657</v>
      </c>
      <c r="S82" s="59">
        <f ca="1">AVERAGE(OFFSET($R$3,0,0,'Données projet'!$E$9+1,1))-AVERAGE(OFFSET($H$3,0,0,'Données projet'!$E$9+1,1))</f>
        <v>369.23716180779473</v>
      </c>
      <c r="T82" s="59">
        <f t="shared" si="88"/>
        <v>256.03115836031884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22.561043211878651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22.561043211878651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-6.3550942286383367E-14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318.85992789434766</v>
      </c>
      <c r="AO82" s="59">
        <f t="shared" si="90"/>
        <v>285.79375360040717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253.70615073423596</v>
      </c>
      <c r="AV82" s="21">
        <f>EXP(-LN(2)/25)*AV81+(1-EXP(-LN(2)/25))/(LN(2)/25)*Calculateur!AQ82*Calculateur!AS82*VLOOKUP('Données projet'!$B$10,Paramètres!$A$1:$I$89,3,0)*0.475*44/12</f>
        <v>35.375618239198239</v>
      </c>
      <c r="AW82" s="21">
        <f>EXP(-LN(2)/2)*AW81+(1-EXP(-LN(2)/2))/(LN(2)/2)*AQ82*AT82*VLOOKUP('Données projet'!$B$10,Paramètres!$A$1:$I$89,3,0)*0.475*44/12</f>
        <v>0.68097090270105654</v>
      </c>
      <c r="AX82" s="21">
        <f t="shared" si="60"/>
        <v>289.76273987613524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7.0711111111111098</v>
      </c>
      <c r="N83" s="13">
        <f>IF('Données projet'!$A$36&gt;35,N82+M83-V82,IF(A83&lt;'Données projet'!$A$36,$K$205^A83,IF(A83='Données projet'!$A$36,'Données projet'!$B$36,N82+M83-V82)))</f>
        <v>225.42555555555558</v>
      </c>
      <c r="O83" s="13">
        <f>N83*VLOOKUP('Données projet'!$B$9,Paramètres!$A$1:$I$89,3,0)*VLOOKUP('Données projet'!$B$9,Paramètres!$A$1:$I$89,5,0)</f>
        <v>228.58151333333336</v>
      </c>
      <c r="P83" s="13">
        <f t="shared" si="87"/>
        <v>55.975861205978845</v>
      </c>
      <c r="Q83" s="20">
        <f t="shared" si="54"/>
        <v>495.6040939893021</v>
      </c>
      <c r="R83" s="59">
        <f t="shared" si="55"/>
        <v>788.93742732263536</v>
      </c>
      <c r="S83" s="59">
        <f ca="1">AVERAGE(OFFSET($R$3,0,0,'Données projet'!$E$9+1,1))-AVERAGE(OFFSET($H$3,0,0,'Données projet'!$E$9+1,1))</f>
        <v>369.23716180779473</v>
      </c>
      <c r="T83" s="59">
        <f t="shared" si="88"/>
        <v>256.03115836031884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22.118634915371295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22.118634915371295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-6.3550942286383367E-14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318.85992789434766</v>
      </c>
      <c r="AO83" s="59">
        <f t="shared" si="90"/>
        <v>285.79375360040717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248.73112786380969</v>
      </c>
      <c r="AV83" s="21">
        <f>EXP(-LN(2)/25)*AV82+(1-EXP(-LN(2)/25))/(LN(2)/25)*Calculateur!AQ83*Calculateur!AS83*VLOOKUP('Données projet'!$B$10,Paramètres!$A$1:$I$89,3,0)*0.475*44/12</f>
        <v>34.408270098124454</v>
      </c>
      <c r="AW83" s="21">
        <f>EXP(-LN(2)/2)*AW82+(1-EXP(-LN(2)/2))/(LN(2)/2)*AQ83*AT83*VLOOKUP('Données projet'!$B$10,Paramètres!$A$1:$I$89,3,0)*0.475*44/12</f>
        <v>0.48151914309064175</v>
      </c>
      <c r="AX83" s="21">
        <f t="shared" si="60"/>
        <v>283.62091710502477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7.0711111111111098</v>
      </c>
      <c r="N84" s="13">
        <f>IF('Données projet'!$A$36&gt;35,N83+M84-V83,IF(A84&lt;'Données projet'!$A$36,$K$205^A84,IF(A84='Données projet'!$A$36,'Données projet'!$B$36,N83+M84-V83)))</f>
        <v>232.4966666666667</v>
      </c>
      <c r="O84" s="13">
        <f>N84*VLOOKUP('Données projet'!$B$9,Paramètres!$A$1:$I$89,3,0)*VLOOKUP('Données projet'!$B$9,Paramètres!$A$1:$I$89,5,0)</f>
        <v>235.75162000000003</v>
      </c>
      <c r="P84" s="13">
        <f t="shared" si="87"/>
        <v>57.524522874036109</v>
      </c>
      <c r="Q84" s="20">
        <f t="shared" si="54"/>
        <v>510.78928217227963</v>
      </c>
      <c r="R84" s="59">
        <f t="shared" si="55"/>
        <v>804.12261550561288</v>
      </c>
      <c r="S84" s="59">
        <f ca="1">AVERAGE(OFFSET($R$3,0,0,'Données projet'!$E$9+1,1))-AVERAGE(OFFSET($H$3,0,0,'Données projet'!$E$9+1,1))</f>
        <v>369.23716180779473</v>
      </c>
      <c r="T84" s="59">
        <f t="shared" si="88"/>
        <v>256.03115836031884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21.684901975716034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21.684901975716034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-6.3550942286383367E-14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318.85992789434766</v>
      </c>
      <c r="AO84" s="59">
        <f t="shared" si="90"/>
        <v>285.79375360040717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243.85366215740817</v>
      </c>
      <c r="AV84" s="21">
        <f>EXP(-LN(2)/25)*AV83+(1-EXP(-LN(2)/25))/(LN(2)/25)*Calculateur!AQ84*Calculateur!AS84*VLOOKUP('Données projet'!$B$10,Paramètres!$A$1:$I$89,3,0)*0.475*44/12</f>
        <v>33.467374142838956</v>
      </c>
      <c r="AW84" s="21">
        <f>EXP(-LN(2)/2)*AW83+(1-EXP(-LN(2)/2))/(LN(2)/2)*AQ84*AT84*VLOOKUP('Données projet'!$B$10,Paramètres!$A$1:$I$89,3,0)*0.475*44/12</f>
        <v>0.34048545135052832</v>
      </c>
      <c r="AX84" s="21">
        <f t="shared" si="60"/>
        <v>277.6615217515976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7.0711111111111098</v>
      </c>
      <c r="N85" s="13">
        <f>IF('Données projet'!$A$36&gt;35,N84+M85-V84,IF(A85&lt;'Données projet'!$A$36,$K$205^A85,IF(A85='Données projet'!$A$36,'Données projet'!$B$36,N84+M85-V84)))</f>
        <v>239.56777777777782</v>
      </c>
      <c r="O85" s="13">
        <f>N85*VLOOKUP('Données projet'!$B$9,Paramètres!$A$1:$I$89,3,0)*VLOOKUP('Données projet'!$B$9,Paramètres!$A$1:$I$89,5,0)</f>
        <v>242.92172666666673</v>
      </c>
      <c r="P85" s="13">
        <f t="shared" si="87"/>
        <v>59.067710820607559</v>
      </c>
      <c r="Q85" s="20">
        <f t="shared" si="54"/>
        <v>525.96493695700281</v>
      </c>
      <c r="R85" s="59">
        <f t="shared" si="55"/>
        <v>819.29827029033618</v>
      </c>
      <c r="S85" s="59">
        <f ca="1">AVERAGE(OFFSET($R$3,0,0,'Données projet'!$E$9+1,1))-AVERAGE(OFFSET($H$3,0,0,'Données projet'!$E$9+1,1))</f>
        <v>369.23716180779473</v>
      </c>
      <c r="T85" s="59">
        <f t="shared" si="88"/>
        <v>256.03115836031884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21.25967427445644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21.25967427445644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-6.3550942286383367E-14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318.85992789434766</v>
      </c>
      <c r="AO85" s="59">
        <f t="shared" si="90"/>
        <v>285.79375360040717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239.07184057854883</v>
      </c>
      <c r="AV85" s="21">
        <f>EXP(-LN(2)/25)*AV84+(1-EXP(-LN(2)/25))/(LN(2)/25)*Calculateur!AQ85*Calculateur!AS85*VLOOKUP('Données projet'!$B$10,Paramètres!$A$1:$I$89,3,0)*0.475*44/12</f>
        <v>32.552207036930312</v>
      </c>
      <c r="AW85" s="21">
        <f>EXP(-LN(2)/2)*AW84+(1-EXP(-LN(2)/2))/(LN(2)/2)*AQ85*AT85*VLOOKUP('Données projet'!$B$10,Paramètres!$A$1:$I$89,3,0)*0.475*44/12</f>
        <v>0.24075957154532093</v>
      </c>
      <c r="AX85" s="21">
        <f t="shared" si="60"/>
        <v>271.86480718702444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7.0711111111111098</v>
      </c>
      <c r="N86" s="13">
        <f>IF('Données projet'!$A$36&gt;35,N85+M86-V85,IF(A86&lt;'Données projet'!$A$36,$K$205^A86,IF(A86='Données projet'!$A$36,'Données projet'!$B$36,N85+M86-V85)))</f>
        <v>246.63888888888894</v>
      </c>
      <c r="O86" s="13">
        <f>N86*VLOOKUP('Données projet'!$B$9,Paramètres!$A$1:$I$89,3,0)*VLOOKUP('Données projet'!$B$9,Paramètres!$A$1:$I$89,5,0)</f>
        <v>250.09183333333343</v>
      </c>
      <c r="P86" s="13">
        <f t="shared" si="87"/>
        <v>60.605605158175855</v>
      </c>
      <c r="Q86" s="20">
        <f t="shared" si="54"/>
        <v>541.13137203937856</v>
      </c>
      <c r="R86" s="59">
        <f t="shared" si="55"/>
        <v>834.46470537271193</v>
      </c>
      <c r="S86" s="59">
        <f ca="1">AVERAGE(OFFSET($R$3,0,0,'Données projet'!$E$9+1,1))-AVERAGE(OFFSET($H$3,0,0,'Données projet'!$E$9+1,1))</f>
        <v>369.23716180779473</v>
      </c>
      <c r="T86" s="59">
        <f t="shared" si="88"/>
        <v>256.03115836031884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20.842785029055261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20.842785029055261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-6.3550942286383367E-14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318.85992789434766</v>
      </c>
      <c r="AO86" s="59">
        <f t="shared" si="90"/>
        <v>285.79375360040717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234.38378760422776</v>
      </c>
      <c r="AV86" s="21">
        <f>EXP(-LN(2)/25)*AV85+(1-EXP(-LN(2)/25))/(LN(2)/25)*Calculateur!AQ86*Calculateur!AS86*VLOOKUP('Données projet'!$B$10,Paramètres!$A$1:$I$89,3,0)*0.475*44/12</f>
        <v>31.662065223659283</v>
      </c>
      <c r="AW86" s="21">
        <f>EXP(-LN(2)/2)*AW85+(1-EXP(-LN(2)/2))/(LN(2)/2)*AQ86*AT86*VLOOKUP('Données projet'!$B$10,Paramètres!$A$1:$I$89,3,0)*0.475*44/12</f>
        <v>0.17024272567526419</v>
      </c>
      <c r="AX86" s="21">
        <f t="shared" si="60"/>
        <v>266.21609555356235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253.71</v>
      </c>
      <c r="L87" s="12">
        <f>VLOOKUP(A87,'Données projet'!$A$35:$I$55,9,0)</f>
        <v>7.0711111111111098</v>
      </c>
      <c r="M87" s="12">
        <f t="array" ref="M87">INDEX(L:L,MIN(IF(ISNUMBER(L87:L283),ROW(L87:L283),"")))</f>
        <v>7.0711111111111098</v>
      </c>
      <c r="N87" s="13">
        <f>IF('Données projet'!$A$36&gt;35,N86+M87-V86,IF(A87&lt;'Données projet'!$A$36,$K$205^A87,IF(A87='Données projet'!$A$36,'Données projet'!$B$36,N86+M87-V86)))</f>
        <v>253.71000000000006</v>
      </c>
      <c r="O87" s="13">
        <f>N87*VLOOKUP('Données projet'!$B$9,Paramètres!$A$1:$I$89,3,0)*VLOOKUP('Données projet'!$B$9,Paramètres!$A$1:$I$89,5,0)</f>
        <v>257.2619400000001</v>
      </c>
      <c r="P87" s="13">
        <f t="shared" si="87"/>
        <v>62.138375084235072</v>
      </c>
      <c r="Q87" s="20">
        <f t="shared" si="54"/>
        <v>556.28888210504294</v>
      </c>
      <c r="R87" s="59">
        <f t="shared" si="55"/>
        <v>849.62221543837632</v>
      </c>
      <c r="S87" s="59">
        <f ca="1">AVERAGE(OFFSET($R$3,0,0,'Données projet'!$E$9+1,1))-AVERAGE(OFFSET($H$3,0,0,'Données projet'!$E$9+1,1))</f>
        <v>369.23716180779473</v>
      </c>
      <c r="T87" s="59">
        <f t="shared" si="88"/>
        <v>256.03115836031884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44.89</v>
      </c>
      <c r="W87" s="16">
        <f>IF(ISNA(VLOOKUP(A87,'Données projet'!$A$35:$I$55,5,0)),0%,VLOOKUP(A87,'Données projet'!$A$35:$I$55,5,0)*VLOOKUP('Données projet'!$B$9,Paramètres!$A$1:$I$89,7,0))</f>
        <v>0.17200000000000001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29.088991918815395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29.088991918815395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-6.3550942286383367E-14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318.85992789434766</v>
      </c>
      <c r="AO87" s="59">
        <f t="shared" si="90"/>
        <v>285.79375360040717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229.78766448930315</v>
      </c>
      <c r="AV87" s="21">
        <f>EXP(-LN(2)/25)*AV86+(1-EXP(-LN(2)/25))/(LN(2)/25)*Calculateur!AQ87*Calculateur!AS87*VLOOKUP('Données projet'!$B$10,Paramètres!$A$1:$I$89,3,0)*0.475*44/12</f>
        <v>30.796264385082676</v>
      </c>
      <c r="AW87" s="21">
        <f>EXP(-LN(2)/2)*AW86+(1-EXP(-LN(2)/2))/(LN(2)/2)*AQ87*AT87*VLOOKUP('Données projet'!$B$10,Paramètres!$A$1:$I$89,3,0)*0.475*44/12</f>
        <v>0.12037978577266048</v>
      </c>
      <c r="AX87" s="21">
        <f t="shared" si="60"/>
        <v>260.70430866015852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6.7444444444444436</v>
      </c>
      <c r="N88" s="13">
        <f>IF('Données projet'!$A$36&gt;35,N87+M88-V87,IF(A88&lt;'Données projet'!$A$36,$K$205^A88,IF(A88='Données projet'!$A$36,'Données projet'!$B$36,N87+M88-V87)))</f>
        <v>215.56444444444452</v>
      </c>
      <c r="O88" s="13">
        <f>N88*VLOOKUP('Données projet'!$B$9,Paramètres!$A$1:$I$89,3,0)*VLOOKUP('Données projet'!$B$9,Paramètres!$A$1:$I$89,5,0)</f>
        <v>218.58234666666678</v>
      </c>
      <c r="P88" s="13">
        <f t="shared" si="87"/>
        <v>53.806649939519559</v>
      </c>
      <c r="Q88" s="20">
        <f t="shared" si="54"/>
        <v>474.41083575577449</v>
      </c>
      <c r="R88" s="59">
        <f t="shared" si="55"/>
        <v>767.7441690891078</v>
      </c>
      <c r="S88" s="59">
        <f ca="1">AVERAGE(OFFSET($R$3,0,0,'Données projet'!$E$9+1,1))-AVERAGE(OFFSET($H$3,0,0,'Données projet'!$E$9+1,1))</f>
        <v>369.23716180779473</v>
      </c>
      <c r="T88" s="59">
        <f t="shared" si="88"/>
        <v>256.03115836031884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28.518574529820565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28.518574529820565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-6.3550942286383367E-14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318.85992789434766</v>
      </c>
      <c r="AO88" s="59">
        <f t="shared" si="90"/>
        <v>285.79375360040717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225.28166854530394</v>
      </c>
      <c r="AV88" s="21">
        <f>EXP(-LN(2)/25)*AV87+(1-EXP(-LN(2)/25))/(LN(2)/25)*Calculateur!AQ88*Calculateur!AS88*VLOOKUP('Données projet'!$B$10,Paramètres!$A$1:$I$89,3,0)*0.475*44/12</f>
        <v>29.95413891596743</v>
      </c>
      <c r="AW88" s="21">
        <f>EXP(-LN(2)/2)*AW87+(1-EXP(-LN(2)/2))/(LN(2)/2)*AQ88*AT88*VLOOKUP('Données projet'!$B$10,Paramètres!$A$1:$I$89,3,0)*0.475*44/12</f>
        <v>8.5121362837632109E-2</v>
      </c>
      <c r="AX88" s="21">
        <f t="shared" si="60"/>
        <v>255.32092882410902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6.7444444444444436</v>
      </c>
      <c r="N89" s="13">
        <f>IF('Données projet'!$A$36&gt;35,N88+M89-V88,IF(A89&lt;'Données projet'!$A$36,$K$205^A89,IF(A89='Données projet'!$A$36,'Données projet'!$B$36,N88+M89-V88)))</f>
        <v>222.30888888888896</v>
      </c>
      <c r="O89" s="13">
        <f>N89*VLOOKUP('Données projet'!$B$9,Paramètres!$A$1:$I$89,3,0)*VLOOKUP('Données projet'!$B$9,Paramètres!$A$1:$I$89,5,0)</f>
        <v>225.42121333333344</v>
      </c>
      <c r="P89" s="13">
        <f t="shared" si="87"/>
        <v>55.291485120086222</v>
      </c>
      <c r="Q89" s="20">
        <f t="shared" si="54"/>
        <v>488.90794980637247</v>
      </c>
      <c r="R89" s="59">
        <f t="shared" si="55"/>
        <v>782.24128313970573</v>
      </c>
      <c r="S89" s="59">
        <f ca="1">AVERAGE(OFFSET($R$3,0,0,'Données projet'!$E$9+1,1))-AVERAGE(OFFSET($H$3,0,0,'Données projet'!$E$9+1,1))</f>
        <v>369.23716180779473</v>
      </c>
      <c r="T89" s="59">
        <f t="shared" si="88"/>
        <v>256.03115836031884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27.95934267790367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27.95934267790367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-6.3550942286383367E-14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318.85992789434766</v>
      </c>
      <c r="AO89" s="59">
        <f t="shared" si="90"/>
        <v>285.79375360040717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220.8640324333804</v>
      </c>
      <c r="AV89" s="21">
        <f>EXP(-LN(2)/25)*AV88+(1-EXP(-LN(2)/25))/(LN(2)/25)*Calculateur!AQ89*Calculateur!AS89*VLOOKUP('Données projet'!$B$10,Paramètres!$A$1:$I$89,3,0)*0.475*44/12</f>
        <v>29.135041412090597</v>
      </c>
      <c r="AW89" s="21">
        <f>EXP(-LN(2)/2)*AW88+(1-EXP(-LN(2)/2))/(LN(2)/2)*AQ89*AT89*VLOOKUP('Données projet'!$B$10,Paramètres!$A$1:$I$89,3,0)*0.475*44/12</f>
        <v>6.0189892886330247E-2</v>
      </c>
      <c r="AX89" s="21">
        <f t="shared" si="60"/>
        <v>250.05926373835734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6.7444444444444436</v>
      </c>
      <c r="N90" s="13">
        <f>IF('Données projet'!$A$36&gt;35,N89+M90-V89,IF(A90&lt;'Données projet'!$A$36,$K$205^A90,IF(A90='Données projet'!$A$36,'Données projet'!$B$36,N89+M90-V89)))</f>
        <v>229.0533333333334</v>
      </c>
      <c r="O90" s="13">
        <f>N90*VLOOKUP('Données projet'!$B$9,Paramètres!$A$1:$I$89,3,0)*VLOOKUP('Données projet'!$B$9,Paramètres!$A$1:$I$89,5,0)</f>
        <v>232.26008000000007</v>
      </c>
      <c r="P90" s="13">
        <f t="shared" si="87"/>
        <v>56.771085207930533</v>
      </c>
      <c r="Q90" s="20">
        <f t="shared" si="54"/>
        <v>503.39594607047911</v>
      </c>
      <c r="R90" s="59">
        <f t="shared" si="55"/>
        <v>796.72927940381237</v>
      </c>
      <c r="S90" s="59">
        <f ca="1">AVERAGE(OFFSET($R$3,0,0,'Données projet'!$E$9+1,1))-AVERAGE(OFFSET($H$3,0,0,'Données projet'!$E$9+1,1))</f>
        <v>369.23716180779473</v>
      </c>
      <c r="T90" s="59">
        <f t="shared" si="88"/>
        <v>256.03115836031884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27.411077021505118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27.411077021505118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-6.3550942286383367E-14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318.85992789434766</v>
      </c>
      <c r="AO90" s="59">
        <f t="shared" si="90"/>
        <v>285.79375360040717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216.53302347111972</v>
      </c>
      <c r="AV90" s="21">
        <f>EXP(-LN(2)/25)*AV89+(1-EXP(-LN(2)/25))/(LN(2)/25)*Calculateur!AQ90*Calculateur!AS90*VLOOKUP('Données projet'!$B$10,Paramètres!$A$1:$I$89,3,0)*0.475*44/12</f>
        <v>28.338342172531743</v>
      </c>
      <c r="AW90" s="21">
        <f>EXP(-LN(2)/2)*AW89+(1-EXP(-LN(2)/2))/(LN(2)/2)*AQ90*AT90*VLOOKUP('Données projet'!$B$10,Paramètres!$A$1:$I$89,3,0)*0.475*44/12</f>
        <v>4.2560681418816061E-2</v>
      </c>
      <c r="AX90" s="21">
        <f t="shared" si="60"/>
        <v>244.91392632507029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6.7444444444444436</v>
      </c>
      <c r="N91" s="13">
        <f>IF('Données projet'!$A$36&gt;35,N90+M91-V90,IF(A91&lt;'Données projet'!$A$36,$K$205^A91,IF(A91='Données projet'!$A$36,'Données projet'!$B$36,N90+M91-V90)))</f>
        <v>235.79777777777784</v>
      </c>
      <c r="O91" s="13">
        <f>N91*VLOOKUP('Données projet'!$B$9,Paramètres!$A$1:$I$89,3,0)*VLOOKUP('Données projet'!$B$9,Paramètres!$A$1:$I$89,5,0)</f>
        <v>239.09894666666673</v>
      </c>
      <c r="P91" s="13">
        <f t="shared" si="87"/>
        <v>58.245622048084961</v>
      </c>
      <c r="Q91" s="20">
        <f t="shared" si="54"/>
        <v>517.8751238448591</v>
      </c>
      <c r="R91" s="59">
        <f t="shared" si="55"/>
        <v>811.20845717819248</v>
      </c>
      <c r="S91" s="59">
        <f ca="1">AVERAGE(OFFSET($R$3,0,0,'Données projet'!$E$9+1,1))-AVERAGE(OFFSET($H$3,0,0,'Données projet'!$E$9+1,1))</f>
        <v>369.23716180779473</v>
      </c>
      <c r="T91" s="59">
        <f t="shared" si="88"/>
        <v>256.03115836031884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26.873562520219512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26.873562520219512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-6.3550942286383367E-14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318.85992789434766</v>
      </c>
      <c r="AO91" s="59">
        <f t="shared" si="90"/>
        <v>285.79375360040717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212.28694295295435</v>
      </c>
      <c r="AV91" s="21">
        <f>EXP(-LN(2)/25)*AV90+(1-EXP(-LN(2)/25))/(LN(2)/25)*Calculateur!AQ91*Calculateur!AS91*VLOOKUP('Données projet'!$B$10,Paramètres!$A$1:$I$89,3,0)*0.475*44/12</f>
        <v>27.563428715575217</v>
      </c>
      <c r="AW91" s="21">
        <f>EXP(-LN(2)/2)*AW90+(1-EXP(-LN(2)/2))/(LN(2)/2)*AQ91*AT91*VLOOKUP('Données projet'!$B$10,Paramètres!$A$1:$I$89,3,0)*0.475*44/12</f>
        <v>3.009494644316513E-2</v>
      </c>
      <c r="AX91" s="21">
        <f t="shared" si="60"/>
        <v>239.88046661497273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6.7444444444444436</v>
      </c>
      <c r="N92" s="13">
        <f>IF('Données projet'!$A$36&gt;35,N91+M92-V91,IF(A92&lt;'Données projet'!$A$36,$K$205^A92,IF(A92='Données projet'!$A$36,'Données projet'!$B$36,N91+M92-V91)))</f>
        <v>242.54222222222228</v>
      </c>
      <c r="O92" s="13">
        <f>N92*VLOOKUP('Données projet'!$B$9,Paramètres!$A$1:$I$89,3,0)*VLOOKUP('Données projet'!$B$9,Paramètres!$A$1:$I$89,5,0)</f>
        <v>245.93781333333339</v>
      </c>
      <c r="P92" s="13">
        <f t="shared" si="87"/>
        <v>59.715257096009388</v>
      </c>
      <c r="Q92" s="20">
        <f t="shared" si="54"/>
        <v>532.34576433110544</v>
      </c>
      <c r="R92" s="59">
        <f t="shared" si="55"/>
        <v>825.67909766443881</v>
      </c>
      <c r="S92" s="59">
        <f ca="1">AVERAGE(OFFSET($R$3,0,0,'Données projet'!$E$9+1,1))-AVERAGE(OFFSET($H$3,0,0,'Données projet'!$E$9+1,1))</f>
        <v>369.23716180779473</v>
      </c>
      <c r="T92" s="59">
        <f t="shared" si="88"/>
        <v>256.03115836031884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26.346588350452642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26.346588350452642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-6.3550942286383367E-14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318.85992789434766</v>
      </c>
      <c r="AO92" s="59">
        <f t="shared" si="90"/>
        <v>285.79375360040717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208.12412548389679</v>
      </c>
      <c r="AV92" s="21">
        <f>EXP(-LN(2)/25)*AV91+(1-EXP(-LN(2)/25))/(LN(2)/25)*Calculateur!AQ92*Calculateur!AS92*VLOOKUP('Données projet'!$B$10,Paramètres!$A$1:$I$89,3,0)*0.475*44/12</f>
        <v>26.809705307850095</v>
      </c>
      <c r="AW92" s="21">
        <f>EXP(-LN(2)/2)*AW91+(1-EXP(-LN(2)/2))/(LN(2)/2)*AQ92*AT92*VLOOKUP('Données projet'!$B$10,Paramètres!$A$1:$I$89,3,0)*0.475*44/12</f>
        <v>2.1280340709408034E-2</v>
      </c>
      <c r="AX92" s="21">
        <f t="shared" si="60"/>
        <v>234.9551111324563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6.7444444444444436</v>
      </c>
      <c r="N93" s="13">
        <f>IF('Données projet'!$A$36&gt;35,N92+M93-V92,IF(A93&lt;'Données projet'!$A$36,$K$205^A93,IF(A93='Données projet'!$A$36,'Données projet'!$B$36,N92+M93-V92)))</f>
        <v>249.28666666666672</v>
      </c>
      <c r="O93" s="13">
        <f>N93*VLOOKUP('Données projet'!$B$9,Paramètres!$A$1:$I$89,3,0)*VLOOKUP('Données projet'!$B$9,Paramètres!$A$1:$I$89,5,0)</f>
        <v>252.77668000000008</v>
      </c>
      <c r="P93" s="13">
        <f t="shared" si="87"/>
        <v>61.180142316952214</v>
      </c>
      <c r="Q93" s="20">
        <f t="shared" si="54"/>
        <v>546.80813220202526</v>
      </c>
      <c r="R93" s="59">
        <f t="shared" si="55"/>
        <v>840.14146553535852</v>
      </c>
      <c r="S93" s="59">
        <f ca="1">AVERAGE(OFFSET($R$3,0,0,'Données projet'!$E$9+1,1))-AVERAGE(OFFSET($H$3,0,0,'Données projet'!$E$9+1,1))</f>
        <v>369.23716180779473</v>
      </c>
      <c r="T93" s="59">
        <f t="shared" si="88"/>
        <v>256.03115836031884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25.829947822732397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25.829947822732397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-6.3550942286383367E-14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318.85992789434766</v>
      </c>
      <c r="AO93" s="59">
        <f t="shared" si="90"/>
        <v>285.79375360040717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204.04293832633951</v>
      </c>
      <c r="AV93" s="21">
        <f>EXP(-LN(2)/25)*AV92+(1-EXP(-LN(2)/25))/(LN(2)/25)*Calculateur!AQ93*Calculateur!AS93*VLOOKUP('Données projet'!$B$10,Paramètres!$A$1:$I$89,3,0)*0.475*44/12</f>
        <v>26.076592506345808</v>
      </c>
      <c r="AW93" s="21">
        <f>EXP(-LN(2)/2)*AW92+(1-EXP(-LN(2)/2))/(LN(2)/2)*AQ93*AT93*VLOOKUP('Données projet'!$B$10,Paramètres!$A$1:$I$89,3,0)*0.475*44/12</f>
        <v>1.5047473221582567E-2</v>
      </c>
      <c r="AX93" s="21">
        <f t="shared" si="60"/>
        <v>230.1345783059069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6.7444444444444436</v>
      </c>
      <c r="N94" s="13">
        <f>IF('Données projet'!$A$36&gt;35,N93+M94-V93,IF(A94&lt;'Données projet'!$A$36,$K$205^A94,IF(A94='Données projet'!$A$36,'Données projet'!$B$36,N93+M94-V93)))</f>
        <v>256.03111111111116</v>
      </c>
      <c r="O94" s="13">
        <f>N94*VLOOKUP('Données projet'!$B$9,Paramètres!$A$1:$I$89,3,0)*VLOOKUP('Données projet'!$B$9,Paramètres!$A$1:$I$89,5,0)</f>
        <v>259.61554666666672</v>
      </c>
      <c r="P94" s="13">
        <f t="shared" si="87"/>
        <v>62.640420985244788</v>
      </c>
      <c r="Q94" s="20">
        <f t="shared" si="54"/>
        <v>561.26247699374585</v>
      </c>
      <c r="R94" s="59">
        <f t="shared" si="55"/>
        <v>854.59581032707911</v>
      </c>
      <c r="S94" s="59">
        <f ca="1">AVERAGE(OFFSET($R$3,0,0,'Données projet'!$E$9+1,1))-AVERAGE(OFFSET($H$3,0,0,'Données projet'!$E$9+1,1))</f>
        <v>369.23716180779473</v>
      </c>
      <c r="T94" s="59">
        <f t="shared" si="88"/>
        <v>256.03115836031884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25.323438300641136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25.323438300641136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-6.3550942286383367E-14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318.85992789434766</v>
      </c>
      <c r="AO94" s="59">
        <f t="shared" si="90"/>
        <v>285.79375360040717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200.04178075966357</v>
      </c>
      <c r="AV94" s="21">
        <f>EXP(-LN(2)/25)*AV93+(1-EXP(-LN(2)/25))/(LN(2)/25)*Calculateur!AQ94*Calculateur!AS94*VLOOKUP('Données projet'!$B$10,Paramètres!$A$1:$I$89,3,0)*0.475*44/12</f>
        <v>25.36352671295138</v>
      </c>
      <c r="AW94" s="21">
        <f>EXP(-LN(2)/2)*AW93+(1-EXP(-LN(2)/2))/(LN(2)/2)*AQ94*AT94*VLOOKUP('Données projet'!$B$10,Paramètres!$A$1:$I$89,3,0)*0.475*44/12</f>
        <v>1.0640170354704019E-2</v>
      </c>
      <c r="AX94" s="21">
        <f t="shared" si="60"/>
        <v>225.41594764296963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6.7444444444444436</v>
      </c>
      <c r="N95" s="13">
        <f>IF('Données projet'!$A$36&gt;35,N94+M95-V94,IF(A95&lt;'Données projet'!$A$36,$K$205^A95,IF(A95='Données projet'!$A$36,'Données projet'!$B$36,N94+M95-V94)))</f>
        <v>262.77555555555563</v>
      </c>
      <c r="O95" s="13">
        <f>N95*VLOOKUP('Données projet'!$B$9,Paramètres!$A$1:$I$89,3,0)*VLOOKUP('Données projet'!$B$9,Paramètres!$A$1:$I$89,5,0)</f>
        <v>266.45441333333343</v>
      </c>
      <c r="P95" s="13">
        <f t="shared" si="87"/>
        <v>64.0962283970063</v>
      </c>
      <c r="Q95" s="20">
        <f t="shared" si="54"/>
        <v>575.70903434700836</v>
      </c>
      <c r="R95" s="59">
        <f t="shared" si="55"/>
        <v>869.04236768034161</v>
      </c>
      <c r="S95" s="59">
        <f ca="1">AVERAGE(OFFSET($R$3,0,0,'Données projet'!$E$9+1,1))-AVERAGE(OFFSET($H$3,0,0,'Données projet'!$E$9+1,1))</f>
        <v>369.23716180779473</v>
      </c>
      <c r="T95" s="59">
        <f t="shared" si="88"/>
        <v>256.03115836031884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24.826861121337785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24.826861121337785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-6.3550942286383367E-14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318.85992789434766</v>
      </c>
      <c r="AO95" s="59">
        <f t="shared" si="90"/>
        <v>285.79375360040717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196.11908345240499</v>
      </c>
      <c r="AV95" s="21">
        <f>EXP(-LN(2)/25)*AV94+(1-EXP(-LN(2)/25))/(LN(2)/25)*Calculateur!AQ95*Calculateur!AS95*VLOOKUP('Données projet'!$B$10,Paramètres!$A$1:$I$89,3,0)*0.475*44/12</f>
        <v>24.669959741175823</v>
      </c>
      <c r="AW95" s="21">
        <f>EXP(-LN(2)/2)*AW94+(1-EXP(-LN(2)/2))/(LN(2)/2)*AQ95*AT95*VLOOKUP('Données projet'!$B$10,Paramètres!$A$1:$I$89,3,0)*0.475*44/12</f>
        <v>7.5237366107912852E-3</v>
      </c>
      <c r="AX95" s="21">
        <f t="shared" si="60"/>
        <v>220.7965669301916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269.52</v>
      </c>
      <c r="L96" s="12">
        <f>VLOOKUP(A96,'Données projet'!$A$35:$I$55,9,0)</f>
        <v>6.7444444444444436</v>
      </c>
      <c r="M96" s="12">
        <f t="array" ref="M96">INDEX(L:L,MIN(IF(ISNUMBER(L96:L292),ROW(L96:L292),"")))</f>
        <v>6.7444444444444436</v>
      </c>
      <c r="N96" s="13">
        <f>IF('Données projet'!$A$36&gt;35,N95+M96-V95,IF(A96&lt;'Données projet'!$A$36,$K$205^A96,IF(A96='Données projet'!$A$36,'Données projet'!$B$36,N95+M96-V95)))</f>
        <v>269.5200000000001</v>
      </c>
      <c r="O96" s="13">
        <f>N96*VLOOKUP('Données projet'!$B$9,Paramètres!$A$1:$I$89,3,0)*VLOOKUP('Données projet'!$B$9,Paramètres!$A$1:$I$89,5,0)</f>
        <v>273.29328000000015</v>
      </c>
      <c r="P96" s="13">
        <f t="shared" si="87"/>
        <v>65.547692507620056</v>
      </c>
      <c r="Q96" s="20">
        <f t="shared" si="54"/>
        <v>590.14802711743857</v>
      </c>
      <c r="R96" s="59">
        <f t="shared" si="55"/>
        <v>883.48136045077194</v>
      </c>
      <c r="S96" s="59">
        <f ca="1">AVERAGE(OFFSET($R$3,0,0,'Données projet'!$E$9+1,1))-AVERAGE(OFFSET($H$3,0,0,'Données projet'!$E$9+1,1))</f>
        <v>369.23716180779473</v>
      </c>
      <c r="T96" s="59">
        <f t="shared" si="88"/>
        <v>256.03115836031884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38.57</v>
      </c>
      <c r="W96" s="16">
        <f>IF(ISNA(VLOOKUP(A96,'Données projet'!$A$35:$I$55,5,0)),0%,VLOOKUP(A96,'Données projet'!$A$35:$I$55,5,0)*VLOOKUP('Données projet'!$B$9,Paramètres!$A$1:$I$89,7,0))</f>
        <v>0.215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33.635530270975508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33.635530270975508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-6.3550942286383367E-14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318.85992789434766</v>
      </c>
      <c r="AO96" s="59">
        <f t="shared" si="90"/>
        <v>285.79375360040717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192.27330784673265</v>
      </c>
      <c r="AV96" s="21">
        <f>EXP(-LN(2)/25)*AV95+(1-EXP(-LN(2)/25))/(LN(2)/25)*Calculateur!AQ96*Calculateur!AS96*VLOOKUP('Données projet'!$B$10,Paramètres!$A$1:$I$89,3,0)*0.475*44/12</f>
        <v>23.995358394716572</v>
      </c>
      <c r="AW96" s="21">
        <f>EXP(-LN(2)/2)*AW95+(1-EXP(-LN(2)/2))/(LN(2)/2)*AQ96*AT96*VLOOKUP('Données projet'!$B$10,Paramètres!$A$1:$I$89,3,0)*0.475*44/12</f>
        <v>5.3200851773520103E-3</v>
      </c>
      <c r="AX96" s="21">
        <f t="shared" si="60"/>
        <v>216.27398632662656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6.7350000000000021</v>
      </c>
      <c r="N97" s="13">
        <f>IF('Données projet'!$A$36&gt;35,N96+M97-V96,IF(A97&lt;'Données projet'!$A$36,$K$205^A97,IF(A97='Données projet'!$A$36,'Données projet'!$B$36,N96+M97-V96)))</f>
        <v>237.68500000000012</v>
      </c>
      <c r="O97" s="13">
        <f>N97*VLOOKUP('Données projet'!$B$9,Paramètres!$A$1:$I$89,3,0)*VLOOKUP('Données projet'!$B$9,Paramètres!$A$1:$I$89,5,0)</f>
        <v>241.01259000000013</v>
      </c>
      <c r="P97" s="13">
        <f t="shared" si="87"/>
        <v>58.657340740150538</v>
      </c>
      <c r="Q97" s="20">
        <f t="shared" si="54"/>
        <v>521.92512937242907</v>
      </c>
      <c r="R97" s="59">
        <f t="shared" si="55"/>
        <v>815.25846270576244</v>
      </c>
      <c r="S97" s="59">
        <f ca="1">AVERAGE(OFFSET($R$3,0,0,'Données projet'!$E$9+1,1))-AVERAGE(OFFSET($H$3,0,0,'Données projet'!$E$9+1,1))</f>
        <v>369.23716180779473</v>
      </c>
      <c r="T97" s="59">
        <f t="shared" si="88"/>
        <v>256.03115836031884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32.975958038009395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32.975958038009395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-6.3550942286383367E-14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318.85992789434766</v>
      </c>
      <c r="AO97" s="59">
        <f t="shared" si="90"/>
        <v>285.79375360040717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188.50294555499605</v>
      </c>
      <c r="AV97" s="21">
        <f>EXP(-LN(2)/25)*AV96+(1-EXP(-LN(2)/25))/(LN(2)/25)*Calculateur!AQ97*Calculateur!AS97*VLOOKUP('Données projet'!$B$10,Paramètres!$A$1:$I$89,3,0)*0.475*44/12</f>
        <v>23.339204057551992</v>
      </c>
      <c r="AW97" s="21">
        <f>EXP(-LN(2)/2)*AW96+(1-EXP(-LN(2)/2))/(LN(2)/2)*AQ97*AT97*VLOOKUP('Données projet'!$B$10,Paramètres!$A$1:$I$89,3,0)*0.475*44/12</f>
        <v>3.761868305395643E-3</v>
      </c>
      <c r="AX97" s="21">
        <f t="shared" si="60"/>
        <v>211.84591148085343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6.7350000000000021</v>
      </c>
      <c r="N98" s="13">
        <f>IF('Données projet'!$A$36&gt;35,N97+M98-V97,IF(A98&lt;'Données projet'!$A$36,$K$205^A98,IF(A98='Données projet'!$A$36,'Données projet'!$B$36,N97+M98-V97)))</f>
        <v>244.42000000000013</v>
      </c>
      <c r="O98" s="13">
        <f>N98*VLOOKUP('Données projet'!$B$9,Paramètres!$A$1:$I$89,3,0)*VLOOKUP('Données projet'!$B$9,Paramètres!$A$1:$I$89,5,0)</f>
        <v>247.84188000000012</v>
      </c>
      <c r="P98" s="13">
        <f t="shared" si="87"/>
        <v>60.123579007829761</v>
      </c>
      <c r="Q98" s="20">
        <f t="shared" si="54"/>
        <v>536.37317443863697</v>
      </c>
      <c r="R98" s="59">
        <f t="shared" si="55"/>
        <v>829.70650777197034</v>
      </c>
      <c r="S98" s="59">
        <f ca="1">AVERAGE(OFFSET($R$3,0,0,'Données projet'!$E$9+1,1))-AVERAGE(OFFSET($H$3,0,0,'Données projet'!$E$9+1,1))</f>
        <v>369.23716180779473</v>
      </c>
      <c r="T98" s="59">
        <f t="shared" si="88"/>
        <v>256.03115836031884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32.329319614232404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32.329319614232404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-6.3550942286383367E-14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318.85992789434766</v>
      </c>
      <c r="AO98" s="59">
        <f t="shared" si="90"/>
        <v>285.79375360040717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184.80651776810649</v>
      </c>
      <c r="AV98" s="21">
        <f>EXP(-LN(2)/25)*AV97+(1-EXP(-LN(2)/25))/(LN(2)/25)*Calculateur!AQ98*Calculateur!AS98*VLOOKUP('Données projet'!$B$10,Paramètres!$A$1:$I$89,3,0)*0.475*44/12</f>
        <v>22.700992295242834</v>
      </c>
      <c r="AW98" s="21">
        <f>EXP(-LN(2)/2)*AW97+(1-EXP(-LN(2)/2))/(LN(2)/2)*AQ98*AT98*VLOOKUP('Données projet'!$B$10,Paramètres!$A$1:$I$89,3,0)*0.475*44/12</f>
        <v>2.6600425886760056E-3</v>
      </c>
      <c r="AX98" s="21">
        <f t="shared" si="60"/>
        <v>207.51017010593799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6.7350000000000021</v>
      </c>
      <c r="N99" s="13">
        <f>IF('Données projet'!$A$36&gt;35,N98+M99-V98,IF(A99&lt;'Données projet'!$A$36,$K$205^A99,IF(A99='Données projet'!$A$36,'Données projet'!$B$36,N98+M99-V98)))</f>
        <v>251.15500000000014</v>
      </c>
      <c r="O99" s="13">
        <f>N99*VLOOKUP('Données projet'!$B$9,Paramètres!$A$1:$I$89,3,0)*VLOOKUP('Données projet'!$B$9,Paramètres!$A$1:$I$89,5,0)</f>
        <v>254.67117000000016</v>
      </c>
      <c r="P99" s="13">
        <f t="shared" si="87"/>
        <v>61.585121361062143</v>
      </c>
      <c r="Q99" s="20">
        <f t="shared" ref="Q99:Q130" si="107">(O99+P99)*0.475*44/12</f>
        <v>550.81304078718358</v>
      </c>
      <c r="R99" s="59">
        <f t="shared" si="55"/>
        <v>844.14637412051684</v>
      </c>
      <c r="S99" s="59">
        <f ca="1">AVERAGE(OFFSET($R$3,0,0,'Données projet'!$E$9+1,1))-AVERAGE(OFFSET($H$3,0,0,'Données projet'!$E$9+1,1))</f>
        <v>369.23716180779473</v>
      </c>
      <c r="T99" s="59">
        <f t="shared" si="88"/>
        <v>256.03115836031884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31.695361375535189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31.695361375535189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-6.3550942286383367E-14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318.85992789434766</v>
      </c>
      <c r="AO99" s="59">
        <f t="shared" si="90"/>
        <v>285.79375360040717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181.1825746755195</v>
      </c>
      <c r="AV99" s="21">
        <f>EXP(-LN(2)/25)*AV98+(1-EXP(-LN(2)/25))/(LN(2)/25)*Calculateur!AQ99*Calculateur!AS99*VLOOKUP('Données projet'!$B$10,Paramètres!$A$1:$I$89,3,0)*0.475*44/12</f>
        <v>22.080232467136117</v>
      </c>
      <c r="AW99" s="21">
        <f>EXP(-LN(2)/2)*AW98+(1-EXP(-LN(2)/2))/(LN(2)/2)*AQ99*AT99*VLOOKUP('Données projet'!$B$10,Paramètres!$A$1:$I$89,3,0)*0.475*44/12</f>
        <v>1.8809341526978217E-3</v>
      </c>
      <c r="AX99" s="21">
        <f t="shared" si="60"/>
        <v>203.26468807680831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6.7350000000000021</v>
      </c>
      <c r="N100" s="13">
        <f>IF('Données projet'!$A$36&gt;35,N99+M100-V99,IF(A100&lt;'Données projet'!$A$36,$K$205^A100,IF(A100='Données projet'!$A$36,'Données projet'!$B$36,N99+M100-V99)))</f>
        <v>257.89000000000016</v>
      </c>
      <c r="O100" s="13">
        <f>N100*VLOOKUP('Données projet'!$B$9,Paramètres!$A$1:$I$89,3,0)*VLOOKUP('Données projet'!$B$9,Paramètres!$A$1:$I$89,5,0)</f>
        <v>261.5004600000002</v>
      </c>
      <c r="P100" s="13">
        <f t="shared" si="87"/>
        <v>63.042108198698358</v>
      </c>
      <c r="Q100" s="20">
        <f t="shared" si="107"/>
        <v>565.2449729460667</v>
      </c>
      <c r="R100" s="59">
        <f t="shared" si="55"/>
        <v>858.57830627940007</v>
      </c>
      <c r="S100" s="59">
        <f ca="1">AVERAGE(OFFSET($R$3,0,0,'Données projet'!$E$9+1,1))-AVERAGE(OFFSET($H$3,0,0,'Données projet'!$E$9+1,1))</f>
        <v>369.23716180779473</v>
      </c>
      <c r="T100" s="59">
        <f t="shared" si="88"/>
        <v>256.03115836031884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31.073834671222482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31.073834671222482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-6.3550942286383367E-14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318.85992789434766</v>
      </c>
      <c r="AO100" s="59">
        <f t="shared" si="90"/>
        <v>285.79375360040717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177.6296948965911</v>
      </c>
      <c r="AV100" s="21">
        <f>EXP(-LN(2)/25)*AV99+(1-EXP(-LN(2)/25))/(LN(2)/25)*Calculateur!AQ100*Calculateur!AS100*VLOOKUP('Données projet'!$B$10,Paramètres!$A$1:$I$89,3,0)*0.475*44/12</f>
        <v>21.47644734917332</v>
      </c>
      <c r="AW100" s="21">
        <f>EXP(-LN(2)/2)*AW99+(1-EXP(-LN(2)/2))/(LN(2)/2)*AQ100*AT100*VLOOKUP('Données projet'!$B$10,Paramètres!$A$1:$I$89,3,0)*0.475*44/12</f>
        <v>1.330021294338003E-3</v>
      </c>
      <c r="AX100" s="21">
        <f t="shared" si="60"/>
        <v>199.10747226705877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6.7350000000000021</v>
      </c>
      <c r="N101" s="13">
        <f>IF('Données projet'!$A$36&gt;35,N100+M101-V100,IF(A101&lt;'Données projet'!$A$36,$K$205^A101,IF(A101='Données projet'!$A$36,'Données projet'!$B$36,N100+M101-V100)))</f>
        <v>264.62500000000017</v>
      </c>
      <c r="O101" s="13">
        <f>N101*VLOOKUP('Données projet'!$B$9,Paramètres!$A$1:$I$89,3,0)*VLOOKUP('Données projet'!$B$9,Paramètres!$A$1:$I$89,5,0)</f>
        <v>268.32975000000016</v>
      </c>
      <c r="P101" s="13">
        <f t="shared" si="87"/>
        <v>64.494672168664735</v>
      </c>
      <c r="Q101" s="20">
        <f t="shared" si="107"/>
        <v>579.66920194375791</v>
      </c>
      <c r="R101" s="59">
        <f t="shared" si="55"/>
        <v>873.00253527709128</v>
      </c>
      <c r="S101" s="59">
        <f ca="1">AVERAGE(OFFSET($R$3,0,0,'Données projet'!$E$9+1,1))-AVERAGE(OFFSET($H$3,0,0,'Données projet'!$E$9+1,1))</f>
        <v>369.23716180779473</v>
      </c>
      <c r="T101" s="59">
        <f t="shared" si="88"/>
        <v>256.03115836031884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30.464495726487488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30.464495726487488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-6.3550942286383367E-14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318.85992789434766</v>
      </c>
      <c r="AO101" s="59">
        <f t="shared" si="90"/>
        <v>285.79375360040717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174.14648492308481</v>
      </c>
      <c r="AV101" s="21">
        <f>EXP(-LN(2)/25)*AV100+(1-EXP(-LN(2)/25))/(LN(2)/25)*Calculateur!AQ101*Calculateur!AS101*VLOOKUP('Données projet'!$B$10,Paramètres!$A$1:$I$89,3,0)*0.475*44/12</f>
        <v>20.889172767012894</v>
      </c>
      <c r="AW101" s="21">
        <f>EXP(-LN(2)/2)*AW100+(1-EXP(-LN(2)/2))/(LN(2)/2)*AQ101*AT101*VLOOKUP('Données projet'!$B$10,Paramètres!$A$1:$I$89,3,0)*0.475*44/12</f>
        <v>9.4046707634891109E-4</v>
      </c>
      <c r="AX101" s="21">
        <f t="shared" si="60"/>
        <v>195.03659815717407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6.7350000000000021</v>
      </c>
      <c r="N102" s="13">
        <f>IF('Données projet'!$A$36&gt;35,N101+M102-V101,IF(A102&lt;'Données projet'!$A$36,$K$205^A102,IF(A102='Données projet'!$A$36,'Données projet'!$B$36,N101+M102-V101)))</f>
        <v>271.36000000000018</v>
      </c>
      <c r="O102" s="13">
        <f>N102*VLOOKUP('Données projet'!$B$9,Paramètres!$A$1:$I$89,3,0)*VLOOKUP('Données projet'!$B$9,Paramètres!$A$1:$I$89,5,0)</f>
        <v>275.15904000000023</v>
      </c>
      <c r="P102" s="13">
        <f t="shared" si="87"/>
        <v>65.942938782092412</v>
      </c>
      <c r="Q102" s="20">
        <f t="shared" si="107"/>
        <v>594.0859463788114</v>
      </c>
      <c r="R102" s="59">
        <f t="shared" si="55"/>
        <v>887.41927971214477</v>
      </c>
      <c r="S102" s="59">
        <f ca="1">AVERAGE(OFFSET($R$3,0,0,'Données projet'!$E$9+1,1))-AVERAGE(OFFSET($H$3,0,0,'Données projet'!$E$9+1,1))</f>
        <v>369.23716180779473</v>
      </c>
      <c r="T102" s="59">
        <f t="shared" si="88"/>
        <v>256.03115836031884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29.86710554679869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29.86710554679869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-6.3550942286383367E-14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318.85992789434766</v>
      </c>
      <c r="AO102" s="59">
        <f t="shared" si="90"/>
        <v>285.79375360040717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170.73157857261069</v>
      </c>
      <c r="AV102" s="21">
        <f>EXP(-LN(2)/25)*AV101+(1-EXP(-LN(2)/25))/(LN(2)/25)*Calculateur!AQ102*Calculateur!AS102*VLOOKUP('Données projet'!$B$10,Paramètres!$A$1:$I$89,3,0)*0.475*44/12</f>
        <v>20.317957239185073</v>
      </c>
      <c r="AW102" s="21">
        <f>EXP(-LN(2)/2)*AW101+(1-EXP(-LN(2)/2))/(LN(2)/2)*AQ102*AT102*VLOOKUP('Données projet'!$B$10,Paramètres!$A$1:$I$89,3,0)*0.475*44/12</f>
        <v>6.6501064716900161E-4</v>
      </c>
      <c r="AX102" s="21">
        <f t="shared" si="60"/>
        <v>191.05020082244292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6.7350000000000021</v>
      </c>
      <c r="N103" s="13">
        <f>IF('Données projet'!$A$36&gt;35,N102+M103-V102,IF(A103&lt;'Données projet'!$A$36,$K$205^A103,IF(A103='Données projet'!$A$36,'Données projet'!$B$36,N102+M103-V102)))</f>
        <v>278.0950000000002</v>
      </c>
      <c r="O103" s="13">
        <f>N103*VLOOKUP('Données projet'!$B$9,Paramètres!$A$1:$I$89,3,0)*VLOOKUP('Données projet'!$B$9,Paramètres!$A$1:$I$89,5,0)</f>
        <v>281.98833000000025</v>
      </c>
      <c r="P103" s="13">
        <f t="shared" si="87"/>
        <v>67.387026964760395</v>
      </c>
      <c r="Q103" s="20">
        <f t="shared" si="107"/>
        <v>608.49541338029132</v>
      </c>
      <c r="R103" s="59">
        <f t="shared" si="55"/>
        <v>901.8287467136247</v>
      </c>
      <c r="S103" s="59">
        <f ca="1">AVERAGE(OFFSET($R$3,0,0,'Données projet'!$E$9+1,1))-AVERAGE(OFFSET($H$3,0,0,'Données projet'!$E$9+1,1))</f>
        <v>369.23716180779473</v>
      </c>
      <c r="T103" s="59">
        <f t="shared" si="88"/>
        <v>256.03115836031884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29.28142982416156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29.28142982416156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-6.3550942286383367E-14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318.85992789434766</v>
      </c>
      <c r="AO103" s="59">
        <f t="shared" si="90"/>
        <v>285.79375360040717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167.38363645278216</v>
      </c>
      <c r="AV103" s="21">
        <f>EXP(-LN(2)/25)*AV102+(1-EXP(-LN(2)/25))/(LN(2)/25)*Calculateur!AQ103*Calculateur!AS103*VLOOKUP('Données projet'!$B$10,Paramètres!$A$1:$I$89,3,0)*0.475*44/12</f>
        <v>19.762361630004623</v>
      </c>
      <c r="AW103" s="21">
        <f>EXP(-LN(2)/2)*AW102+(1-EXP(-LN(2)/2))/(LN(2)/2)*AQ103*AT103*VLOOKUP('Données projet'!$B$10,Paramètres!$A$1:$I$89,3,0)*0.475*44/12</f>
        <v>4.702335381744556E-4</v>
      </c>
      <c r="AX103" s="21">
        <f t="shared" si="60"/>
        <v>187.14646831632496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6.7350000000000021</v>
      </c>
      <c r="N104" s="13">
        <f>IF('Données projet'!$A$36&gt;35,N103+M104-V103,IF(A104&lt;'Données projet'!$A$36,$K$205^A104,IF(A104='Données projet'!$A$36,'Données projet'!$B$36,N103+M104-V103)))</f>
        <v>284.83000000000021</v>
      </c>
      <c r="O104" s="13">
        <f>N104*VLOOKUP('Données projet'!$B$9,Paramètres!$A$1:$I$89,3,0)*VLOOKUP('Données projet'!$B$9,Paramètres!$A$1:$I$89,5,0)</f>
        <v>288.8176200000002</v>
      </c>
      <c r="P104" s="13">
        <f t="shared" si="87"/>
        <v>68.82704955361433</v>
      </c>
      <c r="Q104" s="20">
        <f t="shared" si="107"/>
        <v>622.89779947254533</v>
      </c>
      <c r="R104" s="59">
        <f t="shared" si="55"/>
        <v>916.23113280587859</v>
      </c>
      <c r="S104" s="59">
        <f ca="1">AVERAGE(OFFSET($R$3,0,0,'Données projet'!$E$9+1,1))-AVERAGE(OFFSET($H$3,0,0,'Données projet'!$E$9+1,1))</f>
        <v>369.23716180779473</v>
      </c>
      <c r="T104" s="59">
        <f t="shared" si="88"/>
        <v>256.03115836031884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28.707238845218424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28.707238845218424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-6.3550942286383367E-14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318.85992789434766</v>
      </c>
      <c r="AO104" s="59">
        <f t="shared" si="90"/>
        <v>285.79375360040717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164.1013454358804</v>
      </c>
      <c r="AV104" s="21">
        <f>EXP(-LN(2)/25)*AV103+(1-EXP(-LN(2)/25))/(LN(2)/25)*Calculateur!AQ104*Calculateur!AS104*VLOOKUP('Données projet'!$B$10,Paramètres!$A$1:$I$89,3,0)*0.475*44/12</f>
        <v>19.221958811974716</v>
      </c>
      <c r="AW104" s="21">
        <f>EXP(-LN(2)/2)*AW103+(1-EXP(-LN(2)/2))/(LN(2)/2)*AQ104*AT104*VLOOKUP('Données projet'!$B$10,Paramètres!$A$1:$I$89,3,0)*0.475*44/12</f>
        <v>3.3250532358450086E-4</v>
      </c>
      <c r="AX104" s="21">
        <f t="shared" si="60"/>
        <v>183.3236367531787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6.7350000000000021</v>
      </c>
      <c r="N105" s="13">
        <f>IF('Données projet'!$A$36&gt;35,N104+M105-V104,IF(A105&lt;'Données projet'!$A$36,$K$205^A105,IF(A105='Données projet'!$A$36,'Données projet'!$B$36,N104+M105-V104)))</f>
        <v>291.56500000000023</v>
      </c>
      <c r="O105" s="13">
        <f>N105*VLOOKUP('Données projet'!$B$9,Paramètres!$A$1:$I$89,3,0)*VLOOKUP('Données projet'!$B$9,Paramètres!$A$1:$I$89,5,0)</f>
        <v>295.64691000000028</v>
      </c>
      <c r="P105" s="13">
        <f t="shared" si="87"/>
        <v>70.26311374500041</v>
      </c>
      <c r="Q105" s="20">
        <f t="shared" si="107"/>
        <v>637.29329135587614</v>
      </c>
      <c r="R105" s="59">
        <f t="shared" si="55"/>
        <v>930.62662468920939</v>
      </c>
      <c r="S105" s="59">
        <f ca="1">AVERAGE(OFFSET($R$3,0,0,'Données projet'!$E$9+1,1))-AVERAGE(OFFSET($H$3,0,0,'Données projet'!$E$9+1,1))</f>
        <v>369.23716180779473</v>
      </c>
      <c r="T105" s="59">
        <f t="shared" si="88"/>
        <v>256.03115836031884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28.144307401150449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28.144307401150449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-6.3550942286383367E-14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318.85992789434766</v>
      </c>
      <c r="AO105" s="59">
        <f t="shared" si="90"/>
        <v>285.79375360040717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160.88341814382025</v>
      </c>
      <c r="AV105" s="21">
        <f>EXP(-LN(2)/25)*AV104+(1-EXP(-LN(2)/25))/(LN(2)/25)*Calculateur!AQ105*Calculateur!AS105*VLOOKUP('Données projet'!$B$10,Paramètres!$A$1:$I$89,3,0)*0.475*44/12</f>
        <v>18.696333337422384</v>
      </c>
      <c r="AW105" s="21">
        <f>EXP(-LN(2)/2)*AW104+(1-EXP(-LN(2)/2))/(LN(2)/2)*AQ105*AT105*VLOOKUP('Données projet'!$B$10,Paramètres!$A$1:$I$89,3,0)*0.475*44/12</f>
        <v>2.3511676908722785E-4</v>
      </c>
      <c r="AX105" s="21">
        <f t="shared" si="60"/>
        <v>179.57998659801171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298.3</v>
      </c>
      <c r="L106" s="12">
        <f>VLOOKUP(A106,'Données projet'!$A$35:$I$55,9,0)</f>
        <v>6.7350000000000021</v>
      </c>
      <c r="M106" s="12">
        <f t="array" ref="M106">INDEX(L:L,MIN(IF(ISNUMBER(L106:L302),ROW(L106:L302),"")))</f>
        <v>6.7350000000000021</v>
      </c>
      <c r="N106" s="13">
        <f>IF('Données projet'!$A$36&gt;35,N105+M106-V105,IF(A106&lt;'Données projet'!$A$36,$K$205^A106,IF(A106='Données projet'!$A$36,'Données projet'!$B$36,N105+M106-V105)))</f>
        <v>298.30000000000024</v>
      </c>
      <c r="O106" s="13">
        <f>N106*VLOOKUP('Données projet'!$B$9,Paramètres!$A$1:$I$89,3,0)*VLOOKUP('Données projet'!$B$9,Paramètres!$A$1:$I$89,5,0)</f>
        <v>302.47620000000023</v>
      </c>
      <c r="P106" s="13">
        <f t="shared" si="87"/>
        <v>71.695321500315984</v>
      </c>
      <c r="Q106" s="20">
        <f t="shared" si="107"/>
        <v>651.68206661305078</v>
      </c>
      <c r="R106" s="59">
        <f t="shared" si="55"/>
        <v>945.01539994638415</v>
      </c>
      <c r="S106" s="59">
        <f ca="1">AVERAGE(OFFSET($R$3,0,0,'Données projet'!$E$9+1,1))-AVERAGE(OFFSET($H$3,0,0,'Données projet'!$E$9+1,1))</f>
        <v>369.23716180779473</v>
      </c>
      <c r="T106" s="59">
        <f t="shared" si="88"/>
        <v>256.03115836031884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50.51</v>
      </c>
      <c r="W106" s="16">
        <f>IF(ISNA(VLOOKUP(A106,'Données projet'!$A$35:$I$55,5,0)),0%,VLOOKUP(A106,'Données projet'!$A$35:$I$55,5,0)*VLOOKUP('Données projet'!$B$9,Paramètres!$A$1:$I$89,7,0))</f>
        <v>0.215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39.765506406140702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39.765506406140702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-6.3550942286383367E-14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318.85992789434766</v>
      </c>
      <c r="AO106" s="59">
        <f t="shared" si="90"/>
        <v>285.79375360040717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157.72859244321555</v>
      </c>
      <c r="AV106" s="21">
        <f>EXP(-LN(2)/25)*AV105+(1-EXP(-LN(2)/25))/(LN(2)/25)*Calculateur!AQ106*Calculateur!AS106*VLOOKUP('Données projet'!$B$10,Paramètres!$A$1:$I$89,3,0)*0.475*44/12</f>
        <v>18.185081119113129</v>
      </c>
      <c r="AW106" s="21">
        <f>EXP(-LN(2)/2)*AW105+(1-EXP(-LN(2)/2))/(LN(2)/2)*AQ106*AT106*VLOOKUP('Données projet'!$B$10,Paramètres!$A$1:$I$89,3,0)*0.475*44/12</f>
        <v>1.6625266179225046E-4</v>
      </c>
      <c r="AX106" s="21">
        <f t="shared" si="60"/>
        <v>175.91383981499047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6.5199999999999987</v>
      </c>
      <c r="N107" s="13">
        <f>IF('Données projet'!$A$36&gt;35,N106+M107-V106,IF(A107&lt;'Données projet'!$A$36,$K$205^A107,IF(A107='Données projet'!$A$36,'Données projet'!$B$36,N106+M107-V106)))</f>
        <v>254.31000000000023</v>
      </c>
      <c r="O107" s="13">
        <f>N107*VLOOKUP('Données projet'!$B$9,Paramètres!$A$1:$I$89,3,0)*VLOOKUP('Données projet'!$B$9,Paramètres!$A$1:$I$89,5,0)</f>
        <v>257.87034000000023</v>
      </c>
      <c r="P107" s="13">
        <f t="shared" si="87"/>
        <v>62.268203434282583</v>
      </c>
      <c r="Q107" s="20">
        <f t="shared" si="107"/>
        <v>557.57462981470928</v>
      </c>
      <c r="R107" s="59">
        <f t="shared" si="55"/>
        <v>850.90796314804265</v>
      </c>
      <c r="S107" s="59">
        <f ca="1">AVERAGE(OFFSET($R$3,0,0,'Données projet'!$E$9+1,1))-AVERAGE(OFFSET($H$3,0,0,'Données projet'!$E$9+1,1))</f>
        <v>369.23716180779473</v>
      </c>
      <c r="T107" s="59">
        <f t="shared" si="88"/>
        <v>256.03115836031884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38.985729080080255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38.985729080080255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-6.3550942286383367E-14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318.85992789434766</v>
      </c>
      <c r="AO107" s="59">
        <f t="shared" si="90"/>
        <v>285.79375360040717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154.63563095034604</v>
      </c>
      <c r="AV107" s="21">
        <f>EXP(-LN(2)/25)*AV106+(1-EXP(-LN(2)/25))/(LN(2)/25)*Calculateur!AQ107*Calculateur!AS107*VLOOKUP('Données projet'!$B$10,Paramètres!$A$1:$I$89,3,0)*0.475*44/12</f>
        <v>17.687809119599127</v>
      </c>
      <c r="AW107" s="21">
        <f>EXP(-LN(2)/2)*AW106+(1-EXP(-LN(2)/2))/(LN(2)/2)*AQ107*AT107*VLOOKUP('Données projet'!$B$10,Paramètres!$A$1:$I$89,3,0)*0.475*44/12</f>
        <v>1.1755838454361394E-4</v>
      </c>
      <c r="AX107" s="21">
        <f t="shared" si="60"/>
        <v>172.32355762832972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6.5199999999999987</v>
      </c>
      <c r="N108" s="13">
        <f>IF('Données projet'!$A$36&gt;35,N107+M108-V107,IF(A108&lt;'Données projet'!$A$36,$K$205^A108,IF(A108='Données projet'!$A$36,'Données projet'!$B$36,N107+M108-V107)))</f>
        <v>260.83000000000021</v>
      </c>
      <c r="O108" s="13">
        <f>N108*VLOOKUP('Données projet'!$B$9,Paramètres!$A$1:$I$89,3,0)*VLOOKUP('Données projet'!$B$9,Paramètres!$A$1:$I$89,5,0)</f>
        <v>264.48162000000025</v>
      </c>
      <c r="P108" s="13">
        <f t="shared" si="87"/>
        <v>63.676725974700901</v>
      </c>
      <c r="Q108" s="20">
        <f t="shared" si="107"/>
        <v>571.54245257260447</v>
      </c>
      <c r="R108" s="59">
        <f t="shared" si="55"/>
        <v>864.87578590593785</v>
      </c>
      <c r="S108" s="59">
        <f ca="1">AVERAGE(OFFSET($R$3,0,0,'Données projet'!$E$9+1,1))-AVERAGE(OFFSET($H$3,0,0,'Données projet'!$E$9+1,1))</f>
        <v>369.23716180779473</v>
      </c>
      <c r="T108" s="59">
        <f t="shared" si="88"/>
        <v>256.03115836031884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38.221242711766642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38.221242711766642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-6.3550942286383367E-14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318.85992789434766</v>
      </c>
      <c r="AO108" s="59">
        <f t="shared" si="90"/>
        <v>285.79375360040717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151.60332054583145</v>
      </c>
      <c r="AV108" s="21">
        <f>EXP(-LN(2)/25)*AV107+(1-EXP(-LN(2)/25))/(LN(2)/25)*Calculateur!AQ108*Calculateur!AS108*VLOOKUP('Données projet'!$B$10,Paramètres!$A$1:$I$89,3,0)*0.475*44/12</f>
        <v>17.204135049062234</v>
      </c>
      <c r="AW108" s="21">
        <f>EXP(-LN(2)/2)*AW107+(1-EXP(-LN(2)/2))/(LN(2)/2)*AQ108*AT108*VLOOKUP('Données projet'!$B$10,Paramètres!$A$1:$I$89,3,0)*0.475*44/12</f>
        <v>8.3126330896125242E-5</v>
      </c>
      <c r="AX108" s="21">
        <f t="shared" si="60"/>
        <v>168.8075387212246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6.5199999999999987</v>
      </c>
      <c r="N109" s="13">
        <f>IF('Données projet'!$A$36&gt;35,N108+M109-V108,IF(A109&lt;'Données projet'!$A$36,$K$205^A109,IF(A109='Données projet'!$A$36,'Données projet'!$B$36,N108+M109-V108)))</f>
        <v>267.35000000000019</v>
      </c>
      <c r="O109" s="13">
        <f>N109*VLOOKUP('Données projet'!$B$9,Paramètres!$A$1:$I$89,3,0)*VLOOKUP('Données projet'!$B$9,Paramètres!$A$1:$I$89,5,0)</f>
        <v>271.09290000000021</v>
      </c>
      <c r="P109" s="13">
        <f t="shared" si="87"/>
        <v>65.081155692107473</v>
      </c>
      <c r="Q109" s="20">
        <f t="shared" si="107"/>
        <v>585.50314699708758</v>
      </c>
      <c r="R109" s="59">
        <f t="shared" si="55"/>
        <v>878.83648033042095</v>
      </c>
      <c r="S109" s="59">
        <f ca="1">AVERAGE(OFFSET($R$3,0,0,'Données projet'!$E$9+1,1))-AVERAGE(OFFSET($H$3,0,0,'Données projet'!$E$9+1,1))</f>
        <v>369.23716180779473</v>
      </c>
      <c r="T109" s="59">
        <f t="shared" si="88"/>
        <v>256.03115836031884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37.471747454845016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37.471747454845016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-6.3550942286383367E-14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318.85992789434766</v>
      </c>
      <c r="AO109" s="59">
        <f t="shared" si="90"/>
        <v>285.79375360040717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148.63047189882269</v>
      </c>
      <c r="AV109" s="21">
        <f>EXP(-LN(2)/25)*AV108+(1-EXP(-LN(2)/25))/(LN(2)/25)*Calculateur!AQ109*Calculateur!AS109*VLOOKUP('Données projet'!$B$10,Paramètres!$A$1:$I$89,3,0)*0.475*44/12</f>
        <v>16.733687071419485</v>
      </c>
      <c r="AW109" s="21">
        <f>EXP(-LN(2)/2)*AW108+(1-EXP(-LN(2)/2))/(LN(2)/2)*AQ109*AT109*VLOOKUP('Données projet'!$B$10,Paramètres!$A$1:$I$89,3,0)*0.475*44/12</f>
        <v>5.8779192271806977E-5</v>
      </c>
      <c r="AX109" s="21">
        <f t="shared" si="60"/>
        <v>165.36421774943446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6.5199999999999987</v>
      </c>
      <c r="N110" s="13">
        <f>IF('Données projet'!$A$36&gt;35,N109+M110-V109,IF(A110&lt;'Données projet'!$A$36,$K$205^A110,IF(A110='Données projet'!$A$36,'Données projet'!$B$36,N109+M110-V109)))</f>
        <v>273.87000000000018</v>
      </c>
      <c r="O110" s="13">
        <f>N110*VLOOKUP('Données projet'!$B$9,Paramètres!$A$1:$I$89,3,0)*VLOOKUP('Données projet'!$B$9,Paramètres!$A$1:$I$89,5,0)</f>
        <v>277.70418000000018</v>
      </c>
      <c r="P110" s="13">
        <f t="shared" si="87"/>
        <v>66.481603882872932</v>
      </c>
      <c r="Q110" s="20">
        <f t="shared" si="107"/>
        <v>599.45690692933738</v>
      </c>
      <c r="R110" s="59">
        <f t="shared" si="55"/>
        <v>892.79024026267075</v>
      </c>
      <c r="S110" s="59">
        <f ca="1">AVERAGE(OFFSET($R$3,0,0,'Données projet'!$E$9+1,1))-AVERAGE(OFFSET($H$3,0,0,'Données projet'!$E$9+1,1))</f>
        <v>369.23716180779473</v>
      </c>
      <c r="T110" s="59">
        <f t="shared" si="88"/>
        <v>256.03115836031884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36.73694934276466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36.73694934276466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-6.3550942286383367E-14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318.85992789434766</v>
      </c>
      <c r="AO110" s="59">
        <f t="shared" si="90"/>
        <v>285.79375360040717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145.71591900052314</v>
      </c>
      <c r="AV110" s="21">
        <f>EXP(-LN(2)/25)*AV109+(1-EXP(-LN(2)/25))/(LN(2)/25)*Calculateur!AQ110*Calculateur!AS110*VLOOKUP('Données projet'!$B$10,Paramètres!$A$1:$I$89,3,0)*0.475*44/12</f>
        <v>16.276103518465163</v>
      </c>
      <c r="AW110" s="21">
        <f>EXP(-LN(2)/2)*AW109+(1-EXP(-LN(2)/2))/(LN(2)/2)*AQ110*AT110*VLOOKUP('Données projet'!$B$10,Paramètres!$A$1:$I$89,3,0)*0.475*44/12</f>
        <v>4.1563165448062621E-5</v>
      </c>
      <c r="AX110" s="21">
        <f t="shared" si="60"/>
        <v>161.99206408215375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6.5199999999999987</v>
      </c>
      <c r="N111" s="13">
        <f>IF('Données projet'!$A$36&gt;35,N110+M111-V110,IF(A111&lt;'Données projet'!$A$36,$K$205^A111,IF(A111='Données projet'!$A$36,'Données projet'!$B$36,N110+M111-V110)))</f>
        <v>280.39000000000016</v>
      </c>
      <c r="O111" s="13">
        <f>N111*VLOOKUP('Données projet'!$B$9,Paramètres!$A$1:$I$89,3,0)*VLOOKUP('Données projet'!$B$9,Paramètres!$A$1:$I$89,5,0)</f>
        <v>284.3154600000002</v>
      </c>
      <c r="P111" s="13">
        <f t="shared" si="87"/>
        <v>67.878176241874186</v>
      </c>
      <c r="Q111" s="20">
        <f t="shared" si="107"/>
        <v>613.40391645459783</v>
      </c>
      <c r="R111" s="59">
        <f t="shared" si="55"/>
        <v>906.7372497879312</v>
      </c>
      <c r="S111" s="59">
        <f ca="1">AVERAGE(OFFSET($R$3,0,0,'Données projet'!$E$9+1,1))-AVERAGE(OFFSET($H$3,0,0,'Données projet'!$E$9+1,1))</f>
        <v>369.23716180779473</v>
      </c>
      <c r="T111" s="59">
        <f t="shared" si="88"/>
        <v>256.03115836031884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36.016560173479604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36.016560173479604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-6.3550942286383367E-14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318.85992789434766</v>
      </c>
      <c r="AO111" s="59">
        <f t="shared" si="90"/>
        <v>285.79375360040717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142.8585187068575</v>
      </c>
      <c r="AV111" s="21">
        <f>EXP(-LN(2)/25)*AV110+(1-EXP(-LN(2)/25))/(LN(2)/25)*Calculateur!AQ111*Calculateur!AS111*VLOOKUP('Données projet'!$B$10,Paramètres!$A$1:$I$89,3,0)*0.475*44/12</f>
        <v>15.831032611829649</v>
      </c>
      <c r="AW111" s="21">
        <f>EXP(-LN(2)/2)*AW110+(1-EXP(-LN(2)/2))/(LN(2)/2)*AQ111*AT111*VLOOKUP('Données projet'!$B$10,Paramètres!$A$1:$I$89,3,0)*0.475*44/12</f>
        <v>2.9389596135903488E-5</v>
      </c>
      <c r="AX111" s="21">
        <f t="shared" si="60"/>
        <v>158.68958070828327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6.5199999999999987</v>
      </c>
      <c r="N112" s="13">
        <f>IF('Données projet'!$A$36&gt;35,N111+M112-V111,IF(A112&lt;'Données projet'!$A$36,$K$205^A112,IF(A112='Données projet'!$A$36,'Données projet'!$B$36,N111+M112-V111)))</f>
        <v>286.91000000000014</v>
      </c>
      <c r="O112" s="13">
        <f>N112*VLOOKUP('Données projet'!$B$9,Paramètres!$A$1:$I$89,3,0)*VLOOKUP('Données projet'!$B$9,Paramètres!$A$1:$I$89,5,0)</f>
        <v>290.92674000000017</v>
      </c>
      <c r="P112" s="13">
        <f t="shared" si="87"/>
        <v>69.270973268014799</v>
      </c>
      <c r="Q112" s="20">
        <f t="shared" si="107"/>
        <v>627.34435060845942</v>
      </c>
      <c r="R112" s="59">
        <f t="shared" si="55"/>
        <v>920.67768394179279</v>
      </c>
      <c r="S112" s="59">
        <f ca="1">AVERAGE(OFFSET($R$3,0,0,'Données projet'!$E$9+1,1))-AVERAGE(OFFSET($H$3,0,0,'Données projet'!$E$9+1,1))</f>
        <v>369.23716180779473</v>
      </c>
      <c r="T112" s="59">
        <f t="shared" si="88"/>
        <v>256.03115836031884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35.31029739641022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35.31029739641022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-6.3550942286383367E-14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318.85992789434766</v>
      </c>
      <c r="AO112" s="59">
        <f t="shared" si="90"/>
        <v>285.79375360040717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140.05715029010855</v>
      </c>
      <c r="AV112" s="21">
        <f>EXP(-LN(2)/25)*AV111+(1-EXP(-LN(2)/25))/(LN(2)/25)*Calculateur!AQ112*Calculateur!AS112*VLOOKUP('Données projet'!$B$10,Paramètres!$A$1:$I$89,3,0)*0.475*44/12</f>
        <v>15.398132192541345</v>
      </c>
      <c r="AW112" s="21">
        <f>EXP(-LN(2)/2)*AW111+(1-EXP(-LN(2)/2))/(LN(2)/2)*AQ112*AT112*VLOOKUP('Données projet'!$B$10,Paramètres!$A$1:$I$89,3,0)*0.475*44/12</f>
        <v>2.078158272403131E-5</v>
      </c>
      <c r="AX112" s="21">
        <f t="shared" si="60"/>
        <v>155.45530326423261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6.5199999999999987</v>
      </c>
      <c r="N113" s="13">
        <f>IF('Données projet'!$A$36&gt;35,N112+M113-V112,IF(A113&lt;'Données projet'!$A$36,$K$205^A113,IF(A113='Données projet'!$A$36,'Données projet'!$B$36,N112+M113-V112)))</f>
        <v>293.43000000000012</v>
      </c>
      <c r="O113" s="13">
        <f>N113*VLOOKUP('Données projet'!$B$9,Paramètres!$A$1:$I$89,3,0)*VLOOKUP('Données projet'!$B$9,Paramètres!$A$1:$I$89,5,0)</f>
        <v>297.53802000000013</v>
      </c>
      <c r="P113" s="13">
        <f t="shared" si="87"/>
        <v>70.660090631843303</v>
      </c>
      <c r="Q113" s="20">
        <f t="shared" si="107"/>
        <v>641.27837601712724</v>
      </c>
      <c r="R113" s="59">
        <f t="shared" si="55"/>
        <v>934.61170935046061</v>
      </c>
      <c r="S113" s="59">
        <f ca="1">AVERAGE(OFFSET($R$3,0,0,'Données projet'!$E$9+1,1))-AVERAGE(OFFSET($H$3,0,0,'Données projet'!$E$9+1,1))</f>
        <v>369.23716180779473</v>
      </c>
      <c r="T113" s="59">
        <f t="shared" si="88"/>
        <v>256.03115836031884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34.617884001621412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34.617884001621412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-6.3550942286383367E-14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318.85992789434766</v>
      </c>
      <c r="AO113" s="59">
        <f t="shared" si="90"/>
        <v>285.79375360040717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137.31071499934603</v>
      </c>
      <c r="AV113" s="21">
        <f>EXP(-LN(2)/25)*AV112+(1-EXP(-LN(2)/25))/(LN(2)/25)*Calculateur!AQ113*Calculateur!AS113*VLOOKUP('Données projet'!$B$10,Paramètres!$A$1:$I$89,3,0)*0.475*44/12</f>
        <v>14.977069457983722</v>
      </c>
      <c r="AW113" s="21">
        <f>EXP(-LN(2)/2)*AW112+(1-EXP(-LN(2)/2))/(LN(2)/2)*AQ113*AT113*VLOOKUP('Données projet'!$B$10,Paramètres!$A$1:$I$89,3,0)*0.475*44/12</f>
        <v>1.4694798067951744E-5</v>
      </c>
      <c r="AX113" s="21">
        <f t="shared" si="60"/>
        <v>152.28779915212783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6.5199999999999987</v>
      </c>
      <c r="N114" s="13">
        <f>IF('Données projet'!$A$36&gt;35,N113+M114-V113,IF(A114&lt;'Données projet'!$A$36,$K$205^A114,IF(A114='Données projet'!$A$36,'Données projet'!$B$36,N113+M114-V113)))</f>
        <v>299.9500000000001</v>
      </c>
      <c r="O114" s="13">
        <f>N114*VLOOKUP('Données projet'!$B$9,Paramètres!$A$1:$I$89,3,0)*VLOOKUP('Données projet'!$B$9,Paramètres!$A$1:$I$89,5,0)</f>
        <v>304.14930000000015</v>
      </c>
      <c r="P114" s="13">
        <f t="shared" si="87"/>
        <v>72.045619509577634</v>
      </c>
      <c r="Q114" s="20">
        <f t="shared" si="107"/>
        <v>655.20615147918136</v>
      </c>
      <c r="R114" s="59">
        <f t="shared" si="55"/>
        <v>948.53948481251473</v>
      </c>
      <c r="S114" s="59">
        <f ca="1">AVERAGE(OFFSET($R$3,0,0,'Données projet'!$E$9+1,1))-AVERAGE(OFFSET($H$3,0,0,'Données projet'!$E$9+1,1))</f>
        <v>369.23716180779473</v>
      </c>
      <c r="T114" s="59">
        <f t="shared" si="88"/>
        <v>256.03115836031884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33.939048411173943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33.939048411173943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-6.3550942286383367E-14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318.85992789434766</v>
      </c>
      <c r="AO114" s="59">
        <f t="shared" si="90"/>
        <v>285.79375360040717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134.61813562947526</v>
      </c>
      <c r="AV114" s="21">
        <f>EXP(-LN(2)/25)*AV113+(1-EXP(-LN(2)/25))/(LN(2)/25)*Calculateur!AQ114*Calculateur!AS114*VLOOKUP('Données projet'!$B$10,Paramètres!$A$1:$I$89,3,0)*0.475*44/12</f>
        <v>14.567520706045306</v>
      </c>
      <c r="AW114" s="21">
        <f>EXP(-LN(2)/2)*AW113+(1-EXP(-LN(2)/2))/(LN(2)/2)*AQ114*AT114*VLOOKUP('Données projet'!$B$10,Paramètres!$A$1:$I$89,3,0)*0.475*44/12</f>
        <v>1.0390791362015655E-5</v>
      </c>
      <c r="AX114" s="21">
        <f t="shared" si="60"/>
        <v>149.18566672631195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6.5199999999999987</v>
      </c>
      <c r="N115" s="13">
        <f>IF('Données projet'!$A$36&gt;35,N114+M115-V114,IF(A115&lt;'Données projet'!$A$36,$K$205^A115,IF(A115='Données projet'!$A$36,'Données projet'!$B$36,N114+M115-V114)))</f>
        <v>306.47000000000008</v>
      </c>
      <c r="O115" s="13">
        <f>N115*VLOOKUP('Données projet'!$B$9,Paramètres!$A$1:$I$89,3,0)*VLOOKUP('Données projet'!$B$9,Paramètres!$A$1:$I$89,5,0)</f>
        <v>310.76058000000012</v>
      </c>
      <c r="P115" s="13">
        <f t="shared" si="87"/>
        <v>73.427646887266917</v>
      </c>
      <c r="Q115" s="20">
        <f t="shared" si="107"/>
        <v>669.12782849532334</v>
      </c>
      <c r="R115" s="59">
        <f t="shared" si="55"/>
        <v>962.46116182865671</v>
      </c>
      <c r="S115" s="59">
        <f ca="1">AVERAGE(OFFSET($R$3,0,0,'Données projet'!$E$9+1,1))-AVERAGE(OFFSET($H$3,0,0,'Données projet'!$E$9+1,1))</f>
        <v>369.23716180779473</v>
      </c>
      <c r="T115" s="59">
        <f t="shared" si="88"/>
        <v>256.03115836031884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33.273524372606317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33.273524372606317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-6.3550942286383367E-14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318.85992789434766</v>
      </c>
      <c r="AO115" s="59">
        <f t="shared" si="90"/>
        <v>285.79375360040717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131.97835609873641</v>
      </c>
      <c r="AV115" s="21">
        <f>EXP(-LN(2)/25)*AV114+(1-EXP(-LN(2)/25))/(LN(2)/25)*Calculateur!AQ115*Calculateur!AS115*VLOOKUP('Données projet'!$B$10,Paramètres!$A$1:$I$89,3,0)*0.475*44/12</f>
        <v>14.169171086265877</v>
      </c>
      <c r="AW115" s="21">
        <f>EXP(-LN(2)/2)*AW114+(1-EXP(-LN(2)/2))/(LN(2)/2)*AQ115*AT115*VLOOKUP('Données projet'!$B$10,Paramètres!$A$1:$I$89,3,0)*0.475*44/12</f>
        <v>7.3473990339758721E-6</v>
      </c>
      <c r="AX115" s="21">
        <f t="shared" si="60"/>
        <v>146.14753453240129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312.99</v>
      </c>
      <c r="L116" s="12">
        <f>VLOOKUP(A116,'Données projet'!$A$35:$I$55,9,0)</f>
        <v>6.5199999999999987</v>
      </c>
      <c r="M116" s="12">
        <f t="array" ref="M116">INDEX(L:L,MIN(IF(ISNUMBER(L116:L312),ROW(L116:L312),"")))</f>
        <v>6.5199999999999987</v>
      </c>
      <c r="N116" s="13">
        <f>IF('Données projet'!$A$36&gt;35,N115+M116-V115,IF(A116&lt;'Données projet'!$A$36,$K$205^A116,IF(A116='Données projet'!$A$36,'Données projet'!$B$36,N115+M116-V115)))</f>
        <v>312.99000000000007</v>
      </c>
      <c r="O116" s="13">
        <f>N116*VLOOKUP('Données projet'!$B$9,Paramètres!$A$1:$I$89,3,0)*VLOOKUP('Données projet'!$B$9,Paramètres!$A$1:$I$89,5,0)</f>
        <v>317.37186000000008</v>
      </c>
      <c r="P116" s="13">
        <f t="shared" si="87"/>
        <v>74.806255838339268</v>
      </c>
      <c r="Q116" s="20">
        <f t="shared" si="107"/>
        <v>683.04355175177432</v>
      </c>
      <c r="R116" s="59">
        <f t="shared" si="55"/>
        <v>976.37688508510769</v>
      </c>
      <c r="S116" s="59">
        <f ca="1">AVERAGE(OFFSET($R$3,0,0,'Données projet'!$E$9+1,1))-AVERAGE(OFFSET($H$3,0,0,'Données projet'!$E$9+1,1))</f>
        <v>369.23716180779473</v>
      </c>
      <c r="T116" s="59">
        <f t="shared" si="88"/>
        <v>256.03115836031884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40.479999999999997</v>
      </c>
      <c r="W116" s="16">
        <f>IF(ISNA(VLOOKUP(A116,'Données projet'!$A$35:$I$55,5,0)),0%,VLOOKUP(A116,'Données projet'!$A$35:$I$55,5,0)*VLOOKUP('Données projet'!$B$9,Paramètres!$A$1:$I$89,7,0))</f>
        <v>0.25800000000000001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44.32804160384697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44.32804160384697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-6.3550942286383367E-14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318.85992789434766</v>
      </c>
      <c r="AO116" s="59">
        <f t="shared" si="90"/>
        <v>285.79375360040717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129.39034103448881</v>
      </c>
      <c r="AV116" s="21">
        <f>EXP(-LN(2)/25)*AV115+(1-EXP(-LN(2)/25))/(LN(2)/25)*Calculateur!AQ116*Calculateur!AS116*VLOOKUP('Données projet'!$B$10,Paramètres!$A$1:$I$89,3,0)*0.475*44/12</f>
        <v>13.781714357787612</v>
      </c>
      <c r="AW116" s="21">
        <f>EXP(-LN(2)/2)*AW115+(1-EXP(-LN(2)/2))/(LN(2)/2)*AQ116*AT116*VLOOKUP('Données projet'!$B$10,Paramètres!$A$1:$I$89,3,0)*0.475*44/12</f>
        <v>5.1953956810078276E-6</v>
      </c>
      <c r="AX116" s="21">
        <f t="shared" si="60"/>
        <v>143.17206058767212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6.7941666666666691</v>
      </c>
      <c r="N117" s="13">
        <f>IF('Données projet'!$A$36&gt;35,N116+M117-V116,IF(A117&lt;'Données projet'!$A$36,$K$205^A117,IF(A117='Données projet'!$A$36,'Données projet'!$B$36,N116+M117-V116)))</f>
        <v>279.30416666666673</v>
      </c>
      <c r="O117" s="13">
        <f>N117*VLOOKUP('Données projet'!$B$9,Paramètres!$A$1:$I$89,3,0)*VLOOKUP('Données projet'!$B$9,Paramètres!$A$1:$I$89,5,0)</f>
        <v>283.21442500000012</v>
      </c>
      <c r="P117" s="13">
        <f t="shared" si="87"/>
        <v>67.645857346092839</v>
      </c>
      <c r="Q117" s="20">
        <f t="shared" si="107"/>
        <v>611.08165841944526</v>
      </c>
      <c r="R117" s="59">
        <f t="shared" si="55"/>
        <v>904.41499175277863</v>
      </c>
      <c r="S117" s="59">
        <f ca="1">AVERAGE(OFFSET($R$3,0,0,'Données projet'!$E$9+1,1))-AVERAGE(OFFSET($H$3,0,0,'Données projet'!$E$9+1,1))</f>
        <v>369.23716180779473</v>
      </c>
      <c r="T117" s="59">
        <f t="shared" si="88"/>
        <v>256.03115836031884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43.458795745431182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43.458795745431182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-6.3550942286383367E-14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318.85992789434766</v>
      </c>
      <c r="AO117" s="59">
        <f t="shared" si="90"/>
        <v>285.79375360040717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126.85307536711778</v>
      </c>
      <c r="AV117" s="21">
        <f>EXP(-LN(2)/25)*AV116+(1-EXP(-LN(2)/25))/(LN(2)/25)*Calculateur!AQ117*Calculateur!AS117*VLOOKUP('Données projet'!$B$10,Paramètres!$A$1:$I$89,3,0)*0.475*44/12</f>
        <v>13.404852653925051</v>
      </c>
      <c r="AW117" s="21">
        <f>EXP(-LN(2)/2)*AW116+(1-EXP(-LN(2)/2))/(LN(2)/2)*AQ117*AT117*VLOOKUP('Données projet'!$B$10,Paramètres!$A$1:$I$89,3,0)*0.475*44/12</f>
        <v>3.673699516987936E-6</v>
      </c>
      <c r="AX117" s="21">
        <f t="shared" si="60"/>
        <v>140.25793169474235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6.7941666666666691</v>
      </c>
      <c r="N118" s="13">
        <f>IF('Données projet'!$A$36&gt;35,N117+M118-V117,IF(A118&lt;'Données projet'!$A$36,$K$205^A118,IF(A118='Données projet'!$A$36,'Données projet'!$B$36,N117+M118-V117)))</f>
        <v>286.09833333333341</v>
      </c>
      <c r="O118" s="13">
        <f>N118*VLOOKUP('Données projet'!$B$9,Paramètres!$A$1:$I$89,3,0)*VLOOKUP('Données projet'!$B$9,Paramètres!$A$1:$I$89,5,0)</f>
        <v>290.10371000000009</v>
      </c>
      <c r="P118" s="13">
        <f t="shared" si="87"/>
        <v>69.097788139141073</v>
      </c>
      <c r="Q118" s="20">
        <f t="shared" si="107"/>
        <v>625.60927592567089</v>
      </c>
      <c r="R118" s="59">
        <f t="shared" si="55"/>
        <v>918.94260925900426</v>
      </c>
      <c r="S118" s="59">
        <f ca="1">AVERAGE(OFFSET($R$3,0,0,'Données projet'!$E$9+1,1))-AVERAGE(OFFSET($H$3,0,0,'Données projet'!$E$9+1,1))</f>
        <v>369.23716180779473</v>
      </c>
      <c r="T118" s="59">
        <f t="shared" si="88"/>
        <v>256.03115836031884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42.606595268111306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42.606595268111306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-6.3550942286383367E-14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318.85992789434766</v>
      </c>
      <c r="AO118" s="59">
        <f t="shared" si="90"/>
        <v>285.79375360040717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124.36556393190466</v>
      </c>
      <c r="AV118" s="21">
        <f>EXP(-LN(2)/25)*AV117+(1-EXP(-LN(2)/25))/(LN(2)/25)*Calculateur!AQ118*Calculateur!AS118*VLOOKUP('Données projet'!$B$10,Paramètres!$A$1:$I$89,3,0)*0.475*44/12</f>
        <v>13.038296253172907</v>
      </c>
      <c r="AW118" s="21">
        <f>EXP(-LN(2)/2)*AW117+(1-EXP(-LN(2)/2))/(LN(2)/2)*AQ118*AT118*VLOOKUP('Données projet'!$B$10,Paramètres!$A$1:$I$89,3,0)*0.475*44/12</f>
        <v>2.5976978405039138E-6</v>
      </c>
      <c r="AX118" s="21">
        <f t="shared" si="60"/>
        <v>137.40386278277541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6.7941666666666691</v>
      </c>
      <c r="N119" s="13">
        <f>IF('Données projet'!$A$36&gt;35,N118+M119-V118,IF(A119&lt;'Données projet'!$A$36,$K$205^A119,IF(A119='Données projet'!$A$36,'Données projet'!$B$36,N118+M119-V118)))</f>
        <v>292.8925000000001</v>
      </c>
      <c r="O119" s="13">
        <f>N119*VLOOKUP('Données projet'!$B$9,Paramètres!$A$1:$I$89,3,0)*VLOOKUP('Données projet'!$B$9,Paramètres!$A$1:$I$89,5,0)</f>
        <v>296.99299500000012</v>
      </c>
      <c r="P119" s="13">
        <f t="shared" si="87"/>
        <v>70.545710608339192</v>
      </c>
      <c r="Q119" s="20">
        <f t="shared" si="107"/>
        <v>640.12991226785755</v>
      </c>
      <c r="R119" s="59">
        <f t="shared" si="55"/>
        <v>933.46324560119092</v>
      </c>
      <c r="S119" s="59">
        <f ca="1">AVERAGE(OFFSET($R$3,0,0,'Données projet'!$E$9+1,1))-AVERAGE(OFFSET($H$3,0,0,'Données projet'!$E$9+1,1))</f>
        <v>369.23716180779473</v>
      </c>
      <c r="T119" s="59">
        <f t="shared" si="88"/>
        <v>256.03115836031884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41.771105922360711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41.771105922360711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-6.3550942286383367E-14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318.85992789434766</v>
      </c>
      <c r="AO119" s="59">
        <f t="shared" si="90"/>
        <v>285.79375360040717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121.9268310787039</v>
      </c>
      <c r="AV119" s="21">
        <f>EXP(-LN(2)/25)*AV118+(1-EXP(-LN(2)/25))/(LN(2)/25)*Calculateur!AQ119*Calculateur!AS119*VLOOKUP('Données projet'!$B$10,Paramètres!$A$1:$I$89,3,0)*0.475*44/12</f>
        <v>12.681763356475694</v>
      </c>
      <c r="AW119" s="21">
        <f>EXP(-LN(2)/2)*AW118+(1-EXP(-LN(2)/2))/(LN(2)/2)*AQ119*AT119*VLOOKUP('Données projet'!$B$10,Paramètres!$A$1:$I$89,3,0)*0.475*44/12</f>
        <v>1.836849758493968E-6</v>
      </c>
      <c r="AX119" s="21">
        <f t="shared" si="60"/>
        <v>134.60859627202933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6.7941666666666691</v>
      </c>
      <c r="N120" s="13">
        <f>IF('Données projet'!$A$36&gt;35,N119+M120-V119,IF(A120&lt;'Données projet'!$A$36,$K$205^A120,IF(A120='Données projet'!$A$36,'Données projet'!$B$36,N119+M120-V119)))</f>
        <v>299.68666666666678</v>
      </c>
      <c r="O120" s="13">
        <f>N120*VLOOKUP('Données projet'!$B$9,Paramètres!$A$1:$I$89,3,0)*VLOOKUP('Données projet'!$B$9,Paramètres!$A$1:$I$89,5,0)</f>
        <v>303.88228000000015</v>
      </c>
      <c r="P120" s="13">
        <f t="shared" si="87"/>
        <v>71.98972843562828</v>
      </c>
      <c r="Q120" s="20">
        <f t="shared" si="107"/>
        <v>654.64374802538623</v>
      </c>
      <c r="R120" s="59">
        <f t="shared" si="55"/>
        <v>947.97708135871949</v>
      </c>
      <c r="S120" s="59">
        <f ca="1">AVERAGE(OFFSET($R$3,0,0,'Données projet'!$E$9+1,1))-AVERAGE(OFFSET($H$3,0,0,'Données projet'!$E$9+1,1))</f>
        <v>369.23716180779473</v>
      </c>
      <c r="T120" s="59">
        <f t="shared" si="88"/>
        <v>256.03115836031884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40.952000013082099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40.952000013082099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-6.3550942286383367E-14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318.85992789434766</v>
      </c>
      <c r="AO120" s="59">
        <f t="shared" si="90"/>
        <v>285.79375360040717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119.53592028927424</v>
      </c>
      <c r="AV120" s="21">
        <f>EXP(-LN(2)/25)*AV119+(1-EXP(-LN(2)/25))/(LN(2)/25)*Calculateur!AQ120*Calculateur!AS120*VLOOKUP('Données projet'!$B$10,Paramètres!$A$1:$I$89,3,0)*0.475*44/12</f>
        <v>12.334979870587915</v>
      </c>
      <c r="AW120" s="21">
        <f>EXP(-LN(2)/2)*AW119+(1-EXP(-LN(2)/2))/(LN(2)/2)*AQ120*AT120*VLOOKUP('Données projet'!$B$10,Paramètres!$A$1:$I$89,3,0)*0.475*44/12</f>
        <v>1.2988489202519569E-6</v>
      </c>
      <c r="AX120" s="21">
        <f t="shared" si="60"/>
        <v>131.8709014587111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6.7941666666666691</v>
      </c>
      <c r="N121" s="13">
        <f>IF('Données projet'!$A$36&gt;35,N120+M121-V120,IF(A121&lt;'Données projet'!$A$36,$K$205^A121,IF(A121='Données projet'!$A$36,'Données projet'!$B$36,N120+M121-V120)))</f>
        <v>306.48083333333346</v>
      </c>
      <c r="O121" s="13">
        <f>N121*VLOOKUP('Données projet'!$B$9,Paramètres!$A$1:$I$89,3,0)*VLOOKUP('Données projet'!$B$9,Paramètres!$A$1:$I$89,5,0)</f>
        <v>310.77156500000018</v>
      </c>
      <c r="P121" s="13">
        <f t="shared" si="87"/>
        <v>73.429940333496191</v>
      </c>
      <c r="Q121" s="20">
        <f t="shared" si="107"/>
        <v>669.15095512250616</v>
      </c>
      <c r="R121" s="59">
        <f t="shared" si="55"/>
        <v>962.48428845583953</v>
      </c>
      <c r="S121" s="59">
        <f ca="1">AVERAGE(OFFSET($R$3,0,0,'Données projet'!$E$9+1,1))-AVERAGE(OFFSET($H$3,0,0,'Données projet'!$E$9+1,1))</f>
        <v>369.23716180779473</v>
      </c>
      <c r="T121" s="59">
        <f t="shared" si="88"/>
        <v>256.03115836031884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40.148956271079172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40.148956271079172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-6.3550942286383367E-14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318.85992789434766</v>
      </c>
      <c r="AO121" s="59">
        <f t="shared" si="90"/>
        <v>285.79375360040717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117.19189380211371</v>
      </c>
      <c r="AV121" s="21">
        <f>EXP(-LN(2)/25)*AV120+(1-EXP(-LN(2)/25))/(LN(2)/25)*Calculateur!AQ121*Calculateur!AS121*VLOOKUP('Données projet'!$B$10,Paramètres!$A$1:$I$89,3,0)*0.475*44/12</f>
        <v>11.997679197358289</v>
      </c>
      <c r="AW121" s="21">
        <f>EXP(-LN(2)/2)*AW120+(1-EXP(-LN(2)/2))/(LN(2)/2)*AQ121*AT121*VLOOKUP('Données projet'!$B$10,Paramètres!$A$1:$I$89,3,0)*0.475*44/12</f>
        <v>9.1842487924698401E-7</v>
      </c>
      <c r="AX121" s="21">
        <f t="shared" si="60"/>
        <v>129.18957391789689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6.7941666666666691</v>
      </c>
      <c r="N122" s="13">
        <f>IF('Données projet'!$A$36&gt;35,N121+M122-V121,IF(A122&lt;'Données projet'!$A$36,$K$205^A122,IF(A122='Données projet'!$A$36,'Données projet'!$B$36,N121+M122-V121)))</f>
        <v>313.27500000000015</v>
      </c>
      <c r="O122" s="13">
        <f>N122*VLOOKUP('Données projet'!$B$9,Paramètres!$A$1:$I$89,3,0)*VLOOKUP('Données projet'!$B$9,Paramètres!$A$1:$I$89,5,0)</f>
        <v>317.66085000000021</v>
      </c>
      <c r="P122" s="13">
        <f t="shared" si="87"/>
        <v>74.866440387963451</v>
      </c>
      <c r="Q122" s="20">
        <f t="shared" si="107"/>
        <v>683.65169742570333</v>
      </c>
      <c r="R122" s="59">
        <f t="shared" si="55"/>
        <v>976.98503075903659</v>
      </c>
      <c r="S122" s="59">
        <f ca="1">AVERAGE(OFFSET($R$3,0,0,'Données projet'!$E$9+1,1))-AVERAGE(OFFSET($H$3,0,0,'Données projet'!$E$9+1,1))</f>
        <v>369.23716180779473</v>
      </c>
      <c r="T122" s="59">
        <f t="shared" si="88"/>
        <v>256.03115836031884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39.361659727048604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39.361659727048604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-6.3550942286383367E-14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318.85992789434766</v>
      </c>
      <c r="AO122" s="59">
        <f t="shared" si="90"/>
        <v>285.79375360040717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114.89383224465142</v>
      </c>
      <c r="AV122" s="21">
        <f>EXP(-LN(2)/25)*AV121+(1-EXP(-LN(2)/25))/(LN(2)/25)*Calculateur!AQ122*Calculateur!AS122*VLOOKUP('Données projet'!$B$10,Paramètres!$A$1:$I$89,3,0)*0.475*44/12</f>
        <v>11.669602028776</v>
      </c>
      <c r="AW122" s="21">
        <f>EXP(-LN(2)/2)*AW121+(1-EXP(-LN(2)/2))/(LN(2)/2)*AQ122*AT122*VLOOKUP('Données projet'!$B$10,Paramètres!$A$1:$I$89,3,0)*0.475*44/12</f>
        <v>6.4942446012597845E-7</v>
      </c>
      <c r="AX122" s="21">
        <f t="shared" si="60"/>
        <v>126.56343492285188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6.7941666666666691</v>
      </c>
      <c r="N123" s="13">
        <f>IF('Données projet'!$A$36&gt;35,N122+M123-V122,IF(A123&lt;'Données projet'!$A$36,$K$205^A123,IF(A123='Données projet'!$A$36,'Données projet'!$B$36,N122+M123-V122)))</f>
        <v>320.06916666666683</v>
      </c>
      <c r="O123" s="13">
        <f>N123*VLOOKUP('Données projet'!$B$9,Paramètres!$A$1:$I$89,3,0)*VLOOKUP('Données projet'!$B$9,Paramètres!$A$1:$I$89,5,0)</f>
        <v>324.55013500000018</v>
      </c>
      <c r="P123" s="13">
        <f t="shared" si="87"/>
        <v>76.299318370976991</v>
      </c>
      <c r="Q123" s="20">
        <f t="shared" si="107"/>
        <v>698.14613128778512</v>
      </c>
      <c r="R123" s="59">
        <f t="shared" si="55"/>
        <v>991.4794646211185</v>
      </c>
      <c r="S123" s="59">
        <f ca="1">AVERAGE(OFFSET($R$3,0,0,'Données projet'!$E$9+1,1))-AVERAGE(OFFSET($H$3,0,0,'Données projet'!$E$9+1,1))</f>
        <v>369.23716180779473</v>
      </c>
      <c r="T123" s="59">
        <f t="shared" si="88"/>
        <v>256.03115836031884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38.589801588042995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38.589801588042995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-6.3550942286383367E-14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318.85992789434766</v>
      </c>
      <c r="AO123" s="59">
        <f t="shared" si="90"/>
        <v>285.79375360040717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112.64083427265182</v>
      </c>
      <c r="AV123" s="21">
        <f>EXP(-LN(2)/25)*AV122+(1-EXP(-LN(2)/25))/(LN(2)/25)*Calculateur!AQ123*Calculateur!AS123*VLOOKUP('Données projet'!$B$10,Paramètres!$A$1:$I$89,3,0)*0.475*44/12</f>
        <v>11.350496147621421</v>
      </c>
      <c r="AW123" s="21">
        <f>EXP(-LN(2)/2)*AW122+(1-EXP(-LN(2)/2))/(LN(2)/2)*AQ123*AT123*VLOOKUP('Données projet'!$B$10,Paramètres!$A$1:$I$89,3,0)*0.475*44/12</f>
        <v>4.5921243962349201E-7</v>
      </c>
      <c r="AX123" s="21">
        <f t="shared" si="60"/>
        <v>123.99133087948569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6.7941666666666691</v>
      </c>
      <c r="N124" s="13">
        <f>IF('Données projet'!$A$36&gt;35,N123+M124-V123,IF(A124&lt;'Données projet'!$A$36,$K$205^A124,IF(A124='Données projet'!$A$36,'Données projet'!$B$36,N123+M124-V123)))</f>
        <v>326.86333333333351</v>
      </c>
      <c r="O124" s="13">
        <f>N124*VLOOKUP('Données projet'!$B$9,Paramètres!$A$1:$I$89,3,0)*VLOOKUP('Données projet'!$B$9,Paramètres!$A$1:$I$89,5,0)</f>
        <v>331.43942000000021</v>
      </c>
      <c r="P124" s="13">
        <f t="shared" si="87"/>
        <v>77.728660025530061</v>
      </c>
      <c r="Q124" s="20">
        <f t="shared" si="107"/>
        <v>712.63440604446532</v>
      </c>
      <c r="R124" s="59">
        <f t="shared" si="55"/>
        <v>1005.9677393777986</v>
      </c>
      <c r="S124" s="59">
        <f ca="1">AVERAGE(OFFSET($R$3,0,0,'Données projet'!$E$9+1,1))-AVERAGE(OFFSET($H$3,0,0,'Données projet'!$E$9+1,1))</f>
        <v>369.23716180779473</v>
      </c>
      <c r="T124" s="59">
        <f t="shared" si="88"/>
        <v>256.03115836031884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37.833079116356309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37.833079116356309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-6.3550942286383367E-14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318.85992789434766</v>
      </c>
      <c r="AO124" s="59">
        <f t="shared" si="90"/>
        <v>285.79375360040717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110.43201621669004</v>
      </c>
      <c r="AV124" s="21">
        <f>EXP(-LN(2)/25)*AV123+(1-EXP(-LN(2)/25))/(LN(2)/25)*Calculateur!AQ124*Calculateur!AS124*VLOOKUP('Données projet'!$B$10,Paramètres!$A$1:$I$89,3,0)*0.475*44/12</f>
        <v>11.040116233568062</v>
      </c>
      <c r="AW124" s="21">
        <f>EXP(-LN(2)/2)*AW123+(1-EXP(-LN(2)/2))/(LN(2)/2)*AQ124*AT124*VLOOKUP('Données projet'!$B$10,Paramètres!$A$1:$I$89,3,0)*0.475*44/12</f>
        <v>3.2471223006298922E-7</v>
      </c>
      <c r="AX124" s="21">
        <f t="shared" si="60"/>
        <v>121.47213277497033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6.7941666666666691</v>
      </c>
      <c r="N125" s="13">
        <f>IF('Données projet'!$A$36&gt;35,N124+M125-V124,IF(A125&lt;'Données projet'!$A$36,$K$205^A125,IF(A125='Données projet'!$A$36,'Données projet'!$B$36,N124+M125-V124)))</f>
        <v>333.6575000000002</v>
      </c>
      <c r="O125" s="13">
        <f>N125*VLOOKUP('Données projet'!$B$9,Paramètres!$A$1:$I$89,3,0)*VLOOKUP('Données projet'!$B$9,Paramètres!$A$1:$I$89,5,0)</f>
        <v>338.32870500000024</v>
      </c>
      <c r="P125" s="13">
        <f t="shared" si="87"/>
        <v>79.154547326406771</v>
      </c>
      <c r="Q125" s="20">
        <f t="shared" si="107"/>
        <v>727.11666446849222</v>
      </c>
      <c r="R125" s="59">
        <f t="shared" si="55"/>
        <v>1020.4499978018255</v>
      </c>
      <c r="S125" s="59">
        <f ca="1">AVERAGE(OFFSET($R$3,0,0,'Données projet'!$E$9+1,1))-AVERAGE(OFFSET($H$3,0,0,'Données projet'!$E$9+1,1))</f>
        <v>369.23716180779473</v>
      </c>
      <c r="T125" s="59">
        <f t="shared" si="88"/>
        <v>256.03115836031884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37.091195510784267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37.091195510784267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-6.3550942286383367E-14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318.85992789434766</v>
      </c>
      <c r="AO125" s="59">
        <f t="shared" si="90"/>
        <v>285.79375360040717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108.2665117355597</v>
      </c>
      <c r="AV125" s="21">
        <f>EXP(-LN(2)/25)*AV124+(1-EXP(-LN(2)/25))/(LN(2)/25)*Calculateur!AQ125*Calculateur!AS125*VLOOKUP('Données projet'!$B$10,Paramètres!$A$1:$I$89,3,0)*0.475*44/12</f>
        <v>10.738223674586663</v>
      </c>
      <c r="AW125" s="21">
        <f>EXP(-LN(2)/2)*AW124+(1-EXP(-LN(2)/2))/(LN(2)/2)*AQ125*AT125*VLOOKUP('Données projet'!$B$10,Paramètres!$A$1:$I$89,3,0)*0.475*44/12</f>
        <v>2.29606219811746E-7</v>
      </c>
      <c r="AX125" s="21">
        <f t="shared" si="60"/>
        <v>119.00473563975258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6.7941666666666691</v>
      </c>
      <c r="N126" s="13">
        <f>IF('Données projet'!$A$36&gt;35,N125+M126-V125,IF(A126&lt;'Données projet'!$A$36,$K$205^A126,IF(A126='Données projet'!$A$36,'Données projet'!$B$36,N125+M126-V125)))</f>
        <v>340.45166666666688</v>
      </c>
      <c r="O126" s="13">
        <f>N126*VLOOKUP('Données projet'!$B$9,Paramètres!$A$1:$I$89,3,0)*VLOOKUP('Données projet'!$B$9,Paramètres!$A$1:$I$89,5,0)</f>
        <v>345.21799000000027</v>
      </c>
      <c r="P126" s="13">
        <f t="shared" si="87"/>
        <v>80.577058719089209</v>
      </c>
      <c r="Q126" s="20">
        <f t="shared" si="107"/>
        <v>741.59304318574743</v>
      </c>
      <c r="R126" s="59">
        <f t="shared" si="55"/>
        <v>1034.9263765190808</v>
      </c>
      <c r="S126" s="59">
        <f ca="1">AVERAGE(OFFSET($R$3,0,0,'Données projet'!$E$9+1,1))-AVERAGE(OFFSET($H$3,0,0,'Données projet'!$E$9+1,1))</f>
        <v>369.23716180779473</v>
      </c>
      <c r="T126" s="59">
        <f t="shared" si="88"/>
        <v>256.03115836031884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36.363859790213176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36.363859790213176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-6.3550942286383367E-14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318.85992789434766</v>
      </c>
      <c r="AO126" s="59">
        <f t="shared" si="90"/>
        <v>285.79375360040717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106.14347147647702</v>
      </c>
      <c r="AV126" s="21">
        <f>EXP(-LN(2)/25)*AV125+(1-EXP(-LN(2)/25))/(LN(2)/25)*Calculateur!AQ126*Calculateur!AS126*VLOOKUP('Données projet'!$B$10,Paramètres!$A$1:$I$89,3,0)*0.475*44/12</f>
        <v>10.444586383506451</v>
      </c>
      <c r="AW126" s="21">
        <f>EXP(-LN(2)/2)*AW125+(1-EXP(-LN(2)/2))/(LN(2)/2)*AQ126*AT126*VLOOKUP('Données projet'!$B$10,Paramètres!$A$1:$I$89,3,0)*0.475*44/12</f>
        <v>1.6235611503149461E-7</v>
      </c>
      <c r="AX126" s="21">
        <f t="shared" si="60"/>
        <v>116.58805802233958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6.7941666666666691</v>
      </c>
      <c r="N127" s="13">
        <f>IF('Données projet'!$A$36&gt;35,N126+M127-V126,IF(A127&lt;'Données projet'!$A$36,$K$205^A127,IF(A127='Données projet'!$A$36,'Données projet'!$B$36,N126+M127-V126)))</f>
        <v>347.24583333333356</v>
      </c>
      <c r="O127" s="13">
        <f>N127*VLOOKUP('Données projet'!$B$9,Paramètres!$A$1:$I$89,3,0)*VLOOKUP('Données projet'!$B$9,Paramètres!$A$1:$I$89,5,0)</f>
        <v>352.10727500000024</v>
      </c>
      <c r="P127" s="13">
        <f t="shared" si="87"/>
        <v>81.996269339055075</v>
      </c>
      <c r="Q127" s="20">
        <f t="shared" si="107"/>
        <v>756.06367305718788</v>
      </c>
      <c r="R127" s="59">
        <f t="shared" si="55"/>
        <v>1049.3970063905213</v>
      </c>
      <c r="S127" s="59">
        <f ca="1">AVERAGE(OFFSET($R$3,0,0,'Données projet'!$E$9+1,1))-AVERAGE(OFFSET($H$3,0,0,'Données projet'!$E$9+1,1))</f>
        <v>369.23716180779473</v>
      </c>
      <c r="T127" s="59">
        <f t="shared" si="88"/>
        <v>256.03115836031884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35.650786679491496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35.650786679491496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-6.3550942286383367E-14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318.85992789434766</v>
      </c>
      <c r="AO127" s="59">
        <f t="shared" si="90"/>
        <v>285.79375360040717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104.06206274194825</v>
      </c>
      <c r="AV127" s="21">
        <f>EXP(-LN(2)/25)*AV126+(1-EXP(-LN(2)/25))/(LN(2)/25)*Calculateur!AQ127*Calculateur!AS127*VLOOKUP('Données projet'!$B$10,Paramètres!$A$1:$I$89,3,0)*0.475*44/12</f>
        <v>10.15897861959254</v>
      </c>
      <c r="AW127" s="21">
        <f>EXP(-LN(2)/2)*AW126+(1-EXP(-LN(2)/2))/(LN(2)/2)*AQ127*AT127*VLOOKUP('Données projet'!$B$10,Paramètres!$A$1:$I$89,3,0)*0.475*44/12</f>
        <v>1.14803109905873E-7</v>
      </c>
      <c r="AX127" s="21">
        <f t="shared" si="60"/>
        <v>114.22104147634391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354.04</v>
      </c>
      <c r="L128" s="12">
        <f>VLOOKUP(A128,'Données projet'!$A$35:$I$55,9,0)</f>
        <v>6.7941666666666691</v>
      </c>
      <c r="M128" s="12">
        <f t="array" ref="M128">INDEX(L:L,MIN(IF(ISNUMBER(L128:L324),ROW(L128:L324),"")))</f>
        <v>6.7941666666666691</v>
      </c>
      <c r="N128" s="13">
        <f>IF('Données projet'!$A$36&gt;35,N127+M128-V127,IF(A128&lt;'Données projet'!$A$36,$K$205^A128,IF(A128='Données projet'!$A$36,'Données projet'!$B$36,N127+M128-V127)))</f>
        <v>354.04000000000025</v>
      </c>
      <c r="O128" s="13">
        <f>N128*VLOOKUP('Données projet'!$B$9,Paramètres!$A$1:$I$89,3,0)*VLOOKUP('Données projet'!$B$9,Paramètres!$A$1:$I$89,5,0)</f>
        <v>358.99656000000027</v>
      </c>
      <c r="P128" s="13">
        <f t="shared" si="87"/>
        <v>83.412251213427211</v>
      </c>
      <c r="Q128" s="20">
        <f t="shared" si="107"/>
        <v>770.52867953005295</v>
      </c>
      <c r="R128" s="59">
        <f t="shared" si="55"/>
        <v>1063.8620128633863</v>
      </c>
      <c r="S128" s="59">
        <f ca="1">AVERAGE(OFFSET($R$3,0,0,'Données projet'!$E$9+1,1))-AVERAGE(OFFSET($H$3,0,0,'Données projet'!$E$9+1,1))</f>
        <v>369.23716180779473</v>
      </c>
      <c r="T128" s="59">
        <f t="shared" si="88"/>
        <v>256.03115836031884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61.5</v>
      </c>
      <c r="W128" s="16">
        <f>IF(ISNA(VLOOKUP(A128,'Données projet'!$A$35:$I$55,5,0)),0%,VLOOKUP(A128,'Données projet'!$A$35:$I$55,5,0)*VLOOKUP('Données projet'!$B$9,Paramètres!$A$1:$I$89,7,0))</f>
        <v>0.25800000000000001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52.737761988757427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52.737761988757427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-6.3550942286383367E-14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318.85992789434766</v>
      </c>
      <c r="AO128" s="59">
        <f t="shared" si="90"/>
        <v>285.79375360040717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102.02146916316963</v>
      </c>
      <c r="AV128" s="21">
        <f>EXP(-LN(2)/25)*AV127+(1-EXP(-LN(2)/25))/(LN(2)/25)*Calculateur!AQ128*Calculateur!AS128*VLOOKUP('Données projet'!$B$10,Paramètres!$A$1:$I$89,3,0)*0.475*44/12</f>
        <v>9.881180815002315</v>
      </c>
      <c r="AW128" s="21">
        <f>EXP(-LN(2)/2)*AW127+(1-EXP(-LN(2)/2))/(LN(2)/2)*AQ128*AT128*VLOOKUP('Données projet'!$B$10,Paramètres!$A$1:$I$89,3,0)*0.475*44/12</f>
        <v>8.1178057515747306E-8</v>
      </c>
      <c r="AX128" s="21">
        <f t="shared" si="60"/>
        <v>111.90265005934999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6.7133333333333338</v>
      </c>
      <c r="N129" s="13">
        <f>IF('Données projet'!$A$36&gt;35,N128+M129-V128,IF(A129&lt;'Données projet'!$A$36,$K$205^A129,IF(A129='Données projet'!$A$36,'Données projet'!$B$36,N128+M129-V128)))</f>
        <v>299.25333333333356</v>
      </c>
      <c r="O129" s="13">
        <f>N129*VLOOKUP('Données projet'!$B$9,Paramètres!$A$1:$I$89,3,0)*VLOOKUP('Données projet'!$B$9,Paramètres!$A$1:$I$89,5,0)</f>
        <v>303.44288000000023</v>
      </c>
      <c r="P129" s="13">
        <f t="shared" si="87"/>
        <v>71.897743335619879</v>
      </c>
      <c r="Q129" s="20">
        <f t="shared" si="107"/>
        <v>653.71825230953834</v>
      </c>
      <c r="R129" s="59">
        <f t="shared" si="55"/>
        <v>947.05158564287171</v>
      </c>
      <c r="S129" s="59">
        <f ca="1">AVERAGE(OFFSET($R$3,0,0,'Données projet'!$E$9+1,1))-AVERAGE(OFFSET($H$3,0,0,'Données projet'!$E$9+1,1))</f>
        <v>369.23716180779473</v>
      </c>
      <c r="T129" s="59">
        <f t="shared" si="88"/>
        <v>256.03115836031884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51.703606643016492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51.703606643016492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-6.3550942286383367E-14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318.85992789434766</v>
      </c>
      <c r="AO129" s="59">
        <f t="shared" si="90"/>
        <v>285.79375360040717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100.02089037983166</v>
      </c>
      <c r="AV129" s="21">
        <f>EXP(-LN(2)/25)*AV128+(1-EXP(-LN(2)/25))/(LN(2)/25)*Calculateur!AQ129*Calculateur!AS129*VLOOKUP('Données projet'!$B$10,Paramètres!$A$1:$I$89,3,0)*0.475*44/12</f>
        <v>9.6109794059873614</v>
      </c>
      <c r="AW129" s="21">
        <f>EXP(-LN(2)/2)*AW128+(1-EXP(-LN(2)/2))/(LN(2)/2)*AQ129*AT129*VLOOKUP('Données projet'!$B$10,Paramètres!$A$1:$I$89,3,0)*0.475*44/12</f>
        <v>5.7401554952936501E-8</v>
      </c>
      <c r="AX129" s="21">
        <f t="shared" si="60"/>
        <v>109.63186984322057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6.7133333333333338</v>
      </c>
      <c r="N130" s="13">
        <f>IF('Données projet'!$A$36&gt;35,N129+M130-V129,IF(A130&lt;'Données projet'!$A$36,$K$205^A130,IF(A130='Données projet'!$A$36,'Données projet'!$B$36,N129+M130-V129)))</f>
        <v>305.96666666666687</v>
      </c>
      <c r="O130" s="13">
        <f>N130*VLOOKUP('Données projet'!$B$9,Paramètres!$A$1:$I$89,3,0)*VLOOKUP('Données projet'!$B$9,Paramètres!$A$1:$I$89,5,0)</f>
        <v>310.25020000000023</v>
      </c>
      <c r="P130" s="13">
        <f t="shared" si="87"/>
        <v>73.321079436330294</v>
      </c>
      <c r="Q130" s="20">
        <f t="shared" si="107"/>
        <v>668.0533116849424</v>
      </c>
      <c r="R130" s="59">
        <f t="shared" si="55"/>
        <v>961.38664501827566</v>
      </c>
      <c r="S130" s="59">
        <f ca="1">AVERAGE(OFFSET($R$3,0,0,'Données projet'!$E$9+1,1))-AVERAGE(OFFSET($H$3,0,0,'Données projet'!$E$9+1,1))</f>
        <v>369.23716180779473</v>
      </c>
      <c r="T130" s="59">
        <f t="shared" si="88"/>
        <v>256.03115836031884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50.689730452833061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50.689730452833061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-6.3550942286383367E-14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318.85992789434766</v>
      </c>
      <c r="AO130" s="59">
        <f t="shared" si="90"/>
        <v>285.79375360040717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98.059541726202369</v>
      </c>
      <c r="AV130" s="21">
        <f>EXP(-LN(2)/25)*AV129+(1-EXP(-LN(2)/25))/(LN(2)/25)*Calculateur!AQ130*Calculateur!AS130*VLOOKUP('Données projet'!$B$10,Paramètres!$A$1:$I$89,3,0)*0.475*44/12</f>
        <v>9.3481666687111957</v>
      </c>
      <c r="AW130" s="21">
        <f>EXP(-LN(2)/2)*AW129+(1-EXP(-LN(2)/2))/(LN(2)/2)*AQ130*AT130*VLOOKUP('Données projet'!$B$10,Paramètres!$A$1:$I$89,3,0)*0.475*44/12</f>
        <v>4.0589028757873653E-8</v>
      </c>
      <c r="AX130" s="21">
        <f t="shared" si="60"/>
        <v>107.4077084355026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6.7133333333333338</v>
      </c>
      <c r="N131" s="13">
        <f>IF('Données projet'!$A$36&gt;35,N130+M131-V130,IF(A131&lt;'Données projet'!$A$36,$K$205^A131,IF(A131='Données projet'!$A$36,'Données projet'!$B$36,N130+M131-V130)))</f>
        <v>312.68000000000018</v>
      </c>
      <c r="O131" s="13">
        <f>N131*VLOOKUP('Données projet'!$B$9,Paramètres!$A$1:$I$89,3,0)*VLOOKUP('Données projet'!$B$9,Paramètres!$A$1:$I$89,5,0)</f>
        <v>317.05752000000024</v>
      </c>
      <c r="P131" s="13">
        <f t="shared" si="87"/>
        <v>74.740784698775741</v>
      </c>
      <c r="Q131" s="20">
        <f t="shared" ref="Q131:Q153" si="108">(O131+P131)*0.475*44/12</f>
        <v>682.38204735036811</v>
      </c>
      <c r="R131" s="59">
        <f t="shared" ref="R131:R194" si="109">Q131+(I131+J131)*44/12</f>
        <v>975.71538068370137</v>
      </c>
      <c r="S131" s="59">
        <f ca="1">AVERAGE(OFFSET($R$3,0,0,'Données projet'!$E$9+1,1))-AVERAGE(OFFSET($H$3,0,0,'Données projet'!$E$9+1,1))</f>
        <v>369.23716180779473</v>
      </c>
      <c r="T131" s="59">
        <f t="shared" si="88"/>
        <v>256.03115836031884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49.695735756335715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49.695735756335715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-6.3550942286383367E-14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318.85992789434766</v>
      </c>
      <c r="AO131" s="59">
        <f t="shared" si="90"/>
        <v>285.79375360040717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96.136653923366211</v>
      </c>
      <c r="AV131" s="21">
        <f>EXP(-LN(2)/25)*AV130+(1-EXP(-LN(2)/25))/(LN(2)/25)*Calculateur!AQ131*Calculateur!AS131*VLOOKUP('Données projet'!$B$10,Paramètres!$A$1:$I$89,3,0)*0.475*44/12</f>
        <v>9.0925405595565678</v>
      </c>
      <c r="AW131" s="21">
        <f>EXP(-LN(2)/2)*AW130+(1-EXP(-LN(2)/2))/(LN(2)/2)*AQ131*AT131*VLOOKUP('Données projet'!$B$10,Paramètres!$A$1:$I$89,3,0)*0.475*44/12</f>
        <v>2.870077747646825E-8</v>
      </c>
      <c r="AX131" s="21">
        <f t="shared" si="60"/>
        <v>105.22919451162356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6.7133333333333338</v>
      </c>
      <c r="N132" s="13">
        <f>IF('Données projet'!$A$36&gt;35,N131+M132-V131,IF(A132&lt;'Données projet'!$A$36,$K$205^A132,IF(A132='Données projet'!$A$36,'Données projet'!$B$36,N131+M132-V131)))</f>
        <v>319.39333333333349</v>
      </c>
      <c r="O132" s="13">
        <f>N132*VLOOKUP('Données projet'!$B$9,Paramètres!$A$1:$I$89,3,0)*VLOOKUP('Données projet'!$B$9,Paramètres!$A$1:$I$89,5,0)</f>
        <v>323.86484000000019</v>
      </c>
      <c r="P132" s="13">
        <f t="shared" si="87"/>
        <v>76.15694605695667</v>
      </c>
      <c r="Q132" s="20">
        <f t="shared" si="108"/>
        <v>696.70461071586658</v>
      </c>
      <c r="R132" s="59">
        <f t="shared" si="109"/>
        <v>990.03794404919995</v>
      </c>
      <c r="S132" s="59">
        <f ca="1">AVERAGE(OFFSET($R$3,0,0,'Données projet'!$E$9+1,1))-AVERAGE(OFFSET($H$3,0,0,'Données projet'!$E$9+1,1))</f>
        <v>369.23716180779473</v>
      </c>
      <c r="T132" s="59">
        <f t="shared" si="88"/>
        <v>256.03115836031884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48.721232689559777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48.721232689559777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-6.3550942286383367E-14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318.85992789434766</v>
      </c>
      <c r="AO132" s="59">
        <f t="shared" si="90"/>
        <v>285.79375360040717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94.251472777497909</v>
      </c>
      <c r="AV132" s="21">
        <f>EXP(-LN(2)/25)*AV131+(1-EXP(-LN(2)/25))/(LN(2)/25)*Calculateur!AQ132*Calculateur!AS132*VLOOKUP('Données projet'!$B$10,Paramètres!$A$1:$I$89,3,0)*0.475*44/12</f>
        <v>8.8439045597995669</v>
      </c>
      <c r="AW132" s="21">
        <f>EXP(-LN(2)/2)*AW131+(1-EXP(-LN(2)/2))/(LN(2)/2)*AQ132*AT132*VLOOKUP('Données projet'!$B$10,Paramètres!$A$1:$I$89,3,0)*0.475*44/12</f>
        <v>2.0294514378936827E-8</v>
      </c>
      <c r="AX132" s="21">
        <f t="shared" ref="AX132:AX153" si="114">SUM(AU132:AW132)</f>
        <v>103.09537735759199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6.7133333333333338</v>
      </c>
      <c r="N133" s="13">
        <f>IF('Données projet'!$A$36&gt;35,N132+M133-V132,IF(A133&lt;'Données projet'!$A$36,$K$205^A133,IF(A133='Données projet'!$A$36,'Données projet'!$B$36,N132+M133-V132)))</f>
        <v>326.1066666666668</v>
      </c>
      <c r="O133" s="13">
        <f>N133*VLOOKUP('Données projet'!$B$9,Paramètres!$A$1:$I$89,3,0)*VLOOKUP('Données projet'!$B$9,Paramètres!$A$1:$I$89,5,0)</f>
        <v>330.67216000000013</v>
      </c>
      <c r="P133" s="13">
        <f t="shared" ref="P133:P196" si="141">EXP(-1.0587+0.8836*LN(O133)+0.284)</f>
        <v>77.569646581518043</v>
      </c>
      <c r="Q133" s="20">
        <f t="shared" si="108"/>
        <v>711.02114646281086</v>
      </c>
      <c r="R133" s="59">
        <f t="shared" si="109"/>
        <v>1004.3544797961442</v>
      </c>
      <c r="S133" s="59">
        <f ca="1">AVERAGE(OFFSET($R$3,0,0,'Données projet'!$E$9+1,1))-AVERAGE(OFFSET($H$3,0,0,'Données projet'!$E$9+1,1))</f>
        <v>369.23716180779473</v>
      </c>
      <c r="T133" s="59">
        <f t="shared" ref="T133:T196" si="142">$T$3</f>
        <v>256.03115836031884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47.765839033535137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47.765839033535137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-6.3550942286383367E-14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318.85992789434766</v>
      </c>
      <c r="AO133" s="59">
        <f t="shared" ref="AO133:AO196" si="144">$AO$3</f>
        <v>285.79375360040717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92.40325888405313</v>
      </c>
      <c r="AV133" s="21">
        <f>EXP(-LN(2)/25)*AV132+(1-EXP(-LN(2)/25))/(LN(2)/25)*Calculateur!AQ133*Calculateur!AS133*VLOOKUP('Données projet'!$B$10,Paramètres!$A$1:$I$89,3,0)*0.475*44/12</f>
        <v>8.6020675245311207</v>
      </c>
      <c r="AW133" s="21">
        <f>EXP(-LN(2)/2)*AW132+(1-EXP(-LN(2)/2))/(LN(2)/2)*AQ133*AT133*VLOOKUP('Données projet'!$B$10,Paramètres!$A$1:$I$89,3,0)*0.475*44/12</f>
        <v>1.4350388738234125E-8</v>
      </c>
      <c r="AX133" s="21">
        <f t="shared" si="114"/>
        <v>101.00532642293464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6.7133333333333338</v>
      </c>
      <c r="N134" s="13">
        <f>IF('Données projet'!$A$36&gt;35,N133+M134-V133,IF(A134&lt;'Données projet'!$A$36,$K$205^A134,IF(A134='Données projet'!$A$36,'Données projet'!$B$36,N133+M134-V133)))</f>
        <v>332.82000000000011</v>
      </c>
      <c r="O134" s="13">
        <f>N134*VLOOKUP('Données projet'!$B$9,Paramètres!$A$1:$I$89,3,0)*VLOOKUP('Données projet'!$B$9,Paramètres!$A$1:$I$89,5,0)</f>
        <v>337.47948000000014</v>
      </c>
      <c r="P134" s="13">
        <f t="shared" si="141"/>
        <v>78.9789657273773</v>
      </c>
      <c r="Q134" s="20">
        <f t="shared" si="108"/>
        <v>725.33179297518234</v>
      </c>
      <c r="R134" s="59">
        <f t="shared" si="109"/>
        <v>1018.6651263085157</v>
      </c>
      <c r="S134" s="59">
        <f ca="1">AVERAGE(OFFSET($R$3,0,0,'Données projet'!$E$9+1,1))-AVERAGE(OFFSET($H$3,0,0,'Données projet'!$E$9+1,1))</f>
        <v>369.23716180779473</v>
      </c>
      <c r="T134" s="59">
        <f t="shared" si="142"/>
        <v>256.03115836031884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46.829180064372551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46.829180064372551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-6.3550942286383367E-14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318.85992789434766</v>
      </c>
      <c r="AO134" s="59">
        <f t="shared" si="144"/>
        <v>285.79375360040717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90.591287337759638</v>
      </c>
      <c r="AV134" s="21">
        <f>EXP(-LN(2)/25)*AV133+(1-EXP(-LN(2)/25))/(LN(2)/25)*Calculateur!AQ134*Calculateur!AS134*VLOOKUP('Données projet'!$B$10,Paramètres!$A$1:$I$89,3,0)*0.475*44/12</f>
        <v>8.3668435357097461</v>
      </c>
      <c r="AW134" s="21">
        <f>EXP(-LN(2)/2)*AW133+(1-EXP(-LN(2)/2))/(LN(2)/2)*AQ134*AT134*VLOOKUP('Données projet'!$B$10,Paramètres!$A$1:$I$89,3,0)*0.475*44/12</f>
        <v>1.0147257189468413E-8</v>
      </c>
      <c r="AX134" s="21">
        <f t="shared" si="114"/>
        <v>98.958130883616647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6.7133333333333338</v>
      </c>
      <c r="N135" s="13">
        <f>IF('Données projet'!$A$36&gt;35,N134+M135-V134,IF(A135&lt;'Données projet'!$A$36,$K$205^A135,IF(A135='Données projet'!$A$36,'Données projet'!$B$36,N134+M135-V134)))</f>
        <v>339.53333333333342</v>
      </c>
      <c r="O135" s="13">
        <f>N135*VLOOKUP('Données projet'!$B$9,Paramètres!$A$1:$I$89,3,0)*VLOOKUP('Données projet'!$B$9,Paramètres!$A$1:$I$89,5,0)</f>
        <v>344.28680000000008</v>
      </c>
      <c r="P135" s="13">
        <f t="shared" si="141"/>
        <v>80.384979560807835</v>
      </c>
      <c r="Q135" s="20">
        <f t="shared" si="108"/>
        <v>739.6366827350738</v>
      </c>
      <c r="R135" s="59">
        <f t="shared" si="109"/>
        <v>1032.9700160684072</v>
      </c>
      <c r="S135" s="59">
        <f ca="1">AVERAGE(OFFSET($R$3,0,0,'Données projet'!$E$9+1,1))-AVERAGE(OFFSET($H$3,0,0,'Données projet'!$E$9+1,1))</f>
        <v>369.23716180779473</v>
      </c>
      <c r="T135" s="59">
        <f t="shared" si="142"/>
        <v>256.03115836031884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45.910888406289686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45.910888406289686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-6.3550942286383367E-14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318.85992789434766</v>
      </c>
      <c r="AO135" s="59">
        <f t="shared" si="144"/>
        <v>285.79375360040717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88.814847448295453</v>
      </c>
      <c r="AV135" s="21">
        <f>EXP(-LN(2)/25)*AV134+(1-EXP(-LN(2)/25))/(LN(2)/25)*Calculateur!AQ135*Calculateur!AS135*VLOOKUP('Données projet'!$B$10,Paramètres!$A$1:$I$89,3,0)*0.475*44/12</f>
        <v>8.1380517592325834</v>
      </c>
      <c r="AW135" s="21">
        <f>EXP(-LN(2)/2)*AW134+(1-EXP(-LN(2)/2))/(LN(2)/2)*AQ135*AT135*VLOOKUP('Données projet'!$B$10,Paramètres!$A$1:$I$89,3,0)*0.475*44/12</f>
        <v>7.1751943691170626E-9</v>
      </c>
      <c r="AX135" s="21">
        <f t="shared" si="114"/>
        <v>96.952899214703223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6.7133333333333338</v>
      </c>
      <c r="N136" s="13">
        <f>IF('Données projet'!$A$36&gt;35,N135+M136-V135,IF(A136&lt;'Données projet'!$A$36,$K$205^A136,IF(A136='Données projet'!$A$36,'Données projet'!$B$36,N135+M136-V135)))</f>
        <v>346.24666666666673</v>
      </c>
      <c r="O136" s="13">
        <f>N136*VLOOKUP('Données projet'!$B$9,Paramètres!$A$1:$I$89,3,0)*VLOOKUP('Données projet'!$B$9,Paramètres!$A$1:$I$89,5,0)</f>
        <v>351.09412000000009</v>
      </c>
      <c r="P136" s="13">
        <f t="shared" si="141"/>
        <v>81.78776096805548</v>
      </c>
      <c r="Q136" s="20">
        <f t="shared" si="108"/>
        <v>753.9359426860301</v>
      </c>
      <c r="R136" s="59">
        <f t="shared" si="109"/>
        <v>1047.2692760193634</v>
      </c>
      <c r="S136" s="59">
        <f ca="1">AVERAGE(OFFSET($R$3,0,0,'Données projet'!$E$9+1,1))-AVERAGE(OFFSET($H$3,0,0,'Données projet'!$E$9+1,1))</f>
        <v>369.23716180779473</v>
      </c>
      <c r="T136" s="59">
        <f t="shared" si="142"/>
        <v>256.03115836031884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45.010603887519217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45.010603887519217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-6.3550942286383367E-14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318.85992789434766</v>
      </c>
      <c r="AO136" s="59">
        <f t="shared" si="144"/>
        <v>285.79375360040717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87.073242461542307</v>
      </c>
      <c r="AV136" s="21">
        <f>EXP(-LN(2)/25)*AV135+(1-EXP(-LN(2)/25))/(LN(2)/25)*Calculateur!AQ136*Calculateur!AS136*VLOOKUP('Données projet'!$B$10,Paramètres!$A$1:$I$89,3,0)*0.475*44/12</f>
        <v>7.9155163059148261</v>
      </c>
      <c r="AW136" s="21">
        <f>EXP(-LN(2)/2)*AW135+(1-EXP(-LN(2)/2))/(LN(2)/2)*AQ136*AT136*VLOOKUP('Données projet'!$B$10,Paramètres!$A$1:$I$89,3,0)*0.475*44/12</f>
        <v>5.0736285947342066E-9</v>
      </c>
      <c r="AX136" s="21">
        <f t="shared" si="114"/>
        <v>94.988758772530758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6.7133333333333338</v>
      </c>
      <c r="N137" s="13">
        <f>IF('Données projet'!$A$36&gt;35,N136+M137-V136,IF(A137&lt;'Données projet'!$A$36,$K$205^A137,IF(A137='Données projet'!$A$36,'Données projet'!$B$36,N136+M137-V136)))</f>
        <v>352.96000000000004</v>
      </c>
      <c r="O137" s="13">
        <f>N137*VLOOKUP('Données projet'!$B$9,Paramètres!$A$1:$I$89,3,0)*VLOOKUP('Données projet'!$B$9,Paramètres!$A$1:$I$89,5,0)</f>
        <v>357.90144000000009</v>
      </c>
      <c r="P137" s="13">
        <f t="shared" si="141"/>
        <v>83.187379847318226</v>
      </c>
      <c r="Q137" s="20">
        <f t="shared" si="108"/>
        <v>768.22969456741259</v>
      </c>
      <c r="R137" s="59">
        <f t="shared" si="109"/>
        <v>1061.563027900746</v>
      </c>
      <c r="S137" s="59">
        <f ca="1">AVERAGE(OFFSET($R$3,0,0,'Données projet'!$E$9+1,1))-AVERAGE(OFFSET($H$3,0,0,'Données projet'!$E$9+1,1))</f>
        <v>369.23716180779473</v>
      </c>
      <c r="T137" s="59">
        <f t="shared" si="142"/>
        <v>256.03115836031884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44.127973399042503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44.127973399042503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-6.3550942286383367E-14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318.85992789434766</v>
      </c>
      <c r="AO137" s="59">
        <f t="shared" si="144"/>
        <v>285.79375360040717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85.365789286305244</v>
      </c>
      <c r="AV137" s="21">
        <f>EXP(-LN(2)/25)*AV136+(1-EXP(-LN(2)/25))/(LN(2)/25)*Calculateur!AQ137*Calculateur!AS137*VLOOKUP('Données projet'!$B$10,Paramètres!$A$1:$I$89,3,0)*0.475*44/12</f>
        <v>7.6990660962706743</v>
      </c>
      <c r="AW137" s="21">
        <f>EXP(-LN(2)/2)*AW136+(1-EXP(-LN(2)/2))/(LN(2)/2)*AQ137*AT137*VLOOKUP('Données projet'!$B$10,Paramètres!$A$1:$I$89,3,0)*0.475*44/12</f>
        <v>3.5875971845585313E-9</v>
      </c>
      <c r="AX137" s="21">
        <f t="shared" si="114"/>
        <v>93.064855386163515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6.7133333333333338</v>
      </c>
      <c r="N138" s="13">
        <f>IF('Données projet'!$A$36&gt;35,N137+M138-V137,IF(A138&lt;'Données projet'!$A$36,$K$205^A138,IF(A138='Données projet'!$A$36,'Données projet'!$B$36,N137+M138-V137)))</f>
        <v>359.67333333333335</v>
      </c>
      <c r="O138" s="13">
        <f>N138*VLOOKUP('Données projet'!$B$9,Paramètres!$A$1:$I$89,3,0)*VLOOKUP('Données projet'!$B$9,Paramètres!$A$1:$I$89,5,0)</f>
        <v>364.70876000000004</v>
      </c>
      <c r="P138" s="13">
        <f t="shared" si="141"/>
        <v>84.583903285707422</v>
      </c>
      <c r="Q138" s="20">
        <f t="shared" si="108"/>
        <v>782.51805522260713</v>
      </c>
      <c r="R138" s="59">
        <f t="shared" si="109"/>
        <v>1075.8513885559405</v>
      </c>
      <c r="S138" s="59">
        <f ca="1">AVERAGE(OFFSET($R$3,0,0,'Données projet'!$E$9+1,1))-AVERAGE(OFFSET($H$3,0,0,'Données projet'!$E$9+1,1))</f>
        <v>369.23716180779473</v>
      </c>
      <c r="T138" s="59">
        <f t="shared" si="142"/>
        <v>256.03115836031884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43.262650756093379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43.262650756093379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-6.3550942286383367E-14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318.85992789434766</v>
      </c>
      <c r="AO138" s="59">
        <f t="shared" si="144"/>
        <v>285.79375360040717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83.691818226390978</v>
      </c>
      <c r="AV138" s="21">
        <f>EXP(-LN(2)/25)*AV137+(1-EXP(-LN(2)/25))/(LN(2)/25)*Calculateur!AQ138*Calculateur!AS138*VLOOKUP('Données projet'!$B$10,Paramètres!$A$1:$I$89,3,0)*0.475*44/12</f>
        <v>7.4885347289918629</v>
      </c>
      <c r="AW138" s="21">
        <f>EXP(-LN(2)/2)*AW137+(1-EXP(-LN(2)/2))/(LN(2)/2)*AQ138*AT138*VLOOKUP('Données projet'!$B$10,Paramètres!$A$1:$I$89,3,0)*0.475*44/12</f>
        <v>2.5368142973671033E-9</v>
      </c>
      <c r="AX138" s="21">
        <f t="shared" si="114"/>
        <v>91.180352957919652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6.7133333333333338</v>
      </c>
      <c r="N139" s="13">
        <f>IF('Données projet'!$A$36&gt;35,N138+M139-V138,IF(A139&lt;'Données projet'!$A$36,$K$205^A139,IF(A139='Données projet'!$A$36,'Données projet'!$B$36,N138+M139-V138)))</f>
        <v>366.38666666666666</v>
      </c>
      <c r="O139" s="13">
        <f>N139*VLOOKUP('Données projet'!$B$9,Paramètres!$A$1:$I$89,3,0)*VLOOKUP('Données projet'!$B$9,Paramètres!$A$1:$I$89,5,0)</f>
        <v>371.51607999999999</v>
      </c>
      <c r="P139" s="13">
        <f t="shared" si="141"/>
        <v>85.977395722622475</v>
      </c>
      <c r="Q139" s="20">
        <f t="shared" si="108"/>
        <v>796.80113688356744</v>
      </c>
      <c r="R139" s="59">
        <f t="shared" si="109"/>
        <v>1090.1344702169008</v>
      </c>
      <c r="S139" s="59">
        <f ca="1">AVERAGE(OFFSET($R$3,0,0,'Données projet'!$E$9+1,1))-AVERAGE(OFFSET($H$3,0,0,'Données projet'!$E$9+1,1))</f>
        <v>369.23716180779473</v>
      </c>
      <c r="T139" s="59">
        <f t="shared" si="142"/>
        <v>256.03115836031884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42.414296562377785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42.414296562377785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-6.3550942286383367E-14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318.85992789434766</v>
      </c>
      <c r="AO139" s="59">
        <f t="shared" si="144"/>
        <v>285.79375360040717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82.050672717940103</v>
      </c>
      <c r="AV139" s="21">
        <f>EXP(-LN(2)/25)*AV138+(1-EXP(-LN(2)/25))/(LN(2)/25)*Calculateur!AQ139*Calculateur!AS139*VLOOKUP('Données projet'!$B$10,Paramètres!$A$1:$I$89,3,0)*0.475*44/12</f>
        <v>7.2837603530226547</v>
      </c>
      <c r="AW139" s="21">
        <f>EXP(-LN(2)/2)*AW138+(1-EXP(-LN(2)/2))/(LN(2)/2)*AQ139*AT139*VLOOKUP('Données projet'!$B$10,Paramètres!$A$1:$I$89,3,0)*0.475*44/12</f>
        <v>1.7937985922792656E-9</v>
      </c>
      <c r="AX139" s="21">
        <f t="shared" si="114"/>
        <v>89.334433072756553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373.1</v>
      </c>
      <c r="L140" s="12">
        <f>VLOOKUP(A140,'Données projet'!$A$35:$I$55,9,0)</f>
        <v>6.7133333333333338</v>
      </c>
      <c r="M140" s="12">
        <f t="array" ref="M140">INDEX(L:L,MIN(IF(ISNUMBER(L140:L336),ROW(L140:L336),"")))</f>
        <v>6.7133333333333338</v>
      </c>
      <c r="N140" s="13">
        <f>IF('Données projet'!$A$36&gt;35,N139+M140-V139,IF(A140&lt;'Données projet'!$A$36,$K$205^A140,IF(A140='Données projet'!$A$36,'Données projet'!$B$36,N139+M140-V139)))</f>
        <v>373.09999999999997</v>
      </c>
      <c r="O140" s="13">
        <f>N140*VLOOKUP('Données projet'!$B$9,Paramètres!$A$1:$I$89,3,0)*VLOOKUP('Données projet'!$B$9,Paramètres!$A$1:$I$89,5,0)</f>
        <v>378.32339999999999</v>
      </c>
      <c r="P140" s="13">
        <f t="shared" si="141"/>
        <v>87.367919100813992</v>
      </c>
      <c r="Q140" s="20">
        <f t="shared" si="108"/>
        <v>811.07904743391771</v>
      </c>
      <c r="R140" s="59">
        <f t="shared" si="109"/>
        <v>1104.4123807672511</v>
      </c>
      <c r="S140" s="59">
        <f ca="1">AVERAGE(OFFSET($R$3,0,0,'Données projet'!$E$9+1,1))-AVERAGE(OFFSET($H$3,0,0,'Données projet'!$E$9+1,1))</f>
        <v>369.23716180779473</v>
      </c>
      <c r="T140" s="59">
        <f t="shared" si="142"/>
        <v>256.03115836031884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65.53</v>
      </c>
      <c r="W140" s="16">
        <f>IF(ISNA(VLOOKUP(A140,'Données projet'!$A$35:$I$55,5,0)),0%,VLOOKUP(A140,'Données projet'!$A$35:$I$55,5,0)*VLOOKUP('Données projet'!$B$9,Paramètres!$A$1:$I$89,7,0))</f>
        <v>0.30099999999999999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63.692730113477978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63.692730113477978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-6.3550942286383367E-14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318.85992789434766</v>
      </c>
      <c r="AO140" s="59">
        <f t="shared" si="144"/>
        <v>285.79375360040717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80.441709071910026</v>
      </c>
      <c r="AV140" s="21">
        <f>EXP(-LN(2)/25)*AV139+(1-EXP(-LN(2)/25))/(LN(2)/25)*Calculateur!AQ140*Calculateur!AS140*VLOOKUP('Données projet'!$B$10,Paramètres!$A$1:$I$89,3,0)*0.475*44/12</f>
        <v>7.0845855431329401</v>
      </c>
      <c r="AW140" s="21">
        <f>EXP(-LN(2)/2)*AW139+(1-EXP(-LN(2)/2))/(LN(2)/2)*AQ140*AT140*VLOOKUP('Données projet'!$B$10,Paramètres!$A$1:$I$89,3,0)*0.475*44/12</f>
        <v>1.2684071486835517E-9</v>
      </c>
      <c r="AX140" s="21">
        <f t="shared" si="114"/>
        <v>87.526294616311375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6.5224999999999937</v>
      </c>
      <c r="N141" s="13">
        <f>IF('Données projet'!$A$36&gt;35,N140+M141-V140,IF(A141&lt;'Données projet'!$A$36,$K$205^A141,IF(A141='Données projet'!$A$36,'Données projet'!$B$36,N140+M141-V140)))</f>
        <v>314.09249999999997</v>
      </c>
      <c r="O141" s="13">
        <f>N141*VLOOKUP('Données projet'!$B$9,Paramètres!$A$1:$I$89,3,0)*VLOOKUP('Données projet'!$B$9,Paramètres!$A$1:$I$89,5,0)</f>
        <v>318.48979500000002</v>
      </c>
      <c r="P141" s="13">
        <f t="shared" si="141"/>
        <v>75.039039682041533</v>
      </c>
      <c r="Q141" s="20">
        <f t="shared" si="108"/>
        <v>685.39605373788902</v>
      </c>
      <c r="R141" s="59">
        <f t="shared" si="109"/>
        <v>978.72938707122239</v>
      </c>
      <c r="S141" s="59">
        <f ca="1">AVERAGE(OFFSET($R$3,0,0,'Données projet'!$E$9+1,1))-AVERAGE(OFFSET($H$3,0,0,'Données projet'!$E$9+1,1))</f>
        <v>369.23716180779473</v>
      </c>
      <c r="T141" s="59">
        <f t="shared" si="142"/>
        <v>256.03115836031884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62.443754524682049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62.443754524682049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-6.3550942286383367E-14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318.85992789434766</v>
      </c>
      <c r="AO141" s="59">
        <f t="shared" si="144"/>
        <v>285.79375360040717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78.864296221607674</v>
      </c>
      <c r="AV141" s="21">
        <f>EXP(-LN(2)/25)*AV140+(1-EXP(-LN(2)/25))/(LN(2)/25)*Calculateur!AQ141*Calculateur!AS141*VLOOKUP('Données projet'!$B$10,Paramètres!$A$1:$I$89,3,0)*0.475*44/12</f>
        <v>6.8908571788938078</v>
      </c>
      <c r="AW141" s="21">
        <f>EXP(-LN(2)/2)*AW140+(1-EXP(-LN(2)/2))/(LN(2)/2)*AQ141*AT141*VLOOKUP('Données projet'!$B$10,Paramètres!$A$1:$I$89,3,0)*0.475*44/12</f>
        <v>8.9689929613963282E-10</v>
      </c>
      <c r="AX141" s="21">
        <f t="shared" si="114"/>
        <v>85.755153401398388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6.5224999999999937</v>
      </c>
      <c r="N142" s="13">
        <f>IF('Données projet'!$A$36&gt;35,N141+M142-V141,IF(A142&lt;'Données projet'!$A$36,$K$205^A142,IF(A142='Données projet'!$A$36,'Données projet'!$B$36,N141+M142-V141)))</f>
        <v>320.61499999999995</v>
      </c>
      <c r="O142" s="13">
        <f>N142*VLOOKUP('Données projet'!$B$9,Paramètres!$A$1:$I$89,3,0)*VLOOKUP('Données projet'!$B$9,Paramètres!$A$1:$I$89,5,0)</f>
        <v>325.10361</v>
      </c>
      <c r="P142" s="13">
        <f t="shared" si="141"/>
        <v>76.41427909776796</v>
      </c>
      <c r="Q142" s="20">
        <f t="shared" si="108"/>
        <v>699.31032351194574</v>
      </c>
      <c r="R142" s="59">
        <f t="shared" si="109"/>
        <v>992.64365684527911</v>
      </c>
      <c r="S142" s="59">
        <f ca="1">AVERAGE(OFFSET($R$3,0,0,'Données projet'!$E$9+1,1))-AVERAGE(OFFSET($H$3,0,0,'Données projet'!$E$9+1,1))</f>
        <v>369.23716180779473</v>
      </c>
      <c r="T142" s="59">
        <f t="shared" si="142"/>
        <v>256.03115836031884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61.219270585382525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61.219270585382525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-6.3550942286383367E-14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318.85992789434766</v>
      </c>
      <c r="AO142" s="59">
        <f t="shared" si="144"/>
        <v>285.79375360040717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77.317815475172921</v>
      </c>
      <c r="AV142" s="21">
        <f>EXP(-LN(2)/25)*AV141+(1-EXP(-LN(2)/25))/(LN(2)/25)*Calculateur!AQ142*Calculateur!AS142*VLOOKUP('Données projet'!$B$10,Paramètres!$A$1:$I$89,3,0)*0.475*44/12</f>
        <v>6.7024263269625273</v>
      </c>
      <c r="AW142" s="21">
        <f>EXP(-LN(2)/2)*AW141+(1-EXP(-LN(2)/2))/(LN(2)/2)*AQ142*AT142*VLOOKUP('Données projet'!$B$10,Paramètres!$A$1:$I$89,3,0)*0.475*44/12</f>
        <v>6.3420357434177583E-10</v>
      </c>
      <c r="AX142" s="21">
        <f t="shared" si="114"/>
        <v>84.020241802769647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6.5224999999999937</v>
      </c>
      <c r="N143" s="13">
        <f>IF('Données projet'!$A$36&gt;35,N142+M143-V142,IF(A143&lt;'Données projet'!$A$36,$K$205^A143,IF(A143='Données projet'!$A$36,'Données projet'!$B$36,N142+M143-V142)))</f>
        <v>327.13749999999993</v>
      </c>
      <c r="O143" s="13">
        <f>N143*VLOOKUP('Données projet'!$B$9,Paramètres!$A$1:$I$89,3,0)*VLOOKUP('Données projet'!$B$9,Paramètres!$A$1:$I$89,5,0)</f>
        <v>331.71742499999999</v>
      </c>
      <c r="P143" s="13">
        <f t="shared" si="141"/>
        <v>77.786265550639342</v>
      </c>
      <c r="Q143" s="20">
        <f t="shared" si="108"/>
        <v>713.21892770903014</v>
      </c>
      <c r="R143" s="59">
        <f t="shared" si="109"/>
        <v>1006.5522610423634</v>
      </c>
      <c r="S143" s="59">
        <f ca="1">AVERAGE(OFFSET($R$3,0,0,'Données projet'!$E$9+1,1))-AVERAGE(OFFSET($H$3,0,0,'Données projet'!$E$9+1,1))</f>
        <v>369.23716180779473</v>
      </c>
      <c r="T143" s="59">
        <f t="shared" si="142"/>
        <v>256.03115836031884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60.018798029271203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60.018798029271203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-6.3550942286383367E-14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318.85992789434766</v>
      </c>
      <c r="AO143" s="59">
        <f t="shared" si="144"/>
        <v>285.79375360040717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75.80166027291564</v>
      </c>
      <c r="AV143" s="21">
        <f>EXP(-LN(2)/25)*AV142+(1-EXP(-LN(2)/25))/(LN(2)/25)*Calculateur!AQ143*Calculateur!AS143*VLOOKUP('Données projet'!$B$10,Paramètres!$A$1:$I$89,3,0)*0.475*44/12</f>
        <v>6.5191481265864546</v>
      </c>
      <c r="AW143" s="21">
        <f>EXP(-LN(2)/2)*AW142+(1-EXP(-LN(2)/2))/(LN(2)/2)*AQ143*AT143*VLOOKUP('Données projet'!$B$10,Paramètres!$A$1:$I$89,3,0)*0.475*44/12</f>
        <v>4.4844964806981641E-10</v>
      </c>
      <c r="AX143" s="21">
        <f t="shared" si="114"/>
        <v>82.32080839995055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6.5224999999999937</v>
      </c>
      <c r="N144" s="13">
        <f>IF('Données projet'!$A$36&gt;35,N143+M144-V143,IF(A144&lt;'Données projet'!$A$36,$K$205^A144,IF(A144='Données projet'!$A$36,'Données projet'!$B$36,N143+M144-V143)))</f>
        <v>333.65999999999991</v>
      </c>
      <c r="O144" s="13">
        <f>N144*VLOOKUP('Données projet'!$B$9,Paramètres!$A$1:$I$89,3,0)*VLOOKUP('Données projet'!$B$9,Paramètres!$A$1:$I$89,5,0)</f>
        <v>338.33123999999998</v>
      </c>
      <c r="P144" s="13">
        <f t="shared" si="141"/>
        <v>79.155071373727068</v>
      </c>
      <c r="Q144" s="20">
        <f t="shared" si="108"/>
        <v>727.12199230924125</v>
      </c>
      <c r="R144" s="59">
        <f t="shared" si="109"/>
        <v>1020.4553256425745</v>
      </c>
      <c r="S144" s="59">
        <f ca="1">AVERAGE(OFFSET($R$3,0,0,'Données projet'!$E$9+1,1))-AVERAGE(OFFSET($H$3,0,0,'Données projet'!$E$9+1,1))</f>
        <v>369.23716180779473</v>
      </c>
      <c r="T144" s="59">
        <f t="shared" si="142"/>
        <v>256.03115836031884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58.841866007769269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58.841866007769269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-6.3550942286383367E-14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318.85992789434766</v>
      </c>
      <c r="AO144" s="59">
        <f t="shared" si="144"/>
        <v>285.79375360040717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74.31523594941126</v>
      </c>
      <c r="AV144" s="21">
        <f>EXP(-LN(2)/25)*AV143+(1-EXP(-LN(2)/25))/(LN(2)/25)*Calculateur!AQ144*Calculateur!AS144*VLOOKUP('Données projet'!$B$10,Paramètres!$A$1:$I$89,3,0)*0.475*44/12</f>
        <v>6.3408816782378477</v>
      </c>
      <c r="AW144" s="21">
        <f>EXP(-LN(2)/2)*AW143+(1-EXP(-LN(2)/2))/(LN(2)/2)*AQ144*AT144*VLOOKUP('Données projet'!$B$10,Paramètres!$A$1:$I$89,3,0)*0.475*44/12</f>
        <v>3.1710178717088791E-10</v>
      </c>
      <c r="AX144" s="21">
        <f t="shared" si="114"/>
        <v>80.656117627966211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6.5224999999999937</v>
      </c>
      <c r="N145" s="13">
        <f>IF('Données projet'!$A$36&gt;35,N144+M145-V144,IF(A145&lt;'Données projet'!$A$36,$K$205^A145,IF(A145='Données projet'!$A$36,'Données projet'!$B$36,N144+M145-V144)))</f>
        <v>340.18249999999989</v>
      </c>
      <c r="O145" s="13">
        <f>N145*VLOOKUP('Données projet'!$B$9,Paramètres!$A$1:$I$89,3,0)*VLOOKUP('Données projet'!$B$9,Paramètres!$A$1:$I$89,5,0)</f>
        <v>344.94505499999991</v>
      </c>
      <c r="P145" s="13">
        <f t="shared" si="141"/>
        <v>80.520765910362144</v>
      </c>
      <c r="Q145" s="20">
        <f t="shared" si="108"/>
        <v>741.01963808554717</v>
      </c>
      <c r="R145" s="59">
        <f t="shared" si="109"/>
        <v>1034.3529714188805</v>
      </c>
      <c r="S145" s="59">
        <f ca="1">AVERAGE(OFFSET($R$3,0,0,'Données projet'!$E$9+1,1))-AVERAGE(OFFSET($H$3,0,0,'Données projet'!$E$9+1,1))</f>
        <v>369.23716180779473</v>
      </c>
      <c r="T145" s="59">
        <f t="shared" si="142"/>
        <v>256.03115836031884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57.688012905351336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57.688012905351336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-6.3550942286383367E-14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318.85992789434766</v>
      </c>
      <c r="AO145" s="59">
        <f t="shared" si="144"/>
        <v>285.79375360040717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72.857959500261487</v>
      </c>
      <c r="AV145" s="21">
        <f>EXP(-LN(2)/25)*AV144+(1-EXP(-LN(2)/25))/(LN(2)/25)*Calculateur!AQ145*Calculateur!AS145*VLOOKUP('Données projet'!$B$10,Paramètres!$A$1:$I$89,3,0)*0.475*44/12</f>
        <v>6.1674899352939585</v>
      </c>
      <c r="AW145" s="21">
        <f>EXP(-LN(2)/2)*AW144+(1-EXP(-LN(2)/2))/(LN(2)/2)*AQ145*AT145*VLOOKUP('Données projet'!$B$10,Paramètres!$A$1:$I$89,3,0)*0.475*44/12</f>
        <v>2.2422482403490821E-10</v>
      </c>
      <c r="AX145" s="21">
        <f t="shared" si="114"/>
        <v>79.025449435779663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6.5224999999999937</v>
      </c>
      <c r="N146" s="13">
        <f>IF('Données projet'!$A$36&gt;35,N145+M146-V145,IF(A146&lt;'Données projet'!$A$36,$K$205^A146,IF(A146='Données projet'!$A$36,'Données projet'!$B$36,N145+M146-V145)))</f>
        <v>346.70499999999987</v>
      </c>
      <c r="O146" s="13">
        <f>N146*VLOOKUP('Données projet'!$B$9,Paramètres!$A$1:$I$89,3,0)*VLOOKUP('Données projet'!$B$9,Paramètres!$A$1:$I$89,5,0)</f>
        <v>351.5588699999999</v>
      </c>
      <c r="P146" s="13">
        <f t="shared" si="141"/>
        <v>81.88341569262343</v>
      </c>
      <c r="Q146" s="20">
        <f t="shared" si="108"/>
        <v>754.9119809146523</v>
      </c>
      <c r="R146" s="59">
        <f t="shared" si="109"/>
        <v>1048.2453142479856</v>
      </c>
      <c r="S146" s="59">
        <f ca="1">AVERAGE(OFFSET($R$3,0,0,'Données projet'!$E$9+1,1))-AVERAGE(OFFSET($H$3,0,0,'Données projet'!$E$9+1,1))</f>
        <v>369.23716180779473</v>
      </c>
      <c r="T146" s="59">
        <f t="shared" si="142"/>
        <v>256.03115836031884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56.556786158490915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56.556786158490915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-6.3550942286383367E-14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318.85992789434766</v>
      </c>
      <c r="AO146" s="59">
        <f t="shared" si="144"/>
        <v>285.79375360040717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71.429259353428677</v>
      </c>
      <c r="AV146" s="21">
        <f>EXP(-LN(2)/25)*AV145+(1-EXP(-LN(2)/25))/(LN(2)/25)*Calculateur!AQ146*Calculateur!AS146*VLOOKUP('Données projet'!$B$10,Paramètres!$A$1:$I$89,3,0)*0.475*44/12</f>
        <v>5.9988395986791456</v>
      </c>
      <c r="AW146" s="21">
        <f>EXP(-LN(2)/2)*AW145+(1-EXP(-LN(2)/2))/(LN(2)/2)*AQ146*AT146*VLOOKUP('Données projet'!$B$10,Paramètres!$A$1:$I$89,3,0)*0.475*44/12</f>
        <v>1.5855089358544396E-10</v>
      </c>
      <c r="AX146" s="21">
        <f t="shared" si="114"/>
        <v>77.428098952266367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6.5224999999999937</v>
      </c>
      <c r="N147" s="13">
        <f>IF('Données projet'!$A$36&gt;35,N146+M147-V146,IF(A147&lt;'Données projet'!$A$36,$K$205^A147,IF(A147='Données projet'!$A$36,'Données projet'!$B$36,N146+M147-V146)))</f>
        <v>353.22749999999985</v>
      </c>
      <c r="O147" s="13">
        <f>N147*VLOOKUP('Données projet'!$B$9,Paramètres!$A$1:$I$89,3,0)*VLOOKUP('Données projet'!$B$9,Paramètres!$A$1:$I$89,5,0)</f>
        <v>358.17268499999989</v>
      </c>
      <c r="P147" s="13">
        <f t="shared" si="141"/>
        <v>83.243084606014889</v>
      </c>
      <c r="Q147" s="20">
        <f t="shared" si="108"/>
        <v>768.79913206380922</v>
      </c>
      <c r="R147" s="59">
        <f t="shared" si="109"/>
        <v>1062.1324653971426</v>
      </c>
      <c r="S147" s="59">
        <f ca="1">AVERAGE(OFFSET($R$3,0,0,'Données projet'!$E$9+1,1))-AVERAGE(OFFSET($H$3,0,0,'Données projet'!$E$9+1,1))</f>
        <v>369.23716180779473</v>
      </c>
      <c r="T147" s="59">
        <f t="shared" si="142"/>
        <v>256.03115836031884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55.447742078156246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55.447742078156246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-6.3550942286383367E-14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318.85992789434766</v>
      </c>
      <c r="AO147" s="59">
        <f t="shared" si="144"/>
        <v>285.79375360040717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70.028575145054205</v>
      </c>
      <c r="AV147" s="21">
        <f>EXP(-LN(2)/25)*AV146+(1-EXP(-LN(2)/25))/(LN(2)/25)*Calculateur!AQ147*Calculateur!AS147*VLOOKUP('Données projet'!$B$10,Paramètres!$A$1:$I$89,3,0)*0.475*44/12</f>
        <v>5.8348010143880007</v>
      </c>
      <c r="AW147" s="21">
        <f>EXP(-LN(2)/2)*AW146+(1-EXP(-LN(2)/2))/(LN(2)/2)*AQ147*AT147*VLOOKUP('Données projet'!$B$10,Paramètres!$A$1:$I$89,3,0)*0.475*44/12</f>
        <v>1.121124120174541E-10</v>
      </c>
      <c r="AX147" s="21">
        <f t="shared" si="114"/>
        <v>75.863376159554321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6.5224999999999937</v>
      </c>
      <c r="N148" s="13">
        <f>IF('Données projet'!$A$36&gt;35,N147+M148-V147,IF(A148&lt;'Données projet'!$A$36,$K$205^A148,IF(A148='Données projet'!$A$36,'Données projet'!$B$36,N147+M148-V147)))</f>
        <v>359.74999999999983</v>
      </c>
      <c r="O148" s="13">
        <f>N148*VLOOKUP('Données projet'!$B$9,Paramètres!$A$1:$I$89,3,0)*VLOOKUP('Données projet'!$B$9,Paramètres!$A$1:$I$89,5,0)</f>
        <v>364.78649999999982</v>
      </c>
      <c r="P148" s="13">
        <f t="shared" si="141"/>
        <v>84.599834041635987</v>
      </c>
      <c r="Q148" s="20">
        <f t="shared" si="108"/>
        <v>782.68119845584897</v>
      </c>
      <c r="R148" s="59">
        <f t="shared" si="109"/>
        <v>1076.0145317891822</v>
      </c>
      <c r="S148" s="59">
        <f ca="1">AVERAGE(OFFSET($R$3,0,0,'Données projet'!$E$9+1,1))-AVERAGE(OFFSET($H$3,0,0,'Données projet'!$E$9+1,1))</f>
        <v>369.23716180779473</v>
      </c>
      <c r="T148" s="59">
        <f t="shared" si="142"/>
        <v>256.03115836031884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54.360445675786842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54.360445675786842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-6.3550942286383367E-14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318.85992789434766</v>
      </c>
      <c r="AO148" s="59">
        <f t="shared" si="144"/>
        <v>285.79375360040717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68.655357499672945</v>
      </c>
      <c r="AV148" s="21">
        <f>EXP(-LN(2)/25)*AV147+(1-EXP(-LN(2)/25))/(LN(2)/25)*Calculateur!AQ148*Calculateur!AS148*VLOOKUP('Données projet'!$B$10,Paramètres!$A$1:$I$89,3,0)*0.475*44/12</f>
        <v>5.6752480738107112</v>
      </c>
      <c r="AW148" s="21">
        <f>EXP(-LN(2)/2)*AW147+(1-EXP(-LN(2)/2))/(LN(2)/2)*AQ148*AT148*VLOOKUP('Données projet'!$B$10,Paramètres!$A$1:$I$89,3,0)*0.475*44/12</f>
        <v>7.9275446792721979E-11</v>
      </c>
      <c r="AX148" s="21">
        <f t="shared" si="114"/>
        <v>74.330605573562934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6.5224999999999937</v>
      </c>
      <c r="N149" s="13">
        <f>IF('Données projet'!$A$36&gt;35,N148+M149-V148,IF(A149&lt;'Données projet'!$A$36,$K$205^A149,IF(A149='Données projet'!$A$36,'Données projet'!$B$36,N148+M149-V148)))</f>
        <v>366.27249999999981</v>
      </c>
      <c r="O149" s="13">
        <f>N149*VLOOKUP('Données projet'!$B$9,Paramètres!$A$1:$I$89,3,0)*VLOOKUP('Données projet'!$B$9,Paramètres!$A$1:$I$89,5,0)</f>
        <v>371.40031499999981</v>
      </c>
      <c r="P149" s="13">
        <f t="shared" si="141"/>
        <v>85.95372303700303</v>
      </c>
      <c r="Q149" s="20">
        <f t="shared" si="108"/>
        <v>796.55828291444652</v>
      </c>
      <c r="R149" s="59">
        <f t="shared" si="109"/>
        <v>1089.8916162477799</v>
      </c>
      <c r="S149" s="59">
        <f ca="1">AVERAGE(OFFSET($R$3,0,0,'Données projet'!$E$9+1,1))-AVERAGE(OFFSET($H$3,0,0,'Données projet'!$E$9+1,1))</f>
        <v>369.23716180779473</v>
      </c>
      <c r="T149" s="59">
        <f t="shared" si="142"/>
        <v>256.03115836031884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53.294470492682585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53.294470492682585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-6.3550942286383367E-14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318.85992789434766</v>
      </c>
      <c r="AO149" s="59">
        <f t="shared" si="144"/>
        <v>285.79375360040717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67.30906781473756</v>
      </c>
      <c r="AV149" s="21">
        <f>EXP(-LN(2)/25)*AV148+(1-EXP(-LN(2)/25))/(LN(2)/25)*Calculateur!AQ149*Calculateur!AS149*VLOOKUP('Données projet'!$B$10,Paramètres!$A$1:$I$89,3,0)*0.475*44/12</f>
        <v>5.5200581167840319</v>
      </c>
      <c r="AW149" s="21">
        <f>EXP(-LN(2)/2)*AW148+(1-EXP(-LN(2)/2))/(LN(2)/2)*AQ149*AT149*VLOOKUP('Données projet'!$B$10,Paramètres!$A$1:$I$89,3,0)*0.475*44/12</f>
        <v>5.6056206008727052E-11</v>
      </c>
      <c r="AX149" s="21">
        <f t="shared" si="114"/>
        <v>72.82912593157765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6.5224999999999937</v>
      </c>
      <c r="N150" s="13">
        <f>IF('Données projet'!$A$36&gt;35,N149+M150-V149,IF(A150&lt;'Données projet'!$A$36,$K$205^A150,IF(A150='Données projet'!$A$36,'Données projet'!$B$36,N149+M150-V149)))</f>
        <v>372.79499999999979</v>
      </c>
      <c r="O150" s="13">
        <f>N150*VLOOKUP('Données projet'!$B$9,Paramètres!$A$1:$I$89,3,0)*VLOOKUP('Données projet'!$B$9,Paramètres!$A$1:$I$89,5,0)</f>
        <v>378.0141299999998</v>
      </c>
      <c r="P150" s="13">
        <f t="shared" si="141"/>
        <v>87.304808406556702</v>
      </c>
      <c r="Q150" s="20">
        <f t="shared" si="108"/>
        <v>810.43048439141921</v>
      </c>
      <c r="R150" s="59">
        <f t="shared" si="109"/>
        <v>1103.7638177247525</v>
      </c>
      <c r="S150" s="59">
        <f ca="1">AVERAGE(OFFSET($R$3,0,0,'Données projet'!$E$9+1,1))-AVERAGE(OFFSET($H$3,0,0,'Données projet'!$E$9+1,1))</f>
        <v>369.23716180779473</v>
      </c>
      <c r="T150" s="59">
        <f t="shared" si="142"/>
        <v>256.03115836031884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52.249398432738339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52.249398432738339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-6.3550942286383367E-14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318.85992789434766</v>
      </c>
      <c r="AO150" s="59">
        <f t="shared" si="144"/>
        <v>285.79375360040717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65.989178049368135</v>
      </c>
      <c r="AV150" s="21">
        <f>EXP(-LN(2)/25)*AV149+(1-EXP(-LN(2)/25))/(LN(2)/25)*Calculateur!AQ150*Calculateur!AS150*VLOOKUP('Données projet'!$B$10,Paramètres!$A$1:$I$89,3,0)*0.475*44/12</f>
        <v>5.3691118372933326</v>
      </c>
      <c r="AW150" s="21">
        <f>EXP(-LN(2)/2)*AW149+(1-EXP(-LN(2)/2))/(LN(2)/2)*AQ150*AT150*VLOOKUP('Données projet'!$B$10,Paramètres!$A$1:$I$89,3,0)*0.475*44/12</f>
        <v>3.9637723396360989E-11</v>
      </c>
      <c r="AX150" s="21">
        <f t="shared" si="114"/>
        <v>71.358289886701101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6.5224999999999937</v>
      </c>
      <c r="N151" s="13">
        <f>IF('Données projet'!$A$36&gt;35,N150+M151-V150,IF(A151&lt;'Données projet'!$A$36,$K$205^A151,IF(A151='Données projet'!$A$36,'Données projet'!$B$36,N150+M151-V150)))</f>
        <v>379.31749999999977</v>
      </c>
      <c r="O151" s="13">
        <f>N151*VLOOKUP('Données projet'!$B$9,Paramètres!$A$1:$I$89,3,0)*VLOOKUP('Données projet'!$B$9,Paramètres!$A$1:$I$89,5,0)</f>
        <v>384.62794499999978</v>
      </c>
      <c r="P151" s="13">
        <f t="shared" si="141"/>
        <v>88.653144862776529</v>
      </c>
      <c r="Q151" s="20">
        <f t="shared" si="108"/>
        <v>824.29789817766869</v>
      </c>
      <c r="R151" s="59">
        <f t="shared" si="109"/>
        <v>1117.6312315110019</v>
      </c>
      <c r="S151" s="59">
        <f ca="1">AVERAGE(OFFSET($R$3,0,0,'Données projet'!$E$9+1,1))-AVERAGE(OFFSET($H$3,0,0,'Données projet'!$E$9+1,1))</f>
        <v>369.23716180779473</v>
      </c>
      <c r="T151" s="59">
        <f t="shared" si="142"/>
        <v>256.03115836031884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51.224819598458581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51.224819598458581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-6.3550942286383367E-14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318.85992789434766</v>
      </c>
      <c r="AO151" s="59">
        <f t="shared" si="144"/>
        <v>285.79375360040717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64.695170517244335</v>
      </c>
      <c r="AV151" s="21">
        <f>EXP(-LN(2)/25)*AV150+(1-EXP(-LN(2)/25))/(LN(2)/25)*Calculateur!AQ151*Calculateur!AS151*VLOOKUP('Données projet'!$B$10,Paramètres!$A$1:$I$89,3,0)*0.475*44/12</f>
        <v>5.2222931917532263</v>
      </c>
      <c r="AW151" s="21">
        <f>EXP(-LN(2)/2)*AW150+(1-EXP(-LN(2)/2))/(LN(2)/2)*AQ151*AT151*VLOOKUP('Données projet'!$B$10,Paramètres!$A$1:$I$89,3,0)*0.475*44/12</f>
        <v>2.8028103004363526E-11</v>
      </c>
      <c r="AX151" s="21">
        <f t="shared" si="114"/>
        <v>69.917463709025583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385.84</v>
      </c>
      <c r="L152" s="12">
        <f>VLOOKUP(A152,'Données projet'!$A$35:$I$55,9,0)</f>
        <v>6.5224999999999937</v>
      </c>
      <c r="M152" s="12">
        <f t="array" ref="M152">INDEX(L:L,MIN(IF(ISNUMBER(L152:L348),ROW(L152:L348),"")))</f>
        <v>6.5224999999999937</v>
      </c>
      <c r="N152" s="13">
        <f>IF('Données projet'!$A$36&gt;35,N151+M152-V151,IF(A152&lt;'Données projet'!$A$36,$K$205^A152,IF(A152='Données projet'!$A$36,'Données projet'!$B$36,N151+M152-V151)))</f>
        <v>385.83999999999975</v>
      </c>
      <c r="O152" s="13">
        <f>N152*VLOOKUP('Données projet'!$B$9,Paramètres!$A$1:$I$89,3,0)*VLOOKUP('Données projet'!$B$9,Paramètres!$A$1:$I$89,5,0)</f>
        <v>391.24175999999977</v>
      </c>
      <c r="P152" s="13">
        <f t="shared" si="141"/>
        <v>89.998785128729764</v>
      </c>
      <c r="Q152" s="20">
        <f t="shared" si="108"/>
        <v>838.16061609920382</v>
      </c>
      <c r="R152" s="59">
        <f t="shared" si="109"/>
        <v>1131.4939494325372</v>
      </c>
      <c r="S152" s="59">
        <f ca="1">AVERAGE(OFFSET($R$3,0,0,'Données projet'!$E$9+1,1))-AVERAGE(OFFSET($H$3,0,0,'Données projet'!$E$9+1,1))</f>
        <v>369.23716180779473</v>
      </c>
      <c r="T152" s="59">
        <f t="shared" si="142"/>
        <v>256.03115836031884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153.56</v>
      </c>
      <c r="W152" s="16">
        <f>IF(ISNA(VLOOKUP(A152,'Données projet'!$A$35:$I$55,5,0)),0%,VLOOKUP(A152,'Données projet'!$A$35:$I$55,5,0)*VLOOKUP('Données projet'!$B$9,Paramètres!$A$1:$I$89,7,0))</f>
        <v>0.30099999999999999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102.03224952265398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102.03224952265398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-6.3550942286383367E-14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318.85992789434766</v>
      </c>
      <c r="AO152" s="59">
        <f t="shared" si="144"/>
        <v>285.79375360040717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63.42653768355882</v>
      </c>
      <c r="AV152" s="21">
        <f>EXP(-LN(2)/25)*AV151+(1-EXP(-LN(2)/25))/(LN(2)/25)*Calculateur!AQ152*Calculateur!AS152*VLOOKUP('Données projet'!$B$10,Paramètres!$A$1:$I$89,3,0)*0.475*44/12</f>
        <v>5.079489309796271</v>
      </c>
      <c r="AW152" s="21">
        <f>EXP(-LN(2)/2)*AW151+(1-EXP(-LN(2)/2))/(LN(2)/2)*AQ152*AT152*VLOOKUP('Données projet'!$B$10,Paramètres!$A$1:$I$89,3,0)*0.475*44/12</f>
        <v>1.9818861698180495E-11</v>
      </c>
      <c r="AX152" s="21">
        <f t="shared" si="114"/>
        <v>68.506026993374917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3.8900000000000077</v>
      </c>
      <c r="N153" s="13">
        <f>IF('Données projet'!$A$36&gt;35,N152+M153-V152,IF(A153&lt;'Données projet'!$A$36,$K$205^A153,IF(A153='Données projet'!$A$36,'Données projet'!$B$36,N152+M153-V152)))</f>
        <v>236.16999999999973</v>
      </c>
      <c r="O153" s="13">
        <f>N153*VLOOKUP('Données projet'!$B$9,Paramètres!$A$1:$I$89,3,0)*VLOOKUP('Données projet'!$B$9,Paramètres!$A$1:$I$89,5,0)</f>
        <v>239.47637999999975</v>
      </c>
      <c r="P153" s="13">
        <f t="shared" si="141"/>
        <v>58.326856771580658</v>
      </c>
      <c r="Q153" s="20">
        <f t="shared" si="108"/>
        <v>518.67397071050254</v>
      </c>
      <c r="R153" s="59">
        <f t="shared" si="109"/>
        <v>812.0073040438358</v>
      </c>
      <c r="S153" s="59">
        <f ca="1">AVERAGE(OFFSET($R$3,0,0,'Données projet'!$E$9+1,1))-AVERAGE(OFFSET($H$3,0,0,'Données projet'!$E$9+1,1))</f>
        <v>369.23716180779473</v>
      </c>
      <c r="T153" s="59">
        <f t="shared" si="142"/>
        <v>256.03115836031884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100.0314593430419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100.0314593430419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-6.3550942286383367E-14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318.85992789434766</v>
      </c>
      <c r="AO153" s="59">
        <f t="shared" si="144"/>
        <v>285.79375360040717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62.182781965952259</v>
      </c>
      <c r="AV153" s="21">
        <f>EXP(-LN(2)/25)*AV152+(1-EXP(-LN(2)/25))/(LN(2)/25)*Calculateur!AQ153*Calculateur!AS153*VLOOKUP('Données projet'!$B$10,Paramètres!$A$1:$I$89,3,0)*0.475*44/12</f>
        <v>4.9405904075011584</v>
      </c>
      <c r="AW153" s="21">
        <f>EXP(-LN(2)/2)*AW152+(1-EXP(-LN(2)/2))/(LN(2)/2)*AQ153*AT153*VLOOKUP('Données projet'!$B$10,Paramètres!$A$1:$I$89,3,0)*0.475*44/12</f>
        <v>1.4014051502181763E-11</v>
      </c>
      <c r="AX153" s="21">
        <f t="shared" si="114"/>
        <v>67.123372373467433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3.8900000000000077</v>
      </c>
      <c r="N154" s="13">
        <f>IF('Données projet'!$A$36&gt;35,N153+M154-V153,IF(A154&lt;'Données projet'!$A$36,$K$205^A154,IF(A154='Données projet'!$A$36,'Données projet'!$B$36,N153+M154-V153)))</f>
        <v>240.05999999999975</v>
      </c>
      <c r="O154" s="13">
        <f>N154*VLOOKUP('Données projet'!$B$9,Paramètres!$A$1:$I$89,3,0)*VLOOKUP('Données projet'!$B$9,Paramètres!$A$1:$I$89,5,0)</f>
        <v>243.42083999999977</v>
      </c>
      <c r="P154" s="13">
        <f t="shared" si="141"/>
        <v>59.174933526650676</v>
      </c>
      <c r="Q154" s="20">
        <f t="shared" ref="Q154:Q203" si="162">(O154+P154)*0.475*44/12</f>
        <v>527.0209722255828</v>
      </c>
      <c r="R154" s="59">
        <f t="shared" si="109"/>
        <v>820.35430555891617</v>
      </c>
      <c r="S154" s="59">
        <f ca="1">AVERAGE(OFFSET($R$3,0,0,'Données projet'!$E$9+1,1))-AVERAGE(OFFSET($H$3,0,0,'Données projet'!$E$9+1,1))</f>
        <v>369.23716180779473</v>
      </c>
      <c r="T154" s="59">
        <f t="shared" si="142"/>
        <v>256.03115836031884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98.069903438490499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98.069903438490499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-6.3550942286383367E-14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318.85992789434766</v>
      </c>
      <c r="AO154" s="59">
        <f t="shared" si="144"/>
        <v>285.79375360040717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60.963415539351878</v>
      </c>
      <c r="AV154" s="21">
        <f>EXP(-LN(2)/25)*AV153+(1-EXP(-LN(2)/25))/(LN(2)/25)*Calculateur!AQ154*Calculateur!AS154*VLOOKUP('Données projet'!$B$10,Paramètres!$A$1:$I$89,3,0)*0.475*44/12</f>
        <v>4.8054897029936816</v>
      </c>
      <c r="AW154" s="21">
        <f>EXP(-LN(2)/2)*AW153+(1-EXP(-LN(2)/2))/(LN(2)/2)*AQ154*AT154*VLOOKUP('Données projet'!$B$10,Paramètres!$A$1:$I$89,3,0)*0.475*44/12</f>
        <v>9.9094308490902473E-12</v>
      </c>
      <c r="AX154" s="21">
        <f t="shared" ref="AX154:AX203" si="166">SUM(AU154:AW154)</f>
        <v>65.768905242355459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3.8900000000000077</v>
      </c>
      <c r="N155" s="13">
        <f>IF('Données projet'!$A$36&gt;35,N154+M155-V154,IF(A155&lt;'Données projet'!$A$36,$K$205^A155,IF(A155='Données projet'!$A$36,'Données projet'!$B$36,N154+M155-V154)))</f>
        <v>243.94999999999976</v>
      </c>
      <c r="O155" s="13">
        <f>N155*VLOOKUP('Données projet'!$B$9,Paramètres!$A$1:$I$89,3,0)*VLOOKUP('Données projet'!$B$9,Paramètres!$A$1:$I$89,5,0)</f>
        <v>247.36529999999979</v>
      </c>
      <c r="P155" s="13">
        <f t="shared" si="141"/>
        <v>60.021412091309593</v>
      </c>
      <c r="Q155" s="20">
        <f t="shared" si="162"/>
        <v>535.36519022569712</v>
      </c>
      <c r="R155" s="59">
        <f t="shared" si="109"/>
        <v>828.69852355903049</v>
      </c>
      <c r="S155" s="59">
        <f ca="1">AVERAGE(OFFSET($R$3,0,0,'Données projet'!$E$9+1,1))-AVERAGE(OFFSET($H$3,0,0,'Données projet'!$E$9+1,1))</f>
        <v>369.23716180779473</v>
      </c>
      <c r="T155" s="59">
        <f t="shared" si="142"/>
        <v>256.03115836031884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96.146812448796382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96.146812448796382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-6.3550942286383367E-14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318.85992789434766</v>
      </c>
      <c r="AO155" s="59">
        <f t="shared" si="144"/>
        <v>285.79375360040717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59.767960144637051</v>
      </c>
      <c r="AV155" s="21">
        <f>EXP(-LN(2)/25)*AV154+(1-EXP(-LN(2)/25))/(LN(2)/25)*Calculateur!AQ155*Calculateur!AS155*VLOOKUP('Données projet'!$B$10,Paramètres!$A$1:$I$89,3,0)*0.475*44/12</f>
        <v>4.6740833343555988</v>
      </c>
      <c r="AW155" s="21">
        <f>EXP(-LN(2)/2)*AW154+(1-EXP(-LN(2)/2))/(LN(2)/2)*AQ155*AT155*VLOOKUP('Données projet'!$B$10,Paramètres!$A$1:$I$89,3,0)*0.475*44/12</f>
        <v>7.0070257510908814E-12</v>
      </c>
      <c r="AX155" s="21">
        <f t="shared" si="166"/>
        <v>64.442043478999651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247.84</v>
      </c>
      <c r="L156" s="12">
        <f>VLOOKUP(A156,'Données projet'!$A$35:$I$55,9,0)</f>
        <v>3.8900000000000077</v>
      </c>
      <c r="M156" s="12">
        <f t="array" ref="M156">INDEX(L:L,MIN(IF(ISNUMBER(L156:L352),ROW(L156:L352),"")))</f>
        <v>3.8900000000000077</v>
      </c>
      <c r="N156" s="13">
        <f>IF('Données projet'!$A$36&gt;35,N155+M156-V155,IF(A156&lt;'Données projet'!$A$36,$K$205^A156,IF(A156='Données projet'!$A$36,'Données projet'!$B$36,N155+M156-V155)))</f>
        <v>247.83999999999978</v>
      </c>
      <c r="O156" s="13">
        <f>N156*VLOOKUP('Données projet'!$B$9,Paramètres!$A$1:$I$89,3,0)*VLOOKUP('Données projet'!$B$9,Paramètres!$A$1:$I$89,5,0)</f>
        <v>251.30975999999978</v>
      </c>
      <c r="P156" s="13">
        <f t="shared" si="141"/>
        <v>60.866320892569824</v>
      </c>
      <c r="Q156" s="20">
        <f t="shared" si="162"/>
        <v>543.7066742212254</v>
      </c>
      <c r="R156" s="59">
        <f t="shared" si="109"/>
        <v>837.04000755455877</v>
      </c>
      <c r="S156" s="59">
        <f ca="1">AVERAGE(OFFSET($R$3,0,0,'Données projet'!$E$9+1,1))-AVERAGE(OFFSET($H$3,0,0,'Données projet'!$E$9+1,1))</f>
        <v>369.23716180779473</v>
      </c>
      <c r="T156" s="59">
        <f t="shared" si="142"/>
        <v>256.03115836031884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89.29</v>
      </c>
      <c r="W156" s="16">
        <f>IF(ISNA(VLOOKUP(A156,'Données projet'!$A$35:$I$55,5,0)),0%,VLOOKUP(A156,'Données projet'!$A$35:$I$55,5,0)*VLOOKUP('Données projet'!$B$9,Paramètres!$A$1:$I$89,7,0))</f>
        <v>0.34400000000000003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128.69217004539129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128.69217004539129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-6.3550942286383367E-14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318.85992789434766</v>
      </c>
      <c r="AO156" s="59">
        <f t="shared" si="144"/>
        <v>285.79375360040717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58.595946901056791</v>
      </c>
      <c r="AV156" s="21">
        <f>EXP(-LN(2)/25)*AV155+(1-EXP(-LN(2)/25))/(LN(2)/25)*Calculateur!AQ156*Calculateur!AS156*VLOOKUP('Données projet'!$B$10,Paramètres!$A$1:$I$89,3,0)*0.475*44/12</f>
        <v>4.5462702797782848</v>
      </c>
      <c r="AW156" s="21">
        <f>EXP(-LN(2)/2)*AW155+(1-EXP(-LN(2)/2))/(LN(2)/2)*AQ156*AT156*VLOOKUP('Données projet'!$B$10,Paramètres!$A$1:$I$89,3,0)*0.475*44/12</f>
        <v>4.9547154245451237E-12</v>
      </c>
      <c r="AX156" s="21">
        <f t="shared" si="166"/>
        <v>63.142217180840028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2.3049999999999997</v>
      </c>
      <c r="N157" s="13">
        <f>IF('Données projet'!$A$36&gt;35,N156+M157-V156,IF(A157&lt;'Données projet'!$A$36,$K$205^A157,IF(A157='Données projet'!$A$36,'Données projet'!$B$36,N156+M157-V156)))</f>
        <v>160.85499999999979</v>
      </c>
      <c r="O157" s="13">
        <f>N157*VLOOKUP('Données projet'!$B$9,Paramètres!$A$1:$I$89,3,0)*VLOOKUP('Données projet'!$B$9,Paramètres!$A$1:$I$89,5,0)</f>
        <v>163.10696999999979</v>
      </c>
      <c r="P157" s="13">
        <f t="shared" si="141"/>
        <v>41.542514827645469</v>
      </c>
      <c r="Q157" s="20">
        <f t="shared" si="162"/>
        <v>356.43118607481551</v>
      </c>
      <c r="R157" s="59">
        <f t="shared" si="109"/>
        <v>649.76451940814877</v>
      </c>
      <c r="S157" s="59">
        <f ca="1">AVERAGE(OFFSET($R$3,0,0,'Données projet'!$E$9+1,1))-AVERAGE(OFFSET($H$3,0,0,'Données projet'!$E$9+1,1))</f>
        <v>369.23716180779473</v>
      </c>
      <c r="T157" s="59">
        <f t="shared" si="142"/>
        <v>256.03115836031884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126.16859508527421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126.16859508527421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-6.3550942286383367E-14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318.85992789434766</v>
      </c>
      <c r="AO157" s="59">
        <f t="shared" si="144"/>
        <v>285.79375360040717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57.446916122325646</v>
      </c>
      <c r="AV157" s="21">
        <f>EXP(-LN(2)/25)*AV156+(1-EXP(-LN(2)/25))/(LN(2)/25)*Calculateur!AQ157*Calculateur!AS157*VLOOKUP('Données projet'!$B$10,Paramètres!$A$1:$I$89,3,0)*0.475*44/12</f>
        <v>4.4219522798997843</v>
      </c>
      <c r="AW157" s="21">
        <f>EXP(-LN(2)/2)*AW156+(1-EXP(-LN(2)/2))/(LN(2)/2)*AQ157*AT157*VLOOKUP('Données projet'!$B$10,Paramètres!$A$1:$I$89,3,0)*0.475*44/12</f>
        <v>3.5035128755454407E-12</v>
      </c>
      <c r="AX157" s="21">
        <f t="shared" si="166"/>
        <v>61.868868402228934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2.3049999999999997</v>
      </c>
      <c r="N158" s="13">
        <f>IF('Données projet'!$A$36&gt;35,N157+M158-V157,IF(A158&lt;'Données projet'!$A$36,$K$205^A158,IF(A158='Données projet'!$A$36,'Données projet'!$B$36,N157+M158-V157)))</f>
        <v>163.1599999999998</v>
      </c>
      <c r="O158" s="13">
        <f>N158*VLOOKUP('Données projet'!$B$9,Paramètres!$A$1:$I$89,3,0)*VLOOKUP('Données projet'!$B$9,Paramètres!$A$1:$I$89,5,0)</f>
        <v>165.44423999999981</v>
      </c>
      <c r="P158" s="13">
        <f t="shared" si="141"/>
        <v>42.06807739665097</v>
      </c>
      <c r="Q158" s="20">
        <f t="shared" si="162"/>
        <v>361.41728613250007</v>
      </c>
      <c r="R158" s="59">
        <f t="shared" si="109"/>
        <v>654.75061946583332</v>
      </c>
      <c r="S158" s="59">
        <f ca="1">AVERAGE(OFFSET($R$3,0,0,'Données projet'!$E$9+1,1))-AVERAGE(OFFSET($H$3,0,0,'Données projet'!$E$9+1,1))</f>
        <v>369.23716180779473</v>
      </c>
      <c r="T158" s="59">
        <f t="shared" si="142"/>
        <v>256.03115836031884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123.69450589089628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123.69450589089628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-6.3550942286383367E-14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318.85992789434766</v>
      </c>
      <c r="AO158" s="59">
        <f t="shared" si="144"/>
        <v>285.79375360040717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56.320417136325844</v>
      </c>
      <c r="AV158" s="21">
        <f>EXP(-LN(2)/25)*AV157+(1-EXP(-LN(2)/25))/(LN(2)/25)*Calculateur!AQ158*Calculateur!AS158*VLOOKUP('Données projet'!$B$10,Paramètres!$A$1:$I$89,3,0)*0.475*44/12</f>
        <v>4.3010337622655612</v>
      </c>
      <c r="AW158" s="21">
        <f>EXP(-LN(2)/2)*AW157+(1-EXP(-LN(2)/2))/(LN(2)/2)*AQ158*AT158*VLOOKUP('Données projet'!$B$10,Paramètres!$A$1:$I$89,3,0)*0.475*44/12</f>
        <v>2.4773577122725618E-12</v>
      </c>
      <c r="AX158" s="21">
        <f t="shared" si="166"/>
        <v>60.621450898593885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2.3049999999999997</v>
      </c>
      <c r="N159" s="13">
        <f>IF('Données projet'!$A$36&gt;35,N158+M159-V158,IF(A159&lt;'Données projet'!$A$36,$K$205^A159,IF(A159='Données projet'!$A$36,'Données projet'!$B$36,N158+M159-V158)))</f>
        <v>165.4649999999998</v>
      </c>
      <c r="O159" s="13">
        <f>N159*VLOOKUP('Données projet'!$B$9,Paramètres!$A$1:$I$89,3,0)*VLOOKUP('Données projet'!$B$9,Paramètres!$A$1:$I$89,5,0)</f>
        <v>167.7815099999998</v>
      </c>
      <c r="P159" s="13">
        <f t="shared" si="141"/>
        <v>42.592776404925665</v>
      </c>
      <c r="Q159" s="20">
        <f t="shared" si="162"/>
        <v>366.40188215524518</v>
      </c>
      <c r="R159" s="59">
        <f t="shared" si="109"/>
        <v>659.73521548857843</v>
      </c>
      <c r="S159" s="59">
        <f ca="1">AVERAGE(OFFSET($R$3,0,0,'Données projet'!$E$9+1,1))-AVERAGE(OFFSET($H$3,0,0,'Données projet'!$E$9+1,1))</f>
        <v>369.23716180779473</v>
      </c>
      <c r="T159" s="59">
        <f t="shared" si="142"/>
        <v>256.03115836031884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121.2689320765747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121.2689320765747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-6.3550942286383367E-14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318.85992789434766</v>
      </c>
      <c r="AO159" s="59">
        <f t="shared" si="144"/>
        <v>285.79375360040717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55.216008108344965</v>
      </c>
      <c r="AV159" s="21">
        <f>EXP(-LN(2)/25)*AV158+(1-EXP(-LN(2)/25))/(LN(2)/25)*Calculateur!AQ159*Calculateur!AS159*VLOOKUP('Données projet'!$B$10,Paramètres!$A$1:$I$89,3,0)*0.475*44/12</f>
        <v>4.183421767854874</v>
      </c>
      <c r="AW159" s="21">
        <f>EXP(-LN(2)/2)*AW158+(1-EXP(-LN(2)/2))/(LN(2)/2)*AQ159*AT159*VLOOKUP('Données projet'!$B$10,Paramètres!$A$1:$I$89,3,0)*0.475*44/12</f>
        <v>1.7517564377727204E-12</v>
      </c>
      <c r="AX159" s="21">
        <f t="shared" si="166"/>
        <v>59.399429876201594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167.77</v>
      </c>
      <c r="L160" s="12">
        <f>VLOOKUP(A160,'Données projet'!$A$35:$I$55,9,0)</f>
        <v>2.3049999999999997</v>
      </c>
      <c r="M160" s="12">
        <f t="array" ref="M160">INDEX(L:L,MIN(IF(ISNUMBER(L160:L356),ROW(L160:L356),"")))</f>
        <v>2.3049999999999997</v>
      </c>
      <c r="N160" s="13">
        <f>IF('Données projet'!$A$36&gt;35,N159+M160-V159,IF(A160&lt;'Données projet'!$A$36,$K$205^A160,IF(A160='Données projet'!$A$36,'Données projet'!$B$36,N159+M160-V159)))</f>
        <v>167.76999999999981</v>
      </c>
      <c r="O160" s="13">
        <f>N160*VLOOKUP('Données projet'!$B$9,Paramètres!$A$1:$I$89,3,0)*VLOOKUP('Données projet'!$B$9,Paramètres!$A$1:$I$89,5,0)</f>
        <v>170.11877999999982</v>
      </c>
      <c r="P160" s="13">
        <f t="shared" si="141"/>
        <v>43.116625272506546</v>
      </c>
      <c r="Q160" s="20">
        <f t="shared" si="162"/>
        <v>371.38499751628189</v>
      </c>
      <c r="R160" s="59">
        <f t="shared" si="109"/>
        <v>664.7183308496152</v>
      </c>
      <c r="S160" s="59">
        <f ca="1">AVERAGE(OFFSET($R$3,0,0,'Données projet'!$E$9+1,1))-AVERAGE(OFFSET($H$3,0,0,'Données projet'!$E$9+1,1))</f>
        <v>369.23716180779473</v>
      </c>
      <c r="T160" s="59">
        <f t="shared" si="142"/>
        <v>256.03115836031884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57.95</v>
      </c>
      <c r="W160" s="16">
        <f>IF(ISNA(VLOOKUP(A160,'Données projet'!$A$35:$I$55,5,0)),0%,VLOOKUP(A160,'Données projet'!$A$35:$I$55,5,0)*VLOOKUP('Données projet'!$B$9,Paramètres!$A$1:$I$89,7,0))</f>
        <v>0.34400000000000003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141.23677584011827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141.23677584011827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-6.3550942286383367E-14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318.85992789434766</v>
      </c>
      <c r="AO160" s="59">
        <f t="shared" si="144"/>
        <v>285.79375360040717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54.133255867779795</v>
      </c>
      <c r="AV160" s="21">
        <f>EXP(-LN(2)/25)*AV159+(1-EXP(-LN(2)/25))/(LN(2)/25)*Calculateur!AQ160*Calculateur!AS160*VLOOKUP('Données projet'!$B$10,Paramètres!$A$1:$I$89,3,0)*0.475*44/12</f>
        <v>4.0690258796162926</v>
      </c>
      <c r="AW160" s="21">
        <f>EXP(-LN(2)/2)*AW159+(1-EXP(-LN(2)/2))/(LN(2)/2)*AQ160*AT160*VLOOKUP('Données projet'!$B$10,Paramètres!$A$1:$I$89,3,0)*0.475*44/12</f>
        <v>1.2386788561362809E-12</v>
      </c>
      <c r="AX160" s="21">
        <f t="shared" si="166"/>
        <v>58.202281747397322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1.4024999999999999</v>
      </c>
      <c r="N161" s="13">
        <f>IF('Données projet'!$A$36&gt;35,N160+M161-V160,IF(A161&lt;'Données projet'!$A$36,$K$205^A161,IF(A161='Données projet'!$A$36,'Données projet'!$B$36,N160+M161-V160)))</f>
        <v>111.22249999999981</v>
      </c>
      <c r="O161" s="13">
        <f>N161*VLOOKUP('Données projet'!$B$9,Paramètres!$A$1:$I$89,3,0)*VLOOKUP('Données projet'!$B$9,Paramètres!$A$1:$I$89,5,0)</f>
        <v>112.77961499999982</v>
      </c>
      <c r="P161" s="13">
        <f t="shared" si="141"/>
        <v>29.984929344806837</v>
      </c>
      <c r="Q161" s="20">
        <f t="shared" si="162"/>
        <v>248.64824806720492</v>
      </c>
      <c r="R161" s="59">
        <f t="shared" si="109"/>
        <v>541.98158140053829</v>
      </c>
      <c r="S161" s="59">
        <f ca="1">AVERAGE(OFFSET($R$3,0,0,'Données projet'!$E$9+1,1))-AVERAGE(OFFSET($H$3,0,0,'Données projet'!$E$9+1,1))</f>
        <v>369.23716180779473</v>
      </c>
      <c r="T161" s="59">
        <f t="shared" si="142"/>
        <v>256.03115836031884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138.4672088118206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138.4672088118206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-6.3550942286383367E-14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318.85992789434766</v>
      </c>
      <c r="AO161" s="59">
        <f t="shared" si="144"/>
        <v>285.79375360040717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53.071735738238452</v>
      </c>
      <c r="AV161" s="21">
        <f>EXP(-LN(2)/25)*AV160+(1-EXP(-LN(2)/25))/(LN(2)/25)*Calculateur!AQ161*Calculateur!AS161*VLOOKUP('Données projet'!$B$10,Paramètres!$A$1:$I$89,3,0)*0.475*44/12</f>
        <v>3.957758152957414</v>
      </c>
      <c r="AW161" s="21">
        <f>EXP(-LN(2)/2)*AW160+(1-EXP(-LN(2)/2))/(LN(2)/2)*AQ161*AT161*VLOOKUP('Données projet'!$B$10,Paramètres!$A$1:$I$89,3,0)*0.475*44/12</f>
        <v>8.7587821888636018E-13</v>
      </c>
      <c r="AX161" s="21">
        <f t="shared" si="166"/>
        <v>57.029493891196744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1.4024999999999999</v>
      </c>
      <c r="N162" s="13">
        <f>IF('Données projet'!$A$36&gt;35,N161+M162-V161,IF(A162&lt;'Données projet'!$A$36,$K$205^A162,IF(A162='Données projet'!$A$36,'Données projet'!$B$36,N161+M162-V161)))</f>
        <v>112.62499999999982</v>
      </c>
      <c r="O162" s="13">
        <f>N162*VLOOKUP('Données projet'!$B$9,Paramètres!$A$1:$I$89,3,0)*VLOOKUP('Données projet'!$B$9,Paramètres!$A$1:$I$89,5,0)</f>
        <v>114.20174999999982</v>
      </c>
      <c r="P162" s="13">
        <f t="shared" si="141"/>
        <v>30.318779511993178</v>
      </c>
      <c r="Q162" s="20">
        <f t="shared" si="162"/>
        <v>251.70658890005447</v>
      </c>
      <c r="R162" s="59">
        <f t="shared" si="109"/>
        <v>545.03992223338776</v>
      </c>
      <c r="S162" s="59">
        <f ca="1">AVERAGE(OFFSET($R$3,0,0,'Données projet'!$E$9+1,1))-AVERAGE(OFFSET($H$3,0,0,'Données projet'!$E$9+1,1))</f>
        <v>369.23716180779473</v>
      </c>
      <c r="T162" s="59">
        <f t="shared" si="142"/>
        <v>256.03115836031884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135.75195130367877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135.75195130367877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-6.3550942286383367E-14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318.85992789434766</v>
      </c>
      <c r="AO162" s="59">
        <f t="shared" si="144"/>
        <v>285.79375360040717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52.03103137097407</v>
      </c>
      <c r="AV162" s="21">
        <f>EXP(-LN(2)/25)*AV161+(1-EXP(-LN(2)/25))/(LN(2)/25)*Calculateur!AQ162*Calculateur!AS162*VLOOKUP('Données projet'!$B$10,Paramètres!$A$1:$I$89,3,0)*0.475*44/12</f>
        <v>3.8495330481353376</v>
      </c>
      <c r="AW162" s="21">
        <f>EXP(-LN(2)/2)*AW161+(1-EXP(-LN(2)/2))/(LN(2)/2)*AQ162*AT162*VLOOKUP('Données projet'!$B$10,Paramètres!$A$1:$I$89,3,0)*0.475*44/12</f>
        <v>6.1933942806814046E-13</v>
      </c>
      <c r="AX162" s="21">
        <f t="shared" si="166"/>
        <v>55.880564419110023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1.4024999999999999</v>
      </c>
      <c r="N163" s="13">
        <f>IF('Données projet'!$A$36&gt;35,N162+M163-V162,IF(A163&lt;'Données projet'!$A$36,$K$205^A163,IF(A163='Données projet'!$A$36,'Données projet'!$B$36,N162+M163-V162)))</f>
        <v>114.02749999999982</v>
      </c>
      <c r="O163" s="13">
        <f>N163*VLOOKUP('Données projet'!$B$9,Paramètres!$A$1:$I$89,3,0)*VLOOKUP('Données projet'!$B$9,Paramètres!$A$1:$I$89,5,0)</f>
        <v>115.62388499999982</v>
      </c>
      <c r="P163" s="13">
        <f t="shared" si="141"/>
        <v>30.652146097549053</v>
      </c>
      <c r="Q163" s="20">
        <f t="shared" si="162"/>
        <v>254.76408749489761</v>
      </c>
      <c r="R163" s="59">
        <f t="shared" si="109"/>
        <v>548.09742082823095</v>
      </c>
      <c r="S163" s="59">
        <f ca="1">AVERAGE(OFFSET($R$3,0,0,'Données projet'!$E$9+1,1))-AVERAGE(OFFSET($H$3,0,0,'Données projet'!$E$9+1,1))</f>
        <v>369.23716180779473</v>
      </c>
      <c r="T163" s="59">
        <f t="shared" si="142"/>
        <v>256.03115836031884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133.08993833912805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133.08993833912805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-6.3550942286383367E-14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318.85992789434766</v>
      </c>
      <c r="AO163" s="59">
        <f t="shared" si="144"/>
        <v>285.79375360040717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51.010734581584757</v>
      </c>
      <c r="AV163" s="21">
        <f>EXP(-LN(2)/25)*AV162+(1-EXP(-LN(2)/25))/(LN(2)/25)*Calculateur!AQ163*Calculateur!AS163*VLOOKUP('Données projet'!$B$10,Paramètres!$A$1:$I$89,3,0)*0.475*44/12</f>
        <v>3.7442673644959319</v>
      </c>
      <c r="AW163" s="21">
        <f>EXP(-LN(2)/2)*AW162+(1-EXP(-LN(2)/2))/(LN(2)/2)*AQ163*AT163*VLOOKUP('Données projet'!$B$10,Paramètres!$A$1:$I$89,3,0)*0.475*44/12</f>
        <v>4.3793910944318009E-13</v>
      </c>
      <c r="AX163" s="21">
        <f t="shared" si="166"/>
        <v>54.75500194608113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115.43</v>
      </c>
      <c r="L164" s="12">
        <f>VLOOKUP(A164,'Données projet'!$A$35:$I$55,9,0)</f>
        <v>1.4024999999999999</v>
      </c>
      <c r="M164" s="12">
        <f t="array" ref="M164">INDEX(L:L,MIN(IF(ISNUMBER(L164:L360),ROW(L164:L360),"")))</f>
        <v>1.4024999999999999</v>
      </c>
      <c r="N164" s="13">
        <f>IF('Données projet'!$A$36&gt;35,N163+M164-V163,IF(A164&lt;'Données projet'!$A$36,$K$205^A164,IF(A164='Données projet'!$A$36,'Données projet'!$B$36,N163+M164-V163)))</f>
        <v>115.42999999999982</v>
      </c>
      <c r="O164" s="13">
        <f>N164*VLOOKUP('Données projet'!$B$9,Paramètres!$A$1:$I$89,3,0)*VLOOKUP('Données projet'!$B$9,Paramètres!$A$1:$I$89,5,0)</f>
        <v>117.04601999999983</v>
      </c>
      <c r="P164" s="13">
        <f t="shared" si="141"/>
        <v>30.98503573728636</v>
      </c>
      <c r="Q164" s="20">
        <f t="shared" si="162"/>
        <v>257.82075540910677</v>
      </c>
      <c r="R164" s="59">
        <f t="shared" si="109"/>
        <v>551.15408874244008</v>
      </c>
      <c r="S164" s="59">
        <f ca="1">AVERAGE(OFFSET($R$3,0,0,'Données projet'!$E$9+1,1))-AVERAGE(OFFSET($H$3,0,0,'Données projet'!$E$9+1,1))</f>
        <v>369.23716180779473</v>
      </c>
      <c r="T164" s="59">
        <f t="shared" si="142"/>
        <v>256.03115836031884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115.43</v>
      </c>
      <c r="W164" s="16">
        <f>IF(ISNA(VLOOKUP(A164,'Données projet'!$A$35:$I$55,5,0)),0%,VLOOKUP(A164,'Données projet'!$A$35:$I$55,5,0)*VLOOKUP('Données projet'!$B$9,Paramètres!$A$1:$I$89,7,0))</f>
        <v>0.34400000000000003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174.99059822950872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174.99059822950872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-6.3550942286383367E-14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318.85992789434766</v>
      </c>
      <c r="AO164" s="59">
        <f t="shared" si="144"/>
        <v>285.79375360040717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50.010445189915771</v>
      </c>
      <c r="AV164" s="21">
        <f>EXP(-LN(2)/25)*AV163+(1-EXP(-LN(2)/25))/(LN(2)/25)*Calculateur!AQ164*Calculateur!AS164*VLOOKUP('Données projet'!$B$10,Paramètres!$A$1:$I$89,3,0)*0.475*44/12</f>
        <v>3.6418801765113278</v>
      </c>
      <c r="AW164" s="21">
        <f>EXP(-LN(2)/2)*AW163+(1-EXP(-LN(2)/2))/(LN(2)/2)*AQ164*AT164*VLOOKUP('Données projet'!$B$10,Paramètres!$A$1:$I$89,3,0)*0.475*44/12</f>
        <v>3.0966971403407023E-13</v>
      </c>
      <c r="AX164" s="21">
        <f t="shared" si="166"/>
        <v>53.652325366427412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-1.8474111129762605E-13</v>
      </c>
      <c r="O165" s="13">
        <f>N165*VLOOKUP('Données projet'!$B$9,Paramètres!$A$1:$I$89,3,0)*VLOOKUP('Données projet'!$B$9,Paramètres!$A$1:$I$89,5,0)</f>
        <v>-1.8732748685579284E-13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369.23716180779473</v>
      </c>
      <c r="T165" s="59">
        <f t="shared" si="142"/>
        <v>256.03115836031884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171.5591393319539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171.5591393319539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-6.3550942286383367E-14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318.85992789434766</v>
      </c>
      <c r="AO165" s="59">
        <f t="shared" si="144"/>
        <v>285.79375360040717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49.029770863101135</v>
      </c>
      <c r="AV165" s="21">
        <f>EXP(-LN(2)/25)*AV164+(1-EXP(-LN(2)/25))/(LN(2)/25)*Calculateur!AQ165*Calculateur!AS165*VLOOKUP('Données projet'!$B$10,Paramètres!$A$1:$I$89,3,0)*0.475*44/12</f>
        <v>3.5422927715664705</v>
      </c>
      <c r="AW165" s="21">
        <f>EXP(-LN(2)/2)*AW164+(1-EXP(-LN(2)/2))/(LN(2)/2)*AQ165*AT165*VLOOKUP('Données projet'!$B$10,Paramètres!$A$1:$I$89,3,0)*0.475*44/12</f>
        <v>2.1896955472159005E-13</v>
      </c>
      <c r="AX165" s="21">
        <f t="shared" si="166"/>
        <v>52.572063634667828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-1.8474111129762605E-13</v>
      </c>
      <c r="O166" s="13">
        <f>N166*VLOOKUP('Données projet'!$B$9,Paramètres!$A$1:$I$89,3,0)*VLOOKUP('Données projet'!$B$9,Paramètres!$A$1:$I$89,5,0)</f>
        <v>-1.8732748685579284E-13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369.23716180779473</v>
      </c>
      <c r="T166" s="59">
        <f t="shared" si="142"/>
        <v>256.03115836031884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168.19496925039687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168.19496925039687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-6.3550942286383367E-14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318.85992789434766</v>
      </c>
      <c r="AO166" s="59">
        <f t="shared" si="144"/>
        <v>285.79375360040717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48.068326961683056</v>
      </c>
      <c r="AV166" s="21">
        <f>EXP(-LN(2)/25)*AV165+(1-EXP(-LN(2)/25))/(LN(2)/25)*Calculateur!AQ166*Calculateur!AS166*VLOOKUP('Données projet'!$B$10,Paramètres!$A$1:$I$89,3,0)*0.475*44/12</f>
        <v>3.4454285894469043</v>
      </c>
      <c r="AW166" s="21">
        <f>EXP(-LN(2)/2)*AW165+(1-EXP(-LN(2)/2))/(LN(2)/2)*AQ166*AT166*VLOOKUP('Données projet'!$B$10,Paramètres!$A$1:$I$89,3,0)*0.475*44/12</f>
        <v>1.5483485701703511E-13</v>
      </c>
      <c r="AX166" s="21">
        <f t="shared" si="166"/>
        <v>51.513755551130117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-1.8474111129762605E-13</v>
      </c>
      <c r="O167" s="13">
        <f>N167*VLOOKUP('Données projet'!$B$9,Paramètres!$A$1:$I$89,3,0)*VLOOKUP('Données projet'!$B$9,Paramètres!$A$1:$I$89,5,0)</f>
        <v>-1.8732748685579284E-13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369.23716180779473</v>
      </c>
      <c r="T167" s="59">
        <f t="shared" si="142"/>
        <v>256.03115836031884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164.89676849219802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164.89676849219802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-6.3550942286383367E-14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318.85992789434766</v>
      </c>
      <c r="AO167" s="59">
        <f t="shared" si="144"/>
        <v>285.79375360040717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47.125736388748905</v>
      </c>
      <c r="AV167" s="21">
        <f>EXP(-LN(2)/25)*AV166+(1-EXP(-LN(2)/25))/(LN(2)/25)*Calculateur!AQ167*Calculateur!AS167*VLOOKUP('Données projet'!$B$10,Paramètres!$A$1:$I$89,3,0)*0.475*44/12</f>
        <v>3.3512131634812636</v>
      </c>
      <c r="AW167" s="21">
        <f>EXP(-LN(2)/2)*AW166+(1-EXP(-LN(2)/2))/(LN(2)/2)*AQ167*AT167*VLOOKUP('Données projet'!$B$10,Paramètres!$A$1:$I$89,3,0)*0.475*44/12</f>
        <v>1.0948477736079502E-13</v>
      </c>
      <c r="AX167" s="21">
        <f t="shared" si="166"/>
        <v>50.476949552230273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-1.8474111129762605E-13</v>
      </c>
      <c r="O168" s="13">
        <f>N168*VLOOKUP('Données projet'!$B$9,Paramètres!$A$1:$I$89,3,0)*VLOOKUP('Données projet'!$B$9,Paramètres!$A$1:$I$89,5,0)</f>
        <v>-1.8732748685579284E-13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369.23716180779473</v>
      </c>
      <c r="T168" s="59">
        <f t="shared" si="142"/>
        <v>256.03115836031884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161.66324343916364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161.66324343916364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-6.3550942286383367E-14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318.85992789434766</v>
      </c>
      <c r="AO168" s="59">
        <f t="shared" si="144"/>
        <v>285.79375360040717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46.201629442026515</v>
      </c>
      <c r="AV168" s="21">
        <f>EXP(-LN(2)/25)*AV167+(1-EXP(-LN(2)/25))/(LN(2)/25)*Calculateur!AQ168*Calculateur!AS168*VLOOKUP('Données projet'!$B$10,Paramètres!$A$1:$I$89,3,0)*0.475*44/12</f>
        <v>3.2595740632932273</v>
      </c>
      <c r="AW168" s="21">
        <f>EXP(-LN(2)/2)*AW167+(1-EXP(-LN(2)/2))/(LN(2)/2)*AQ168*AT168*VLOOKUP('Données projet'!$B$10,Paramètres!$A$1:$I$89,3,0)*0.475*44/12</f>
        <v>7.7417428508517557E-14</v>
      </c>
      <c r="AX168" s="21">
        <f t="shared" si="166"/>
        <v>49.461203505319823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-1.8474111129762605E-13</v>
      </c>
      <c r="O169" s="13">
        <f>N169*VLOOKUP('Données projet'!$B$9,Paramètres!$A$1:$I$89,3,0)*VLOOKUP('Données projet'!$B$9,Paramètres!$A$1:$I$89,5,0)</f>
        <v>-1.8732748685579284E-13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369.23716180779473</v>
      </c>
      <c r="T169" s="59">
        <f t="shared" si="142"/>
        <v>256.03115836031884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158.49312584016371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158.49312584016371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-6.3550942286383367E-14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318.85992789434766</v>
      </c>
      <c r="AO169" s="59">
        <f t="shared" si="144"/>
        <v>285.79375360040717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45.295643668879769</v>
      </c>
      <c r="AV169" s="21">
        <f>EXP(-LN(2)/25)*AV168+(1-EXP(-LN(2)/25))/(LN(2)/25)*Calculateur!AQ169*Calculateur!AS169*VLOOKUP('Données projet'!$B$10,Paramètres!$A$1:$I$89,3,0)*0.475*44/12</f>
        <v>3.1704408391189238</v>
      </c>
      <c r="AW169" s="21">
        <f>EXP(-LN(2)/2)*AW168+(1-EXP(-LN(2)/2))/(LN(2)/2)*AQ169*AT169*VLOOKUP('Données projet'!$B$10,Paramètres!$A$1:$I$89,3,0)*0.475*44/12</f>
        <v>5.4742388680397511E-14</v>
      </c>
      <c r="AX169" s="21">
        <f t="shared" si="166"/>
        <v>48.466084507998751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-1.8474111129762605E-13</v>
      </c>
      <c r="O170" s="13">
        <f>N170*VLOOKUP('Données projet'!$B$9,Paramètres!$A$1:$I$89,3,0)*VLOOKUP('Données projet'!$B$9,Paramètres!$A$1:$I$89,5,0)</f>
        <v>-1.8732748685579284E-13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369.23716180779473</v>
      </c>
      <c r="T170" s="59">
        <f t="shared" si="142"/>
        <v>256.03115836031884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155.38517231369937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155.38517231369937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-6.3550942286383367E-14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318.85992789434766</v>
      </c>
      <c r="AO170" s="59">
        <f t="shared" si="144"/>
        <v>285.79375360040717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44.407423724147677</v>
      </c>
      <c r="AV170" s="21">
        <f>EXP(-LN(2)/25)*AV169+(1-EXP(-LN(2)/25))/(LN(2)/25)*Calculateur!AQ170*Calculateur!AS170*VLOOKUP('Données projet'!$B$10,Paramètres!$A$1:$I$89,3,0)*0.475*44/12</f>
        <v>3.0837449676469793</v>
      </c>
      <c r="AW170" s="21">
        <f>EXP(-LN(2)/2)*AW169+(1-EXP(-LN(2)/2))/(LN(2)/2)*AQ170*AT170*VLOOKUP('Données projet'!$B$10,Paramètres!$A$1:$I$89,3,0)*0.475*44/12</f>
        <v>3.8708714254258779E-14</v>
      </c>
      <c r="AX170" s="21">
        <f t="shared" si="166"/>
        <v>47.491168691794691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-1.8474111129762605E-13</v>
      </c>
      <c r="O171" s="13">
        <f>N171*VLOOKUP('Données projet'!$B$9,Paramètres!$A$1:$I$89,3,0)*VLOOKUP('Données projet'!$B$9,Paramètres!$A$1:$I$89,5,0)</f>
        <v>-1.8732748685579284E-13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369.23716180779473</v>
      </c>
      <c r="T171" s="59">
        <f t="shared" si="142"/>
        <v>256.03115836031884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152.33816386022451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152.33816386022451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-6.3550942286383367E-14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318.85992789434766</v>
      </c>
      <c r="AO171" s="59">
        <f t="shared" si="144"/>
        <v>285.79375360040717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43.536621230771104</v>
      </c>
      <c r="AV171" s="21">
        <f>EXP(-LN(2)/25)*AV170+(1-EXP(-LN(2)/25))/(LN(2)/25)*Calculateur!AQ171*Calculateur!AS171*VLOOKUP('Données projet'!$B$10,Paramètres!$A$1:$I$89,3,0)*0.475*44/12</f>
        <v>2.9994197993395728</v>
      </c>
      <c r="AW171" s="21">
        <f>EXP(-LN(2)/2)*AW170+(1-EXP(-LN(2)/2))/(LN(2)/2)*AQ171*AT171*VLOOKUP('Données projet'!$B$10,Paramètres!$A$1:$I$89,3,0)*0.475*44/12</f>
        <v>2.7371194340198756E-14</v>
      </c>
      <c r="AX171" s="21">
        <f t="shared" si="166"/>
        <v>46.536041030110702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-1.8474111129762605E-13</v>
      </c>
      <c r="O172" s="13">
        <f>N172*VLOOKUP('Données projet'!$B$9,Paramètres!$A$1:$I$89,3,0)*VLOOKUP('Données projet'!$B$9,Paramètres!$A$1:$I$89,5,0)</f>
        <v>-1.8732748685579284E-13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369.23716180779473</v>
      </c>
      <c r="T172" s="59">
        <f t="shared" si="142"/>
        <v>256.03115836031884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149.35090538403065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149.35090538403065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-6.3550942286383367E-14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318.85992789434766</v>
      </c>
      <c r="AO172" s="59">
        <f t="shared" si="144"/>
        <v>285.79375360040717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42.682894643152572</v>
      </c>
      <c r="AV172" s="21">
        <f>EXP(-LN(2)/25)*AV171+(1-EXP(-LN(2)/25))/(LN(2)/25)*Calculateur!AQ172*Calculateur!AS172*VLOOKUP('Données projet'!$B$10,Paramètres!$A$1:$I$89,3,0)*0.475*44/12</f>
        <v>2.9174005071940003</v>
      </c>
      <c r="AW172" s="21">
        <f>EXP(-LN(2)/2)*AW171+(1-EXP(-LN(2)/2))/(LN(2)/2)*AQ172*AT172*VLOOKUP('Données projet'!$B$10,Paramètres!$A$1:$I$89,3,0)*0.475*44/12</f>
        <v>1.9354357127129389E-14</v>
      </c>
      <c r="AX172" s="21">
        <f t="shared" si="166"/>
        <v>45.600295150346597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-1.8474111129762605E-13</v>
      </c>
      <c r="O173" s="13">
        <f>N173*VLOOKUP('Données projet'!$B$9,Paramètres!$A$1:$I$89,3,0)*VLOOKUP('Données projet'!$B$9,Paramètres!$A$1:$I$89,5,0)</f>
        <v>-1.8732748685579284E-13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369.23716180779473</v>
      </c>
      <c r="T173" s="59">
        <f t="shared" si="142"/>
        <v>256.03115836031884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146.4222252245072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146.4222252245072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-6.3550942286383367E-14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318.85992789434766</v>
      </c>
      <c r="AO173" s="59">
        <f t="shared" si="144"/>
        <v>285.79375360040717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41.845909113195439</v>
      </c>
      <c r="AV173" s="21">
        <f>EXP(-LN(2)/25)*AV172+(1-EXP(-LN(2)/25))/(LN(2)/25)*Calculateur!AQ173*Calculateur!AS173*VLOOKUP('Données projet'!$B$10,Paramètres!$A$1:$I$89,3,0)*0.475*44/12</f>
        <v>2.8376240369053556</v>
      </c>
      <c r="AW173" s="21">
        <f>EXP(-LN(2)/2)*AW172+(1-EXP(-LN(2)/2))/(LN(2)/2)*AQ173*AT173*VLOOKUP('Données projet'!$B$10,Paramètres!$A$1:$I$89,3,0)*0.475*44/12</f>
        <v>1.3685597170099378E-14</v>
      </c>
      <c r="AX173" s="21">
        <f t="shared" si="166"/>
        <v>44.683533150100807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-1.8474111129762605E-13</v>
      </c>
      <c r="O174" s="13">
        <f>N174*VLOOKUP('Données projet'!$B$9,Paramètres!$A$1:$I$89,3,0)*VLOOKUP('Données projet'!$B$9,Paramètres!$A$1:$I$89,5,0)</f>
        <v>-1.8732748685579284E-13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369.23716180779473</v>
      </c>
      <c r="T174" s="59">
        <f t="shared" si="142"/>
        <v>256.03115836031884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143.5509746965935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143.5509746965935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-6.3550942286383367E-14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318.85992789434766</v>
      </c>
      <c r="AO174" s="59">
        <f t="shared" si="144"/>
        <v>285.79375360040717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41.025336358970002</v>
      </c>
      <c r="AV174" s="21">
        <f>EXP(-LN(2)/25)*AV173+(1-EXP(-LN(2)/25))/(LN(2)/25)*Calculateur!AQ174*Calculateur!AS174*VLOOKUP('Données projet'!$B$10,Paramètres!$A$1:$I$89,3,0)*0.475*44/12</f>
        <v>2.760029058392016</v>
      </c>
      <c r="AW174" s="21">
        <f>EXP(-LN(2)/2)*AW173+(1-EXP(-LN(2)/2))/(LN(2)/2)*AQ174*AT174*VLOOKUP('Données projet'!$B$10,Paramètres!$A$1:$I$89,3,0)*0.475*44/12</f>
        <v>9.6771785635646947E-15</v>
      </c>
      <c r="AX174" s="21">
        <f t="shared" si="166"/>
        <v>43.785365417362023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-1.8474111129762605E-13</v>
      </c>
      <c r="O175" s="13">
        <f>N175*VLOOKUP('Données projet'!$B$9,Paramètres!$A$1:$I$89,3,0)*VLOOKUP('Données projet'!$B$9,Paramètres!$A$1:$I$89,5,0)</f>
        <v>-1.8732748685579284E-13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369.23716180779473</v>
      </c>
      <c r="T175" s="59">
        <f t="shared" si="142"/>
        <v>256.03115836031884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140.7360276402423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140.7360276402423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-6.3550942286383367E-14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318.85992789434766</v>
      </c>
      <c r="AO175" s="59">
        <f t="shared" si="144"/>
        <v>285.79375360040717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40.220854535954963</v>
      </c>
      <c r="AV175" s="21">
        <f>EXP(-LN(2)/25)*AV174+(1-EXP(-LN(2)/25))/(LN(2)/25)*Calculateur!AQ175*Calculateur!AS175*VLOOKUP('Données projet'!$B$10,Paramètres!$A$1:$I$89,3,0)*0.475*44/12</f>
        <v>2.6845559186466663</v>
      </c>
      <c r="AW175" s="21">
        <f>EXP(-LN(2)/2)*AW174+(1-EXP(-LN(2)/2))/(LN(2)/2)*AQ175*AT175*VLOOKUP('Données projet'!$B$10,Paramètres!$A$1:$I$89,3,0)*0.475*44/12</f>
        <v>6.8427985850496889E-15</v>
      </c>
      <c r="AX175" s="21">
        <f t="shared" si="166"/>
        <v>42.905410454601636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-1.8474111129762605E-13</v>
      </c>
      <c r="O176" s="13">
        <f>N176*VLOOKUP('Données projet'!$B$9,Paramètres!$A$1:$I$89,3,0)*VLOOKUP('Données projet'!$B$9,Paramètres!$A$1:$I$89,5,0)</f>
        <v>-1.8732748685579284E-13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369.23716180779473</v>
      </c>
      <c r="T176" s="59">
        <f t="shared" si="142"/>
        <v>256.03115836031884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137.97627997871797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137.97627997871797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-6.3550942286383367E-14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318.85992789434766</v>
      </c>
      <c r="AO176" s="59">
        <f t="shared" si="144"/>
        <v>285.79375360040717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39.432148110803787</v>
      </c>
      <c r="AV176" s="21">
        <f>EXP(-LN(2)/25)*AV175+(1-EXP(-LN(2)/25))/(LN(2)/25)*Calculateur!AQ176*Calculateur!AS176*VLOOKUP('Données projet'!$B$10,Paramètres!$A$1:$I$89,3,0)*0.475*44/12</f>
        <v>2.6111465958766131</v>
      </c>
      <c r="AW176" s="21">
        <f>EXP(-LN(2)/2)*AW175+(1-EXP(-LN(2)/2))/(LN(2)/2)*AQ176*AT176*VLOOKUP('Données projet'!$B$10,Paramètres!$A$1:$I$89,3,0)*0.475*44/12</f>
        <v>4.8385892817823473E-15</v>
      </c>
      <c r="AX176" s="21">
        <f t="shared" si="166"/>
        <v>42.043294706680406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-1.8474111129762605E-13</v>
      </c>
      <c r="O177" s="13">
        <f>N177*VLOOKUP('Données projet'!$B$9,Paramètres!$A$1:$I$89,3,0)*VLOOKUP('Données projet'!$B$9,Paramètres!$A$1:$I$89,5,0)</f>
        <v>-1.8732748685579284E-13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369.23716180779473</v>
      </c>
      <c r="T177" s="59">
        <f t="shared" si="142"/>
        <v>256.03115836031884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135.27064928555626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135.27064928555626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-6.3550942286383367E-14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318.85992789434766</v>
      </c>
      <c r="AO177" s="59">
        <f t="shared" si="144"/>
        <v>285.79375360040717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38.658907737586411</v>
      </c>
      <c r="AV177" s="21">
        <f>EXP(-LN(2)/25)*AV176+(1-EXP(-LN(2)/25))/(LN(2)/25)*Calculateur!AQ177*Calculateur!AS177*VLOOKUP('Données projet'!$B$10,Paramètres!$A$1:$I$89,3,0)*0.475*44/12</f>
        <v>2.5397446548981355</v>
      </c>
      <c r="AW177" s="21">
        <f>EXP(-LN(2)/2)*AW176+(1-EXP(-LN(2)/2))/(LN(2)/2)*AQ177*AT177*VLOOKUP('Données projet'!$B$10,Paramètres!$A$1:$I$89,3,0)*0.475*44/12</f>
        <v>3.4213992925248445E-15</v>
      </c>
      <c r="AX177" s="21">
        <f t="shared" si="166"/>
        <v>41.198652392484547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-1.8474111129762605E-13</v>
      </c>
      <c r="O178" s="13">
        <f>N178*VLOOKUP('Données projet'!$B$9,Paramètres!$A$1:$I$89,3,0)*VLOOKUP('Données projet'!$B$9,Paramètres!$A$1:$I$89,5,0)</f>
        <v>-1.8732748685579284E-13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369.23716180779473</v>
      </c>
      <c r="T178" s="59">
        <f t="shared" si="142"/>
        <v>256.03115836031884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132.61807436001567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132.61807436001567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-6.3550942286383367E-14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318.85992789434766</v>
      </c>
      <c r="AO178" s="59">
        <f t="shared" si="144"/>
        <v>285.79375360040717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37.90083013645777</v>
      </c>
      <c r="AV178" s="21">
        <f>EXP(-LN(2)/25)*AV177+(1-EXP(-LN(2)/25))/(LN(2)/25)*Calculateur!AQ178*Calculateur!AS178*VLOOKUP('Données projet'!$B$10,Paramètres!$A$1:$I$89,3,0)*0.475*44/12</f>
        <v>2.4702952037505792</v>
      </c>
      <c r="AW178" s="21">
        <f>EXP(-LN(2)/2)*AW177+(1-EXP(-LN(2)/2))/(LN(2)/2)*AQ178*AT178*VLOOKUP('Données projet'!$B$10,Paramètres!$A$1:$I$89,3,0)*0.475*44/12</f>
        <v>2.4192946408911737E-15</v>
      </c>
      <c r="AX178" s="21">
        <f t="shared" si="166"/>
        <v>40.371125340208351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-1.8474111129762605E-13</v>
      </c>
      <c r="O179" s="13">
        <f>N179*VLOOKUP('Données projet'!$B$9,Paramètres!$A$1:$I$89,3,0)*VLOOKUP('Données projet'!$B$9,Paramètres!$A$1:$I$89,5,0)</f>
        <v>-1.8732748685579284E-13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369.23716180779473</v>
      </c>
      <c r="T179" s="59">
        <f t="shared" si="142"/>
        <v>256.03115836031884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130.01751481085398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130.01751481085398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-6.3550942286383367E-14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318.85992789434766</v>
      </c>
      <c r="AO179" s="59">
        <f t="shared" si="144"/>
        <v>285.79375360040717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37.15761797470558</v>
      </c>
      <c r="AV179" s="21">
        <f>EXP(-LN(2)/25)*AV178+(1-EXP(-LN(2)/25))/(LN(2)/25)*Calculateur!AQ179*Calculateur!AS179*VLOOKUP('Données projet'!$B$10,Paramètres!$A$1:$I$89,3,0)*0.475*44/12</f>
        <v>2.4027448514968408</v>
      </c>
      <c r="AW179" s="21">
        <f>EXP(-LN(2)/2)*AW178+(1-EXP(-LN(2)/2))/(LN(2)/2)*AQ179*AT179*VLOOKUP('Données projet'!$B$10,Paramètres!$A$1:$I$89,3,0)*0.475*44/12</f>
        <v>1.7106996462624222E-15</v>
      </c>
      <c r="AX179" s="21">
        <f t="shared" si="166"/>
        <v>39.560362826202422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-1.8474111129762605E-13</v>
      </c>
      <c r="O180" s="13">
        <f>N180*VLOOKUP('Données projet'!$B$9,Paramètres!$A$1:$I$89,3,0)*VLOOKUP('Données projet'!$B$9,Paramètres!$A$1:$I$89,5,0)</f>
        <v>-1.8732748685579284E-13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369.23716180779473</v>
      </c>
      <c r="T180" s="59">
        <f t="shared" si="142"/>
        <v>256.03115836031884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127.46795064826667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127.46795064826667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-6.3550942286383367E-14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318.85992789434766</v>
      </c>
      <c r="AO180" s="59">
        <f t="shared" si="144"/>
        <v>285.79375360040717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36.428979750130694</v>
      </c>
      <c r="AV180" s="21">
        <f>EXP(-LN(2)/25)*AV179+(1-EXP(-LN(2)/25))/(LN(2)/25)*Calculateur!AQ180*Calculateur!AS180*VLOOKUP('Données projet'!$B$10,Paramètres!$A$1:$I$89,3,0)*0.475*44/12</f>
        <v>2.3370416671777994</v>
      </c>
      <c r="AW180" s="21">
        <f>EXP(-LN(2)/2)*AW179+(1-EXP(-LN(2)/2))/(LN(2)/2)*AQ180*AT180*VLOOKUP('Données projet'!$B$10,Paramètres!$A$1:$I$89,3,0)*0.475*44/12</f>
        <v>1.2096473204455868E-15</v>
      </c>
      <c r="AX180" s="21">
        <f t="shared" si="166"/>
        <v>38.766021417308494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-1.8474111129762605E-13</v>
      </c>
      <c r="O181" s="13">
        <f>N181*VLOOKUP('Données projet'!$B$9,Paramètres!$A$1:$I$89,3,0)*VLOOKUP('Données projet'!$B$9,Paramètres!$A$1:$I$89,5,0)</f>
        <v>-1.8732748685579284E-13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369.23716180779473</v>
      </c>
      <c r="T181" s="59">
        <f t="shared" si="142"/>
        <v>256.03115836031884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124.96838188382709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124.96838188382709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-6.3550942286383367E-14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318.85992789434766</v>
      </c>
      <c r="AO181" s="59">
        <f t="shared" si="144"/>
        <v>285.79375360040717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35.714629676714289</v>
      </c>
      <c r="AV181" s="21">
        <f>EXP(-LN(2)/25)*AV180+(1-EXP(-LN(2)/25))/(LN(2)/25)*Calculateur!AQ181*Calculateur!AS181*VLOOKUP('Données projet'!$B$10,Paramètres!$A$1:$I$89,3,0)*0.475*44/12</f>
        <v>2.2731351398891424</v>
      </c>
      <c r="AW181" s="21">
        <f>EXP(-LN(2)/2)*AW180+(1-EXP(-LN(2)/2))/(LN(2)/2)*AQ181*AT181*VLOOKUP('Données projet'!$B$10,Paramètres!$A$1:$I$89,3,0)*0.475*44/12</f>
        <v>8.5534982313121111E-16</v>
      </c>
      <c r="AX181" s="21">
        <f t="shared" si="166"/>
        <v>37.987764816603431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-1.8474111129762605E-13</v>
      </c>
      <c r="O182" s="13">
        <f>N182*VLOOKUP('Données projet'!$B$9,Paramètres!$A$1:$I$89,3,0)*VLOOKUP('Données projet'!$B$9,Paramètres!$A$1:$I$89,5,0)</f>
        <v>-1.8732748685579284E-13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369.23716180779473</v>
      </c>
      <c r="T182" s="59">
        <f t="shared" si="142"/>
        <v>256.03115836031884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122.51782813827178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122.51782813827178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-6.3550942286383367E-14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318.85992789434766</v>
      </c>
      <c r="AO182" s="59">
        <f t="shared" si="144"/>
        <v>285.79375360040717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35.014287572527053</v>
      </c>
      <c r="AV182" s="21">
        <f>EXP(-LN(2)/25)*AV181+(1-EXP(-LN(2)/25))/(LN(2)/25)*Calculateur!AQ182*Calculateur!AS182*VLOOKUP('Données projet'!$B$10,Paramètres!$A$1:$I$89,3,0)*0.475*44/12</f>
        <v>2.2109761399498922</v>
      </c>
      <c r="AW182" s="21">
        <f>EXP(-LN(2)/2)*AW181+(1-EXP(-LN(2)/2))/(LN(2)/2)*AQ182*AT182*VLOOKUP('Données projet'!$B$10,Paramètres!$A$1:$I$89,3,0)*0.475*44/12</f>
        <v>6.0482366022279342E-16</v>
      </c>
      <c r="AX182" s="21">
        <f t="shared" si="166"/>
        <v>37.225263712476945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-1.8474111129762605E-13</v>
      </c>
      <c r="O183" s="13">
        <f>N183*VLOOKUP('Données projet'!$B$9,Paramètres!$A$1:$I$89,3,0)*VLOOKUP('Données projet'!$B$9,Paramètres!$A$1:$I$89,5,0)</f>
        <v>-1.8732748685579284E-13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369.23716180779473</v>
      </c>
      <c r="T183" s="59">
        <f t="shared" si="142"/>
        <v>256.03115836031884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120.11532825697661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120.11532825697661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-6.3550942286383367E-14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318.85992789434766</v>
      </c>
      <c r="AO183" s="59">
        <f t="shared" si="144"/>
        <v>285.79375360040717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34.32767874983643</v>
      </c>
      <c r="AV183" s="21">
        <f>EXP(-LN(2)/25)*AV182+(1-EXP(-LN(2)/25))/(LN(2)/25)*Calculateur!AQ183*Calculateur!AS183*VLOOKUP('Données projet'!$B$10,Paramètres!$A$1:$I$89,3,0)*0.475*44/12</f>
        <v>2.1505168811327806</v>
      </c>
      <c r="AW183" s="21">
        <f>EXP(-LN(2)/2)*AW182+(1-EXP(-LN(2)/2))/(LN(2)/2)*AQ183*AT183*VLOOKUP('Données projet'!$B$10,Paramètres!$A$1:$I$89,3,0)*0.475*44/12</f>
        <v>4.2767491156560556E-16</v>
      </c>
      <c r="AX183" s="21">
        <f t="shared" si="166"/>
        <v>36.478195630969211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-1.8474111129762605E-13</v>
      </c>
      <c r="O184" s="13">
        <f>N184*VLOOKUP('Données projet'!$B$9,Paramètres!$A$1:$I$89,3,0)*VLOOKUP('Données projet'!$B$9,Paramètres!$A$1:$I$89,5,0)</f>
        <v>-1.8732748685579284E-13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369.23716180779473</v>
      </c>
      <c r="T184" s="59">
        <f t="shared" si="142"/>
        <v>256.03115836031884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117.75993993297341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117.75993993297341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-6.3550942286383367E-14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318.85992789434766</v>
      </c>
      <c r="AO184" s="59">
        <f t="shared" si="144"/>
        <v>285.79375360040717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33.654533907368737</v>
      </c>
      <c r="AV184" s="21">
        <f>EXP(-LN(2)/25)*AV183+(1-EXP(-LN(2)/25))/(LN(2)/25)*Calculateur!AQ184*Calculateur!AS184*VLOOKUP('Données projet'!$B$10,Paramètres!$A$1:$I$89,3,0)*0.475*44/12</f>
        <v>2.091710883927437</v>
      </c>
      <c r="AW184" s="21">
        <f>EXP(-LN(2)/2)*AW183+(1-EXP(-LN(2)/2))/(LN(2)/2)*AQ184*AT184*VLOOKUP('Données projet'!$B$10,Paramètres!$A$1:$I$89,3,0)*0.475*44/12</f>
        <v>3.0241183011139671E-16</v>
      </c>
      <c r="AX184" s="21">
        <f t="shared" si="166"/>
        <v>35.746244791296178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-1.8474111129762605E-13</v>
      </c>
      <c r="O185" s="13">
        <f>N185*VLOOKUP('Données projet'!$B$9,Paramètres!$A$1:$I$89,3,0)*VLOOKUP('Données projet'!$B$9,Paramètres!$A$1:$I$89,5,0)</f>
        <v>-1.8732748685579284E-13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369.23716180779473</v>
      </c>
      <c r="T185" s="59">
        <f t="shared" si="142"/>
        <v>256.03115836031884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115.45073933735888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115.45073933735888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-6.3550942286383367E-14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318.85992789434766</v>
      </c>
      <c r="AO185" s="59">
        <f t="shared" si="144"/>
        <v>285.79375360040717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32.994589024684025</v>
      </c>
      <c r="AV185" s="21">
        <f>EXP(-LN(2)/25)*AV184+(1-EXP(-LN(2)/25))/(LN(2)/25)*Calculateur!AQ185*Calculateur!AS185*VLOOKUP('Données projet'!$B$10,Paramètres!$A$1:$I$89,3,0)*0.475*44/12</f>
        <v>2.0345129398081463</v>
      </c>
      <c r="AW185" s="21">
        <f>EXP(-LN(2)/2)*AW184+(1-EXP(-LN(2)/2))/(LN(2)/2)*AQ185*AT185*VLOOKUP('Données projet'!$B$10,Paramètres!$A$1:$I$89,3,0)*0.475*44/12</f>
        <v>2.1383745578280278E-16</v>
      </c>
      <c r="AX185" s="21">
        <f t="shared" si="166"/>
        <v>35.02910196449217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-1.8474111129762605E-13</v>
      </c>
      <c r="O186" s="13">
        <f>N186*VLOOKUP('Données projet'!$B$9,Paramètres!$A$1:$I$89,3,0)*VLOOKUP('Données projet'!$B$9,Paramètres!$A$1:$I$89,5,0)</f>
        <v>-1.8732748685579284E-13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369.23716180779473</v>
      </c>
      <c r="T186" s="59">
        <f t="shared" si="142"/>
        <v>256.03115836031884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113.18682075695106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113.18682075695106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-6.3550942286383367E-14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318.85992789434766</v>
      </c>
      <c r="AO186" s="59">
        <f t="shared" si="144"/>
        <v>285.79375360040717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32.347585258622125</v>
      </c>
      <c r="AV186" s="21">
        <f>EXP(-LN(2)/25)*AV185+(1-EXP(-LN(2)/25))/(LN(2)/25)*Calculateur!AQ186*Calculateur!AS186*VLOOKUP('Données projet'!$B$10,Paramètres!$A$1:$I$89,3,0)*0.475*44/12</f>
        <v>1.978879076478707</v>
      </c>
      <c r="AW186" s="21">
        <f>EXP(-LN(2)/2)*AW185+(1-EXP(-LN(2)/2))/(LN(2)/2)*AQ186*AT186*VLOOKUP('Données projet'!$B$10,Paramètres!$A$1:$I$89,3,0)*0.475*44/12</f>
        <v>1.5120591505569835E-16</v>
      </c>
      <c r="AX186" s="21">
        <f t="shared" si="166"/>
        <v>34.32646433510083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-1.8474111129762605E-13</v>
      </c>
      <c r="O187" s="13">
        <f>N187*VLOOKUP('Données projet'!$B$9,Paramètres!$A$1:$I$89,3,0)*VLOOKUP('Données projet'!$B$9,Paramètres!$A$1:$I$89,5,0)</f>
        <v>-1.8732748685579284E-13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369.23716180779473</v>
      </c>
      <c r="T187" s="59">
        <f t="shared" si="142"/>
        <v>256.03115836031884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110.96729623905107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110.96729623905107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-6.3550942286383367E-14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318.85992789434766</v>
      </c>
      <c r="AO187" s="59">
        <f t="shared" si="144"/>
        <v>285.79375360040717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31.713268841779371</v>
      </c>
      <c r="AV187" s="21">
        <f>EXP(-LN(2)/25)*AV186+(1-EXP(-LN(2)/25))/(LN(2)/25)*Calculateur!AQ187*Calculateur!AS187*VLOOKUP('Données projet'!$B$10,Paramètres!$A$1:$I$89,3,0)*0.475*44/12</f>
        <v>1.9247665240676688</v>
      </c>
      <c r="AW187" s="21">
        <f>EXP(-LN(2)/2)*AW186+(1-EXP(-LN(2)/2))/(LN(2)/2)*AQ187*AT187*VLOOKUP('Données projet'!$B$10,Paramètres!$A$1:$I$89,3,0)*0.475*44/12</f>
        <v>1.0691872789140139E-16</v>
      </c>
      <c r="AX187" s="21">
        <f t="shared" si="166"/>
        <v>33.638035365847038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-1.8474111129762605E-13</v>
      </c>
      <c r="O188" s="13">
        <f>N188*VLOOKUP('Données projet'!$B$9,Paramètres!$A$1:$I$89,3,0)*VLOOKUP('Données projet'!$B$9,Paramètres!$A$1:$I$89,5,0)</f>
        <v>-1.8732748685579284E-13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369.23716180779473</v>
      </c>
      <c r="T188" s="59">
        <f t="shared" si="142"/>
        <v>256.03115836031884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108.79129524317081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108.79129524317081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-6.3550942286383367E-14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318.85992789434766</v>
      </c>
      <c r="AO188" s="59">
        <f t="shared" si="144"/>
        <v>285.79375360040717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31.09139098297609</v>
      </c>
      <c r="AV188" s="21">
        <f>EXP(-LN(2)/25)*AV187+(1-EXP(-LN(2)/25))/(LN(2)/25)*Calculateur!AQ188*Calculateur!AS188*VLOOKUP('Données projet'!$B$10,Paramètres!$A$1:$I$89,3,0)*0.475*44/12</f>
        <v>1.8721336822479659</v>
      </c>
      <c r="AW188" s="21">
        <f>EXP(-LN(2)/2)*AW187+(1-EXP(-LN(2)/2))/(LN(2)/2)*AQ188*AT188*VLOOKUP('Données projet'!$B$10,Paramètres!$A$1:$I$89,3,0)*0.475*44/12</f>
        <v>7.5602957527849177E-17</v>
      </c>
      <c r="AX188" s="21">
        <f t="shared" si="166"/>
        <v>32.963524665224057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-1.8474111129762605E-13</v>
      </c>
      <c r="O189" s="13">
        <f>N189*VLOOKUP('Données projet'!$B$9,Paramètres!$A$1:$I$89,3,0)*VLOOKUP('Données projet'!$B$9,Paramètres!$A$1:$I$89,5,0)</f>
        <v>-1.8732748685579284E-13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369.23716180779473</v>
      </c>
      <c r="T189" s="59">
        <f t="shared" si="142"/>
        <v>256.03115836031884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106.6579642995902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106.6579642995902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-6.3550942286383367E-14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318.85992789434766</v>
      </c>
      <c r="AO189" s="59">
        <f t="shared" si="144"/>
        <v>285.79375360040717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30.4817077696759</v>
      </c>
      <c r="AV189" s="21">
        <f>EXP(-LN(2)/25)*AV188+(1-EXP(-LN(2)/25))/(LN(2)/25)*Calculateur!AQ189*Calculateur!AS189*VLOOKUP('Données projet'!$B$10,Paramètres!$A$1:$I$89,3,0)*0.475*44/12</f>
        <v>1.8209400882556639</v>
      </c>
      <c r="AW189" s="21">
        <f>EXP(-LN(2)/2)*AW188+(1-EXP(-LN(2)/2))/(LN(2)/2)*AQ189*AT189*VLOOKUP('Données projet'!$B$10,Paramètres!$A$1:$I$89,3,0)*0.475*44/12</f>
        <v>5.3459363945700695E-17</v>
      </c>
      <c r="AX189" s="21">
        <f t="shared" si="166"/>
        <v>32.302647857931561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-1.8474111129762605E-13</v>
      </c>
      <c r="O190" s="13">
        <f>N190*VLOOKUP('Données projet'!$B$9,Paramètres!$A$1:$I$89,3,0)*VLOOKUP('Données projet'!$B$9,Paramètres!$A$1:$I$89,5,0)</f>
        <v>-1.8732748685579284E-13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369.23716180779473</v>
      </c>
      <c r="T190" s="59">
        <f t="shared" si="142"/>
        <v>256.03115836031884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104.56646667460983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104.56646667460983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-6.3550942286383367E-14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318.85992789434766</v>
      </c>
      <c r="AO190" s="59">
        <f t="shared" si="144"/>
        <v>285.79375360040717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29.883980072318487</v>
      </c>
      <c r="AV190" s="21">
        <f>EXP(-LN(2)/25)*AV189+(1-EXP(-LN(2)/25))/(LN(2)/25)*Calculateur!AQ190*Calculateur!AS190*VLOOKUP('Données projet'!$B$10,Paramètres!$A$1:$I$89,3,0)*0.475*44/12</f>
        <v>1.7711463857832352</v>
      </c>
      <c r="AW190" s="21">
        <f>EXP(-LN(2)/2)*AW189+(1-EXP(-LN(2)/2))/(LN(2)/2)*AQ190*AT190*VLOOKUP('Données projet'!$B$10,Paramètres!$A$1:$I$89,3,0)*0.475*44/12</f>
        <v>3.7801478763924589E-17</v>
      </c>
      <c r="AX190" s="21">
        <f t="shared" si="166"/>
        <v>31.655126458101723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-1.8474111129762605E-13</v>
      </c>
      <c r="O191" s="13">
        <f>N191*VLOOKUP('Données projet'!$B$9,Paramètres!$A$1:$I$89,3,0)*VLOOKUP('Données projet'!$B$9,Paramètres!$A$1:$I$89,5,0)</f>
        <v>-1.8732748685579284E-13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369.23716180779473</v>
      </c>
      <c r="T191" s="59">
        <f t="shared" si="142"/>
        <v>256.03115836031884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102.51598204236772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102.51598204236772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-6.3550942286383367E-14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318.85992789434766</v>
      </c>
      <c r="AO191" s="59">
        <f t="shared" si="144"/>
        <v>285.79375360040717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29.297973450528357</v>
      </c>
      <c r="AV191" s="21">
        <f>EXP(-LN(2)/25)*AV190+(1-EXP(-LN(2)/25))/(LN(2)/25)*Calculateur!AQ191*Calculateur!AS191*VLOOKUP('Données projet'!$B$10,Paramètres!$A$1:$I$89,3,0)*0.475*44/12</f>
        <v>1.7227142947234522</v>
      </c>
      <c r="AW191" s="21">
        <f>EXP(-LN(2)/2)*AW190+(1-EXP(-LN(2)/2))/(LN(2)/2)*AQ191*AT191*VLOOKUP('Données projet'!$B$10,Paramètres!$A$1:$I$89,3,0)*0.475*44/12</f>
        <v>2.6729681972850347E-17</v>
      </c>
      <c r="AX191" s="21">
        <f t="shared" si="166"/>
        <v>31.020687745251809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-1.8474111129762605E-13</v>
      </c>
      <c r="O192" s="13">
        <f>N192*VLOOKUP('Données projet'!$B$9,Paramètres!$A$1:$I$89,3,0)*VLOOKUP('Données projet'!$B$9,Paramètres!$A$1:$I$89,5,0)</f>
        <v>-1.8732748685579284E-13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369.23716180779473</v>
      </c>
      <c r="T192" s="59">
        <f t="shared" si="142"/>
        <v>256.03115836031884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100.50570616309176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100.50570616309176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-6.3550942286383367E-14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318.85992789434766</v>
      </c>
      <c r="AO192" s="59">
        <f t="shared" si="144"/>
        <v>285.79375360040717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28.723458061162784</v>
      </c>
      <c r="AV192" s="21">
        <f>EXP(-LN(2)/25)*AV191+(1-EXP(-LN(2)/25))/(LN(2)/25)*Calculateur!AQ192*Calculateur!AS192*VLOOKUP('Données projet'!$B$10,Paramètres!$A$1:$I$89,3,0)*0.475*44/12</f>
        <v>1.6756065817406318</v>
      </c>
      <c r="AW192" s="21">
        <f>EXP(-LN(2)/2)*AW191+(1-EXP(-LN(2)/2))/(LN(2)/2)*AQ192*AT192*VLOOKUP('Données projet'!$B$10,Paramètres!$A$1:$I$89,3,0)*0.475*44/12</f>
        <v>1.8900739381962294E-17</v>
      </c>
      <c r="AX192" s="21">
        <f t="shared" si="166"/>
        <v>30.399064642903415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-1.8474111129762605E-13</v>
      </c>
      <c r="O193" s="13">
        <f>N193*VLOOKUP('Données projet'!$B$9,Paramètres!$A$1:$I$89,3,0)*VLOOKUP('Données projet'!$B$9,Paramètres!$A$1:$I$89,5,0)</f>
        <v>-1.8732748685579284E-13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369.23716180779473</v>
      </c>
      <c r="T193" s="59">
        <f t="shared" si="142"/>
        <v>256.03115836031884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98.534850567661181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98.534850567661181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-6.3550942286383367E-14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318.85992789434766</v>
      </c>
      <c r="AO193" s="59">
        <f t="shared" si="144"/>
        <v>285.79375360040717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28.160208568162883</v>
      </c>
      <c r="AV193" s="21">
        <f>EXP(-LN(2)/25)*AV192+(1-EXP(-LN(2)/25))/(LN(2)/25)*Calculateur!AQ193*Calculateur!AS193*VLOOKUP('Données projet'!$B$10,Paramètres!$A$1:$I$89,3,0)*0.475*44/12</f>
        <v>1.6297870316466136</v>
      </c>
      <c r="AW193" s="21">
        <f>EXP(-LN(2)/2)*AW192+(1-EXP(-LN(2)/2))/(LN(2)/2)*AQ193*AT193*VLOOKUP('Données projet'!$B$10,Paramètres!$A$1:$I$89,3,0)*0.475*44/12</f>
        <v>1.3364840986425174E-17</v>
      </c>
      <c r="AX193" s="21">
        <f t="shared" si="166"/>
        <v>29.789995599809497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-1.8474111129762605E-13</v>
      </c>
      <c r="O194" s="13">
        <f>N194*VLOOKUP('Données projet'!$B$9,Paramètres!$A$1:$I$89,3,0)*VLOOKUP('Données projet'!$B$9,Paramètres!$A$1:$I$89,5,0)</f>
        <v>-1.8732748685579284E-13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369.23716180779473</v>
      </c>
      <c r="T194" s="59">
        <f t="shared" si="142"/>
        <v>256.03115836031884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96.602642248353774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96.602642248353774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-6.3550942286383367E-14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318.85992789434766</v>
      </c>
      <c r="AO194" s="59">
        <f t="shared" si="144"/>
        <v>285.79375360040717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27.608004054172444</v>
      </c>
      <c r="AV194" s="21">
        <f>EXP(-LN(2)/25)*AV193+(1-EXP(-LN(2)/25))/(LN(2)/25)*Calculateur!AQ194*Calculateur!AS194*VLOOKUP('Données projet'!$B$10,Paramètres!$A$1:$I$89,3,0)*0.475*44/12</f>
        <v>1.5852204195594619</v>
      </c>
      <c r="AW194" s="21">
        <f>EXP(-LN(2)/2)*AW193+(1-EXP(-LN(2)/2))/(LN(2)/2)*AQ194*AT194*VLOOKUP('Données projet'!$B$10,Paramètres!$A$1:$I$89,3,0)*0.475*44/12</f>
        <v>9.4503696909811471E-18</v>
      </c>
      <c r="AX194" s="21">
        <f t="shared" si="166"/>
        <v>29.193224473731906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-1.8474111129762605E-13</v>
      </c>
      <c r="O195" s="13">
        <f>N195*VLOOKUP('Données projet'!$B$9,Paramètres!$A$1:$I$89,3,0)*VLOOKUP('Données projet'!$B$9,Paramètres!$A$1:$I$89,5,0)</f>
        <v>-1.8732748685579284E-13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369.23716180779473</v>
      </c>
      <c r="T195" s="59">
        <f t="shared" si="142"/>
        <v>256.03115836031884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94.708323355657285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94.708323355657285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-6.3550942286383367E-14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318.85992789434766</v>
      </c>
      <c r="AO195" s="59">
        <f t="shared" si="144"/>
        <v>285.79375360040717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27.066627933889862</v>
      </c>
      <c r="AV195" s="21">
        <f>EXP(-LN(2)/25)*AV194+(1-EXP(-LN(2)/25))/(LN(2)/25)*Calculateur!AQ195*Calculateur!AS195*VLOOKUP('Données projet'!$B$10,Paramètres!$A$1:$I$89,3,0)*0.475*44/12</f>
        <v>1.5418724838234896</v>
      </c>
      <c r="AW195" s="21">
        <f>EXP(-LN(2)/2)*AW194+(1-EXP(-LN(2)/2))/(LN(2)/2)*AQ195*AT195*VLOOKUP('Données projet'!$B$10,Paramètres!$A$1:$I$89,3,0)*0.475*44/12</f>
        <v>6.6824204932125868E-18</v>
      </c>
      <c r="AX195" s="21">
        <f t="shared" si="166"/>
        <v>28.608500417713351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-1.8474111129762605E-13</v>
      </c>
      <c r="O196" s="13">
        <f>N196*VLOOKUP('Données projet'!$B$9,Paramètres!$A$1:$I$89,3,0)*VLOOKUP('Données projet'!$B$9,Paramètres!$A$1:$I$89,5,0)</f>
        <v>-1.8732748685579284E-13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369.23716180779473</v>
      </c>
      <c r="T196" s="59">
        <f t="shared" si="142"/>
        <v>256.03115836031884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92.851150901026131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92.851150901026131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-6.3550942286383367E-14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318.85992789434766</v>
      </c>
      <c r="AO196" s="59">
        <f t="shared" si="144"/>
        <v>285.79375360040717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26.53586786911919</v>
      </c>
      <c r="AV196" s="21">
        <f>EXP(-LN(2)/25)*AV195+(1-EXP(-LN(2)/25))/(LN(2)/25)*Calculateur!AQ196*Calculateur!AS196*VLOOKUP('Données projet'!$B$10,Paramètres!$A$1:$I$89,3,0)*0.475*44/12</f>
        <v>1.4997098996697864</v>
      </c>
      <c r="AW196" s="21">
        <f>EXP(-LN(2)/2)*AW195+(1-EXP(-LN(2)/2))/(LN(2)/2)*AQ196*AT196*VLOOKUP('Données projet'!$B$10,Paramètres!$A$1:$I$89,3,0)*0.475*44/12</f>
        <v>4.7251848454905736E-18</v>
      </c>
      <c r="AX196" s="21">
        <f t="shared" si="166"/>
        <v>28.035577768788976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-1.8474111129762605E-13</v>
      </c>
      <c r="O197" s="13">
        <f>N197*VLOOKUP('Données projet'!$B$9,Paramètres!$A$1:$I$89,3,0)*VLOOKUP('Données projet'!$B$9,Paramètres!$A$1:$I$89,5,0)</f>
        <v>-1.8732748685579284E-13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369.23716180779473</v>
      </c>
      <c r="T197" s="59">
        <f t="shared" ref="T197:T203" si="204">$T$3</f>
        <v>256.03115836031884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91.03039646546695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91.03039646546695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-6.3550942286383367E-14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318.85992789434766</v>
      </c>
      <c r="AO197" s="59">
        <f t="shared" ref="AO197:AO203" si="205">$AO$3</f>
        <v>285.79375360040717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26.015515685486999</v>
      </c>
      <c r="AV197" s="21">
        <f>EXP(-LN(2)/25)*AV196+(1-EXP(-LN(2)/25))/(LN(2)/25)*Calculateur!AQ197*Calculateur!AS197*VLOOKUP('Données projet'!$B$10,Paramètres!$A$1:$I$89,3,0)*0.475*44/12</f>
        <v>1.4587002535970002</v>
      </c>
      <c r="AW197" s="21">
        <f>EXP(-LN(2)/2)*AW196+(1-EXP(-LN(2)/2))/(LN(2)/2)*AQ197*AT197*VLOOKUP('Données projet'!$B$10,Paramètres!$A$1:$I$89,3,0)*0.475*44/12</f>
        <v>3.3412102466062934E-18</v>
      </c>
      <c r="AX197" s="21">
        <f t="shared" si="166"/>
        <v>27.474215939084001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-1.8474111129762605E-13</v>
      </c>
      <c r="O198" s="13">
        <f>N198*VLOOKUP('Données projet'!$B$9,Paramètres!$A$1:$I$89,3,0)*VLOOKUP('Données projet'!$B$9,Paramètres!$A$1:$I$89,5,0)</f>
        <v>-1.8732748685579284E-13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369.23716180779473</v>
      </c>
      <c r="T198" s="59">
        <f t="shared" si="204"/>
        <v>256.03115836031884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89.245345913838534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89.245345913838534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-6.3550942286383367E-14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318.85992789434766</v>
      </c>
      <c r="AO198" s="59">
        <f t="shared" si="205"/>
        <v>285.79375360040717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25.505367290792343</v>
      </c>
      <c r="AV198" s="21">
        <f>EXP(-LN(2)/25)*AV197+(1-EXP(-LN(2)/25))/(LN(2)/25)*Calculateur!AQ198*Calculateur!AS198*VLOOKUP('Données projet'!$B$10,Paramètres!$A$1:$I$89,3,0)*0.475*44/12</f>
        <v>1.4188120184526778</v>
      </c>
      <c r="AW198" s="21">
        <f>EXP(-LN(2)/2)*AW197+(1-EXP(-LN(2)/2))/(LN(2)/2)*AQ198*AT198*VLOOKUP('Données projet'!$B$10,Paramètres!$A$1:$I$89,3,0)*0.475*44/12</f>
        <v>2.3625924227452868E-18</v>
      </c>
      <c r="AX198" s="21">
        <f t="shared" si="166"/>
        <v>26.924179309245019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-1.8474111129762605E-13</v>
      </c>
      <c r="O199" s="13">
        <f>N199*VLOOKUP('Données projet'!$B$9,Paramètres!$A$1:$I$89,3,0)*VLOOKUP('Données projet'!$B$9,Paramètres!$A$1:$I$89,5,0)</f>
        <v>-1.8732748685579284E-13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369.23716180779473</v>
      </c>
      <c r="T199" s="59">
        <f t="shared" si="204"/>
        <v>256.03115836031884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87.495299114754232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87.495299114754232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-6.3550942286383367E-14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318.85992789434766</v>
      </c>
      <c r="AO199" s="59">
        <f t="shared" si="205"/>
        <v>285.79375360040717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25.005222594957853</v>
      </c>
      <c r="AV199" s="21">
        <f>EXP(-LN(2)/25)*AV198+(1-EXP(-LN(2)/25))/(LN(2)/25)*Calculateur!AQ199*Calculateur!AS199*VLOOKUP('Données projet'!$B$10,Paramètres!$A$1:$I$89,3,0)*0.475*44/12</f>
        <v>1.380014529196008</v>
      </c>
      <c r="AW199" s="21">
        <f>EXP(-LN(2)/2)*AW198+(1-EXP(-LN(2)/2))/(LN(2)/2)*AQ199*AT199*VLOOKUP('Données projet'!$B$10,Paramètres!$A$1:$I$89,3,0)*0.475*44/12</f>
        <v>1.6706051233031467E-18</v>
      </c>
      <c r="AX199" s="21">
        <f t="shared" si="166"/>
        <v>26.385237124153861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-1.8474111129762605E-13</v>
      </c>
      <c r="O200" s="13">
        <f>N200*VLOOKUP('Données projet'!$B$9,Paramètres!$A$1:$I$89,3,0)*VLOOKUP('Données projet'!$B$9,Paramètres!$A$1:$I$89,5,0)</f>
        <v>-1.8732748685579284E-13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369.23716180779473</v>
      </c>
      <c r="T200" s="59">
        <f t="shared" si="204"/>
        <v>256.03115836031884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85.779569665976823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85.779569665976823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-6.3550942286383367E-14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318.85992789434766</v>
      </c>
      <c r="AO200" s="59">
        <f t="shared" si="205"/>
        <v>285.79375360040717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24.514885431550535</v>
      </c>
      <c r="AV200" s="21">
        <f>EXP(-LN(2)/25)*AV199+(1-EXP(-LN(2)/25))/(LN(2)/25)*Calculateur!AQ200*Calculateur!AS200*VLOOKUP('Données projet'!$B$10,Paramètres!$A$1:$I$89,3,0)*0.475*44/12</f>
        <v>1.3422779593233332</v>
      </c>
      <c r="AW200" s="21">
        <f>EXP(-LN(2)/2)*AW199+(1-EXP(-LN(2)/2))/(LN(2)/2)*AQ200*AT200*VLOOKUP('Données projet'!$B$10,Paramètres!$A$1:$I$89,3,0)*0.475*44/12</f>
        <v>1.1812962113726434E-18</v>
      </c>
      <c r="AX200" s="21">
        <f t="shared" si="166"/>
        <v>25.857163390873868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-1.8474111129762605E-13</v>
      </c>
      <c r="O201" s="13">
        <f>N201*VLOOKUP('Données projet'!$B$9,Paramètres!$A$1:$I$89,3,0)*VLOOKUP('Données projet'!$B$9,Paramètres!$A$1:$I$89,5,0)</f>
        <v>-1.8732748685579284E-13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369.23716180779473</v>
      </c>
      <c r="T201" s="59">
        <f t="shared" si="204"/>
        <v>256.03115836031884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84.097484625198305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84.097484625198305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-6.3550942286383367E-14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318.85992789434766</v>
      </c>
      <c r="AO201" s="59">
        <f t="shared" si="205"/>
        <v>285.79375360040717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24.034163480841496</v>
      </c>
      <c r="AV201" s="21">
        <f>EXP(-LN(2)/25)*AV200+(1-EXP(-LN(2)/25))/(LN(2)/25)*Calculateur!AQ201*Calculateur!AS201*VLOOKUP('Données projet'!$B$10,Paramètres!$A$1:$I$89,3,0)*0.475*44/12</f>
        <v>1.3055732979383066</v>
      </c>
      <c r="AW201" s="21">
        <f>EXP(-LN(2)/2)*AW200+(1-EXP(-LN(2)/2))/(LN(2)/2)*AQ201*AT201*VLOOKUP('Données projet'!$B$10,Paramètres!$A$1:$I$89,3,0)*0.475*44/12</f>
        <v>8.3530256165157335E-19</v>
      </c>
      <c r="AX201" s="21">
        <f t="shared" si="166"/>
        <v>25.339736778779802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-1.8474111129762605E-13</v>
      </c>
      <c r="O202" s="13">
        <f>N202*VLOOKUP('Données projet'!$B$9,Paramètres!$A$1:$I$89,3,0)*VLOOKUP('Données projet'!$B$9,Paramètres!$A$1:$I$89,5,0)</f>
        <v>-1.8732748685579284E-13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369.23716180779473</v>
      </c>
      <c r="T202" s="59">
        <f t="shared" si="204"/>
        <v>256.03115836031884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82.448384246098882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82.448384246098882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-6.3550942286383367E-14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318.85992789434766</v>
      </c>
      <c r="AO202" s="59">
        <f t="shared" si="205"/>
        <v>285.79375360040717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23.562868194374424</v>
      </c>
      <c r="AV202" s="21">
        <f>EXP(-LN(2)/25)*AV201+(1-EXP(-LN(2)/25))/(LN(2)/25)*Calculateur!AQ202*Calculateur!AS202*VLOOKUP('Données projet'!$B$10,Paramètres!$A$1:$I$89,3,0)*0.475*44/12</f>
        <v>1.2698723274490678</v>
      </c>
      <c r="AW202" s="21">
        <f>EXP(-LN(2)/2)*AW201+(1-EXP(-LN(2)/2))/(LN(2)/2)*AQ202*AT202*VLOOKUP('Données projet'!$B$10,Paramètres!$A$1:$I$89,3,0)*0.475*44/12</f>
        <v>5.906481056863217E-19</v>
      </c>
      <c r="AX202" s="21">
        <f t="shared" si="166"/>
        <v>24.832740521823492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-1.8474111129762605E-13</v>
      </c>
      <c r="O203" s="13">
        <f>N203*VLOOKUP('Données projet'!$B$9,Paramètres!$A$1:$I$89,3,0)*VLOOKUP('Données projet'!$B$9,Paramètres!$A$1:$I$89,5,0)</f>
        <v>-1.8732748685579284E-13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369.23716180779473</v>
      </c>
      <c r="T203" s="59">
        <f t="shared" si="204"/>
        <v>256.03115836031884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80.83162171958169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80.83162171958169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-6.3550942286383367E-14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318.85992789434766</v>
      </c>
      <c r="AO203" s="59">
        <f t="shared" si="205"/>
        <v>285.79375360040717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23.100814721013229</v>
      </c>
      <c r="AV203" s="21">
        <f>EXP(-LN(2)/25)*AV202+(1-EXP(-LN(2)/25))/(LN(2)/25)*Calculateur!AQ203*Calculateur!AS203*VLOOKUP('Données projet'!$B$10,Paramètres!$A$1:$I$89,3,0)*0.475*44/12</f>
        <v>1.2351476018752896</v>
      </c>
      <c r="AW203" s="21">
        <f>EXP(-LN(2)/2)*AW202+(1-EXP(-LN(2)/2))/(LN(2)/2)*AQ203*AT203*VLOOKUP('Données projet'!$B$10,Paramètres!$A$1:$I$89,3,0)*0.475*44/12</f>
        <v>4.1765128082578668E-19</v>
      </c>
      <c r="AX203" s="21">
        <f t="shared" si="166"/>
        <v>24.33596232288852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1.1267530431577886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1.2854795418236975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22" sqref="I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pubescent</v>
      </c>
      <c r="B6" s="146">
        <f>'Données projet'!D9</f>
        <v>3.9401999999999999</v>
      </c>
      <c r="C6" s="147">
        <f ca="1">IF(OR('Données projet'!B9="",'Données projet'!C9="",'Données projet'!C9=0%),0,Calculateur!S3)</f>
        <v>369.23716180779473</v>
      </c>
      <c r="D6" s="147">
        <f>IF(OR('Données projet'!B9="",'Données projet'!C9="",'Données projet'!C9=0%),0,Calculateur!T3)</f>
        <v>256.03115836031884</v>
      </c>
      <c r="E6" s="147">
        <f ca="1">MIN(C6,D6)</f>
        <v>256.03115836031884</v>
      </c>
      <c r="F6" s="147">
        <f ca="1">E6*B6</f>
        <v>1008.8139701713283</v>
      </c>
      <c r="G6" s="147">
        <f ca="1">F6*(100%-'Données projet'!$C$24)*(100%-'Données projet'!$C$25)*(100%-'Données projet'!$C$26)*(100%-'Données projet'!$C$27)</f>
        <v>907.93257315419544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907.93257315419544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Douglas</v>
      </c>
      <c r="B7" s="154">
        <f>'Données projet'!D10</f>
        <v>2.0298000000000003</v>
      </c>
      <c r="C7" s="147">
        <f ca="1">IF(OR('Données projet'!B10="",'Données projet'!C10="",'Données projet'!C10=0%),0,Calculateur!AN3)</f>
        <v>318.85992789434766</v>
      </c>
      <c r="D7" s="147">
        <f>IF(OR('Données projet'!B10="",'Données projet'!C10="",'Données projet'!C10=0%),0,Calculateur!AO3)</f>
        <v>285.79375360040717</v>
      </c>
      <c r="E7" s="147">
        <f t="shared" ref="E7:E15" ca="1" si="0">MIN(C7,D7)</f>
        <v>285.79375360040717</v>
      </c>
      <c r="F7" s="147">
        <f t="shared" ref="F7:F15" ca="1" si="1">E7*B7</f>
        <v>580.10416105810657</v>
      </c>
      <c r="G7" s="147">
        <f ca="1">F7*(100%-'Données projet'!$C$24)*(100%-'Données projet'!$C$25)*(100%-'Données projet'!$C$26)*(100%-'Données projet'!$C$27)</f>
        <v>522.09374495229588</v>
      </c>
      <c r="H7" s="155">
        <f>IF(OR('Données projet'!B10="",'Données projet'!C10="",'Données projet'!C10=0%),0,AVERAGE(Calculateur!$AX$3:$AX$33)*B7)</f>
        <v>18.001980695355268</v>
      </c>
      <c r="I7" s="149">
        <f>H7*(100%-'Données projet'!$C$24)*(100%-'Données projet'!$C$25)*(100%-'Données projet'!$C$26)*(100%-'Données projet'!$C$27)</f>
        <v>16.201782625819742</v>
      </c>
      <c r="J7" s="150">
        <f>IF(OR('Données projet'!B10="",'Données projet'!C10="",'Données projet'!C10=0%),0,SUM(Calculateur!$AQ$3:$AQ$33)*VLOOKUP('Données projet'!$B$10,Paramètres!$A$1:$I$89,9,0)*B7)</f>
        <v>115.37728266000001</v>
      </c>
      <c r="K7" s="151">
        <f>J7*(100%-'Données projet'!$C$24)*(100%-'Données projet'!$C$25)*(100%-'Données projet'!$C$26)*(100%-'Données projet'!$C$27)</f>
        <v>103.839554394</v>
      </c>
      <c r="L7" s="152">
        <f t="shared" ref="L7:L15" ca="1" si="2">G7+I7+K7</f>
        <v>642.13508197211559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1588.9181312294349</v>
      </c>
      <c r="G16" s="166">
        <f t="shared" ca="1" si="3"/>
        <v>1430.0263181064913</v>
      </c>
      <c r="H16" s="167">
        <f t="shared" si="3"/>
        <v>18.001980695355268</v>
      </c>
      <c r="I16" s="167">
        <f t="shared" si="3"/>
        <v>16.201782625819742</v>
      </c>
      <c r="J16" s="168">
        <f t="shared" si="3"/>
        <v>115.37728266000001</v>
      </c>
      <c r="K16" s="168">
        <f t="shared" si="3"/>
        <v>103.839554394</v>
      </c>
      <c r="L16" s="169">
        <f t="shared" ca="1" si="3"/>
        <v>1550.0676551263109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5" zoomScale="107" zoomScaleNormal="80" workbookViewId="0">
      <selection activeCell="C302" sqref="C302:C321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-2204.2154868321163</v>
      </c>
      <c r="U10" s="178">
        <f>'Données projet'!D9</f>
        <v>3.9401999999999999</v>
      </c>
      <c r="V10" s="177">
        <f>U10*T10</f>
        <v>-8685.0498612159045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Douglas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2353.5464739443109</v>
      </c>
      <c r="U11" s="178">
        <f>'Données projet'!D10</f>
        <v>2.0298000000000003</v>
      </c>
      <c r="V11" s="177">
        <f t="shared" ref="V11" si="0">U11*T11</f>
        <v>4777.2286328121627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>
        <v>0</v>
      </c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3836.45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426</f>
        <v>426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450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450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44</v>
      </c>
      <c r="B23" s="181">
        <f>'Données projet'!D36</f>
        <v>74.010000000000005</v>
      </c>
      <c r="C23" s="193">
        <f>225*'Données projet'!E36+13.8*('Données projet'!F36+'Données projet'!G36)+10*'Données projet'!G36</f>
        <v>45</v>
      </c>
      <c r="D23" s="182">
        <f>B23*C23</f>
        <v>3330.4500000000003</v>
      </c>
      <c r="E23" s="193"/>
      <c r="F23" s="229"/>
      <c r="H23" s="190">
        <v>3</v>
      </c>
      <c r="I23" s="191">
        <v>480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-13993.078688111897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51</v>
      </c>
      <c r="B24" s="181">
        <f>'Données projet'!D37</f>
        <v>46.13</v>
      </c>
      <c r="C24" s="193">
        <f>225*'Données projet'!E37+13.8*('Données projet'!F37+'Données projet'!G37)+10*'Données projet'!G37</f>
        <v>45</v>
      </c>
      <c r="D24" s="182">
        <f t="shared" ref="D24:D42" si="2">B24*C24</f>
        <v>2075.85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478.19702777304229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59</v>
      </c>
      <c r="B25" s="181">
        <f>'Données projet'!D38</f>
        <v>48.96</v>
      </c>
      <c r="C25" s="193">
        <f>225*'Données projet'!E38+13.8*('Données projet'!F38+'Données projet'!G38)+10*'Données projet'!G38</f>
        <v>67.5</v>
      </c>
      <c r="D25" s="182">
        <f t="shared" si="2"/>
        <v>3304.8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-14471.275715884938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67</v>
      </c>
      <c r="B26" s="181">
        <f>'Données projet'!D39</f>
        <v>40.630000000000003</v>
      </c>
      <c r="C26" s="193">
        <f>225*'Données projet'!E39+13.8*('Données projet'!F39+'Données projet'!G39)+10*'Données projet'!G39</f>
        <v>67.5</v>
      </c>
      <c r="D26" s="182">
        <f t="shared" si="2"/>
        <v>2742.5250000000001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75</v>
      </c>
      <c r="B27" s="181">
        <f>'Données projet'!D40</f>
        <v>39.54</v>
      </c>
      <c r="C27" s="193">
        <f>225*'Données projet'!E40+13.8*('Données projet'!F40+'Données projet'!G40)+10*'Données projet'!G40</f>
        <v>90</v>
      </c>
      <c r="D27" s="182">
        <f t="shared" si="2"/>
        <v>3558.6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84</v>
      </c>
      <c r="B28" s="181">
        <f>'Données projet'!D41</f>
        <v>44.89</v>
      </c>
      <c r="C28" s="193">
        <f>225*'Données projet'!E41+13.8*('Données projet'!F41+'Données projet'!G41)+10*'Données projet'!G41</f>
        <v>90</v>
      </c>
      <c r="D28" s="182">
        <f t="shared" si="2"/>
        <v>4040.1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93</v>
      </c>
      <c r="B29" s="181">
        <f>'Données projet'!D42</f>
        <v>38.57</v>
      </c>
      <c r="C29" s="193">
        <f>225*'Données projet'!E42+13.8*('Données projet'!F42+'Données projet'!G42)+10*'Données projet'!G42</f>
        <v>112.5</v>
      </c>
      <c r="D29" s="182">
        <f t="shared" si="2"/>
        <v>4339.125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103</v>
      </c>
      <c r="B30" s="181">
        <f>'Données projet'!D43</f>
        <v>50.51</v>
      </c>
      <c r="C30" s="193">
        <f>225*'Données projet'!E43+13.8*('Données projet'!F43+'Données projet'!G43)+10*'Données projet'!G43</f>
        <v>112.5</v>
      </c>
      <c r="D30" s="182">
        <f t="shared" si="2"/>
        <v>5682.375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113</v>
      </c>
      <c r="B31" s="181">
        <f>'Données projet'!D44</f>
        <v>40.479999999999997</v>
      </c>
      <c r="C31" s="193">
        <f>225*'Données projet'!E44+13.8*('Données projet'!F44+'Données projet'!G44)+10*'Données projet'!G44</f>
        <v>135</v>
      </c>
      <c r="D31" s="182">
        <f t="shared" si="2"/>
        <v>5464.7999999999993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125</v>
      </c>
      <c r="B32" s="181">
        <f>'Données projet'!D45</f>
        <v>61.5</v>
      </c>
      <c r="C32" s="193">
        <f>225*'Données projet'!E45+13.8*('Données projet'!F45+'Données projet'!G45)+10*'Données projet'!G45</f>
        <v>135</v>
      </c>
      <c r="D32" s="182">
        <f t="shared" si="2"/>
        <v>8302.5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137</v>
      </c>
      <c r="B33" s="181">
        <f>'Données projet'!D46</f>
        <v>65.53</v>
      </c>
      <c r="C33" s="193">
        <f>225*'Données projet'!E46+13.8*('Données projet'!F46+'Données projet'!G46)+10*'Données projet'!G46</f>
        <v>157.5</v>
      </c>
      <c r="D33" s="182">
        <f t="shared" si="2"/>
        <v>10320.975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149</v>
      </c>
      <c r="B34" s="181">
        <f>'Données projet'!D47</f>
        <v>153.56</v>
      </c>
      <c r="C34" s="193">
        <f>225*'Données projet'!E47+13.8*('Données projet'!F47+'Données projet'!G47)+10*'Données projet'!G47</f>
        <v>157.5</v>
      </c>
      <c r="D34" s="182">
        <f t="shared" si="2"/>
        <v>24185.7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153</v>
      </c>
      <c r="B35" s="181">
        <f>'Données projet'!D48</f>
        <v>89.29</v>
      </c>
      <c r="C35" s="193">
        <f>225*'Données projet'!E48+13.8*('Données projet'!F48+'Données projet'!G48)+10*'Données projet'!G48</f>
        <v>180</v>
      </c>
      <c r="D35" s="182">
        <f t="shared" si="2"/>
        <v>16072.2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157</v>
      </c>
      <c r="B36" s="181">
        <f>'Données projet'!D49</f>
        <v>57.95</v>
      </c>
      <c r="C36" s="193">
        <f>225*'Données projet'!E49+13.8*('Données projet'!F49+'Données projet'!G49)+10*'Données projet'!G49</f>
        <v>180</v>
      </c>
      <c r="D36" s="182">
        <f t="shared" si="2"/>
        <v>10431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161</v>
      </c>
      <c r="B37" s="181">
        <f>'Données projet'!D50</f>
        <v>115.43</v>
      </c>
      <c r="C37" s="193">
        <f>225*'Données projet'!E50+13.8*('Données projet'!F50+'Données projet'!G50)+10*'Données projet'!G50</f>
        <v>180</v>
      </c>
      <c r="D37" s="182">
        <f t="shared" si="2"/>
        <v>20777.400000000001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225*'Données projet'!E51+13.8*('Données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225*'Données projet'!E52+13.8*('Données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225*'Données projet'!E54+13.8*('Données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225*'Données projet'!E55+13.8*('Données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2617.84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21</v>
      </c>
      <c r="B54" s="181">
        <f>'Données projet'!D62</f>
        <v>64.58</v>
      </c>
      <c r="C54" s="191">
        <f>67*'Données projet'!E62+19.4*('Données projet'!F62+'Données projet'!G62)+10*'Données projet'!H62</f>
        <v>19.399999999999999</v>
      </c>
      <c r="D54" s="179">
        <f>B54*C54</f>
        <v>1252.8519999999999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28</v>
      </c>
      <c r="B55" s="181">
        <f>'Données projet'!D63</f>
        <v>67.61</v>
      </c>
      <c r="C55" s="191">
        <f>67*'Données projet'!E63+19.4*('Données projet'!F63+'Données projet'!G63)+10*'Données projet'!H63</f>
        <v>28.92</v>
      </c>
      <c r="D55" s="179">
        <f t="shared" ref="D55:D73" si="4">B55*C55</f>
        <v>1955.2812000000001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35</v>
      </c>
      <c r="B56" s="181">
        <f>'Données projet'!D64</f>
        <v>86.68</v>
      </c>
      <c r="C56" s="191">
        <f>67*'Données projet'!E64+19.4*('Données projet'!F64+'Données projet'!G64)+10*'Données projet'!H64</f>
        <v>38.44</v>
      </c>
      <c r="D56" s="179">
        <f t="shared" si="4"/>
        <v>3331.9792000000002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42</v>
      </c>
      <c r="B57" s="181">
        <f>'Données projet'!D65</f>
        <v>99.98</v>
      </c>
      <c r="C57" s="191">
        <f>67*'Données projet'!E65+19.4*('Données projet'!F65+'Données projet'!G65)+10*'Données projet'!H65</f>
        <v>43.2</v>
      </c>
      <c r="D57" s="179">
        <f t="shared" si="4"/>
        <v>4319.1360000000004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49</v>
      </c>
      <c r="B58" s="181">
        <f>'Données projet'!D66</f>
        <v>112.61</v>
      </c>
      <c r="C58" s="191">
        <f>67*'Données projet'!E66+19.4*('Données projet'!F66+'Données projet'!G66)+10*'Données projet'!H66</f>
        <v>47.959999999999994</v>
      </c>
      <c r="D58" s="179">
        <f t="shared" si="4"/>
        <v>5400.775599999999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56</v>
      </c>
      <c r="B59" s="181">
        <f>'Données projet'!D67</f>
        <v>94.57</v>
      </c>
      <c r="C59" s="191">
        <f>67*'Données projet'!E67+19.4*('Données projet'!F67+'Données projet'!G67)+10*'Données projet'!H67</f>
        <v>52.72</v>
      </c>
      <c r="D59" s="179">
        <f t="shared" si="4"/>
        <v>4985.7303999999995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63</v>
      </c>
      <c r="B60" s="181">
        <f>'Données projet'!D68</f>
        <v>99.49</v>
      </c>
      <c r="C60" s="191">
        <f>67*'Données projet'!E68+19.4*('Données projet'!F68+'Données projet'!G68)+10*'Données projet'!H68</f>
        <v>57.480000000000004</v>
      </c>
      <c r="D60" s="179">
        <f t="shared" si="4"/>
        <v>5718.6851999999999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70</v>
      </c>
      <c r="B61" s="181">
        <f>'Données projet'!D69</f>
        <v>586.05999999999995</v>
      </c>
      <c r="C61" s="191">
        <f>67*'Données projet'!E69+19.4*('Données projet'!F69+'Données projet'!G69)+10*'Données projet'!H69</f>
        <v>62.24</v>
      </c>
      <c r="D61" s="179">
        <f t="shared" si="4"/>
        <v>36476.374400000001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67*'Données projet'!E70+19.4*('Données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67*'Données projet'!E71+19.4*('Données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67*'Données projet'!E72+19.4*('Données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67*'Données projet'!E73+19.4*('Données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67*'Données projet'!E74+19.4*('Données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67*'Données projet'!E75+19.4*('Données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67*'Données projet'!E76+19.4*('Données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67*'Données projet'!E77+19.4*('Données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67*'Données projet'!E78+19.4*('Données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67*'Données projet'!E79+19.4*('Données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67*'Données projet'!E80+19.4*('Données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67*'Données projet'!E81+19.4*('Données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/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2024-10-14T15:23:12Z</dcterms:modified>
</cp:coreProperties>
</file>