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Nextcloud\Documents partagés C+FOR\Geoffroy\Projets\Projets C+for\CNPF C+for n° 232 Tour de France 2025 Chauvigné (A.S.O. n° 44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3" i="1" l="1"/>
  <c r="D133" i="1" s="1"/>
  <c r="B132" i="1"/>
  <c r="D131" i="1"/>
  <c r="B131" i="1"/>
  <c r="B130" i="1"/>
  <c r="D129" i="1"/>
  <c r="B129" i="1"/>
  <c r="B128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B115" i="1"/>
  <c r="B114" i="1"/>
  <c r="B69" i="1" l="1"/>
  <c r="D68" i="1"/>
  <c r="B68" i="1"/>
  <c r="B67" i="1"/>
  <c r="D66" i="1"/>
  <c r="B66" i="1"/>
  <c r="B65" i="1"/>
  <c r="D64" i="1"/>
  <c r="B64" i="1"/>
  <c r="B63" i="1"/>
  <c r="B43" i="1"/>
  <c r="D42" i="1"/>
  <c r="B42" i="1"/>
  <c r="B41" i="1"/>
  <c r="D40" i="1"/>
  <c r="B40" i="1"/>
  <c r="B39" i="1"/>
  <c r="D38" i="1"/>
  <c r="B38" i="1"/>
  <c r="B37" i="1"/>
  <c r="D142" i="1" l="1"/>
  <c r="B142" i="1"/>
  <c r="B141" i="1"/>
  <c r="D101" i="1" l="1"/>
  <c r="B101" i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69" i="2"/>
  <c r="CD162" i="2"/>
  <c r="CD150" i="2"/>
  <c r="CD178" i="2"/>
  <c r="CD83" i="2"/>
  <c r="CD35" i="2"/>
  <c r="CD152" i="2"/>
  <c r="CD26" i="2"/>
  <c r="CD151" i="2"/>
  <c r="CD58" i="2"/>
  <c r="CD99" i="2"/>
  <c r="CD28" i="2"/>
  <c r="CD40" i="2"/>
  <c r="CD145" i="2"/>
  <c r="CD166" i="2"/>
  <c r="CD80" i="2"/>
  <c r="CD128" i="2"/>
  <c r="CD23" i="2"/>
  <c r="CD45" i="2"/>
  <c r="CD37" i="2"/>
  <c r="CD36" i="2"/>
  <c r="CD3" i="2"/>
  <c r="C9" i="4" s="1"/>
  <c r="E9" i="4" s="1"/>
  <c r="F9" i="4" s="1"/>
  <c r="G9" i="4" s="1"/>
  <c r="L9" i="4" s="1"/>
  <c r="CD41" i="2"/>
  <c r="CD89" i="2"/>
  <c r="CD92" i="2"/>
  <c r="CD114" i="2"/>
  <c r="CD131" i="2"/>
  <c r="CD130" i="2"/>
  <c r="CD14" i="2"/>
  <c r="CD123" i="2"/>
  <c r="CD144" i="2"/>
  <c r="CD108" i="2"/>
  <c r="CD125" i="2"/>
  <c r="CD90" i="2"/>
  <c r="CD64" i="2"/>
  <c r="CD62" i="2"/>
  <c r="CD15" i="2"/>
  <c r="CD172" i="2"/>
  <c r="CD133" i="2"/>
  <c r="CD6" i="2"/>
  <c r="CD122" i="2"/>
  <c r="CD126" i="2"/>
  <c r="CD160" i="2"/>
  <c r="CD17" i="2"/>
  <c r="CD109" i="2"/>
  <c r="CD95" i="2"/>
  <c r="CD138" i="2"/>
  <c r="CD140" i="2"/>
  <c r="CD79" i="2"/>
  <c r="CD30" i="2"/>
  <c r="CD12" i="2"/>
  <c r="CD67" i="2"/>
  <c r="CD200" i="2"/>
  <c r="CD173" i="2"/>
  <c r="CD24" i="2"/>
  <c r="CD184" i="2"/>
  <c r="CD57" i="2"/>
  <c r="CD4" i="2"/>
  <c r="CD127" i="2"/>
  <c r="CD170" i="2"/>
  <c r="CD9" i="2"/>
  <c r="CD159" i="2"/>
  <c r="CD44" i="2"/>
  <c r="CD87" i="2"/>
  <c r="CD175" i="2"/>
  <c r="CD165" i="2"/>
  <c r="CD192" i="2"/>
  <c r="CD22" i="2"/>
  <c r="CD48" i="2"/>
  <c r="CD146" i="2"/>
  <c r="CD8" i="2"/>
  <c r="CD70" i="2"/>
  <c r="CD77" i="2"/>
  <c r="CD59" i="2"/>
  <c r="CD188" i="2"/>
  <c r="CD19" i="2"/>
  <c r="CD75" i="2"/>
  <c r="CD202" i="2"/>
  <c r="CD88" i="2"/>
  <c r="CD94" i="2"/>
  <c r="CD201" i="2"/>
  <c r="CD132" i="2"/>
  <c r="CD186" i="2"/>
  <c r="CD10" i="2"/>
  <c r="CD134" i="2"/>
  <c r="CD163" i="2"/>
  <c r="CD177" i="2"/>
  <c r="CD193" i="2"/>
  <c r="CD103" i="2"/>
  <c r="CD42" i="2"/>
  <c r="CD182" i="2"/>
  <c r="CD116" i="2"/>
  <c r="CD74" i="2"/>
  <c r="CD31" i="2"/>
  <c r="CD71" i="2"/>
  <c r="CD118" i="2"/>
  <c r="CD147" i="2"/>
  <c r="CD143" i="2"/>
  <c r="CD176" i="2"/>
  <c r="CD68" i="2"/>
  <c r="CD199" i="2"/>
  <c r="CD141" i="2"/>
  <c r="CD139" i="2"/>
  <c r="CD124" i="2"/>
  <c r="CD119" i="2"/>
  <c r="CD106" i="2"/>
  <c r="CD104" i="2"/>
  <c r="CD32" i="2"/>
  <c r="CD47" i="2"/>
  <c r="CD96" i="2"/>
  <c r="CD195" i="2"/>
  <c r="CD157" i="2"/>
  <c r="CD66" i="2"/>
  <c r="CD84" i="2"/>
  <c r="CD78" i="2"/>
  <c r="CD169" i="2"/>
  <c r="CD167" i="2"/>
  <c r="CD25" i="2"/>
  <c r="CD185" i="2"/>
  <c r="CD179" i="2"/>
  <c r="CD82" i="2"/>
  <c r="CD196" i="2"/>
  <c r="CD52" i="2"/>
  <c r="CD171" i="2"/>
  <c r="CD115" i="2"/>
  <c r="CD38" i="2"/>
  <c r="CD174" i="2"/>
  <c r="CD113" i="2"/>
  <c r="CD13" i="2"/>
  <c r="CD33" i="2"/>
  <c r="CD194" i="2"/>
  <c r="CD168" i="2"/>
  <c r="CD156" i="2"/>
  <c r="CD49" i="2"/>
  <c r="CD51" i="2"/>
  <c r="CD136" i="2"/>
  <c r="CD183" i="2"/>
  <c r="CD142" i="2"/>
  <c r="CD121" i="2"/>
  <c r="CD5" i="2"/>
  <c r="CD39" i="2"/>
  <c r="CD189" i="2"/>
  <c r="CD100" i="2"/>
  <c r="CD148" i="2"/>
  <c r="CD72" i="2"/>
  <c r="CD61" i="2"/>
  <c r="CD111" i="2"/>
  <c r="CD135" i="2"/>
  <c r="CD20" i="2"/>
  <c r="CD149" i="2"/>
  <c r="CD18" i="2"/>
  <c r="CD54" i="2"/>
  <c r="CD98" i="2"/>
  <c r="CD21" i="2"/>
  <c r="CD86" i="2"/>
  <c r="CD11" i="2"/>
  <c r="CD153" i="2"/>
  <c r="CD187" i="2"/>
  <c r="CD85" i="2"/>
  <c r="CD91" i="2"/>
  <c r="CD97" i="2"/>
  <c r="CD120" i="2"/>
  <c r="CD27" i="2"/>
  <c r="CD191" i="2"/>
  <c r="CD155" i="2"/>
  <c r="CD93" i="2"/>
  <c r="CD117" i="2"/>
  <c r="CD161" i="2"/>
  <c r="CD81" i="2"/>
  <c r="CD107" i="2"/>
  <c r="CD29" i="2"/>
  <c r="CD112" i="2"/>
  <c r="CD73" i="2"/>
  <c r="CD203" i="2"/>
  <c r="CD55" i="2"/>
  <c r="CD181" i="2"/>
  <c r="CD197" i="2"/>
  <c r="CD65" i="2"/>
  <c r="CD105" i="2"/>
  <c r="CD53" i="2"/>
  <c r="CD56" i="2"/>
  <c r="CD46" i="2"/>
  <c r="CD102" i="2"/>
  <c r="CD164" i="2"/>
  <c r="CD16" i="2"/>
  <c r="CD158" i="2"/>
  <c r="CD190" i="2"/>
  <c r="CD63" i="2"/>
  <c r="CD76" i="2"/>
  <c r="CD34" i="2"/>
  <c r="CD101" i="2"/>
  <c r="CD154" i="2"/>
  <c r="CD7" i="2"/>
  <c r="CD110" i="2"/>
  <c r="CD180" i="2"/>
  <c r="CD137" i="2"/>
  <c r="CD50" i="2"/>
  <c r="CD129" i="2"/>
  <c r="CD198" i="2"/>
  <c r="CD4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<sst xmlns="http://schemas.openxmlformats.org/spreadsheetml/2006/main" count="1174" uniqueCount="324">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</sst>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4669648"/>
        <c:axId val="-234672912"/>
      </c:scatterChart>
      <c:valAx>
        <c:axId val="-234669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4672912"/>
        <c:crosses val="autoZero"/>
        <c:crossBetween val="midCat"/>
      </c:valAx>
      <c:valAx>
        <c:axId val="-23467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4669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45184"/>
        <c:axId val="-494937024"/>
      </c:scatterChart>
      <c:valAx>
        <c:axId val="-494945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37024"/>
        <c:crosses val="autoZero"/>
        <c:crossBetween val="midCat"/>
      </c:valAx>
      <c:valAx>
        <c:axId val="-49493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4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4671280"/>
        <c:axId val="-234671824"/>
      </c:scatterChart>
      <c:valAx>
        <c:axId val="-23467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4671824"/>
        <c:crosses val="autoZero"/>
        <c:crossBetween val="midCat"/>
      </c:valAx>
      <c:valAx>
        <c:axId val="-23467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467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167.21639270035547</c:v>
                </c:pt>
                <c:pt idx="25">
                  <c:v>187.24258760716546</c:v>
                </c:pt>
                <c:pt idx="26">
                  <c:v>206.2685966241975</c:v>
                </c:pt>
                <c:pt idx="27">
                  <c:v>225.25404749767384</c:v>
                </c:pt>
                <c:pt idx="28">
                  <c:v>244.20283975997816</c:v>
                </c:pt>
                <c:pt idx="29">
                  <c:v>263.11821789263291</c:v>
                </c:pt>
                <c:pt idx="30">
                  <c:v>282.00292156784479</c:v>
                </c:pt>
                <c:pt idx="31">
                  <c:v>210.38540694907314</c:v>
                </c:pt>
                <c:pt idx="32">
                  <c:v>227.15051827180903</c:v>
                </c:pt>
                <c:pt idx="33">
                  <c:v>243.88730861103326</c:v>
                </c:pt>
                <c:pt idx="34">
                  <c:v>260.59799513306115</c:v>
                </c:pt>
                <c:pt idx="35">
                  <c:v>277.28448730625297</c:v>
                </c:pt>
                <c:pt idx="36">
                  <c:v>292.37729611444672</c:v>
                </c:pt>
                <c:pt idx="37">
                  <c:v>307.4527132610603</c:v>
                </c:pt>
                <c:pt idx="38">
                  <c:v>322.51171160469693</c:v>
                </c:pt>
                <c:pt idx="39">
                  <c:v>337.55516572548032</c:v>
                </c:pt>
                <c:pt idx="40">
                  <c:v>352.58386588275084</c:v>
                </c:pt>
                <c:pt idx="41">
                  <c:v>277.59910531675132</c:v>
                </c:pt>
                <c:pt idx="42">
                  <c:v>290.49166725088799</c:v>
                </c:pt>
                <c:pt idx="43">
                  <c:v>303.37144778612065</c:v>
                </c:pt>
                <c:pt idx="44">
                  <c:v>316.23906615147206</c:v>
                </c:pt>
                <c:pt idx="45">
                  <c:v>329.09508705409172</c:v>
                </c:pt>
                <c:pt idx="46">
                  <c:v>340.06095344521356</c:v>
                </c:pt>
                <c:pt idx="47">
                  <c:v>351.01904297525931</c:v>
                </c:pt>
                <c:pt idx="48">
                  <c:v>361.96963273404771</c:v>
                </c:pt>
                <c:pt idx="49">
                  <c:v>372.91298167145283</c:v>
                </c:pt>
                <c:pt idx="50">
                  <c:v>383.8493322938412</c:v>
                </c:pt>
                <c:pt idx="51">
                  <c:v>332.85570681025916</c:v>
                </c:pt>
                <c:pt idx="52">
                  <c:v>342.87947924141304</c:v>
                </c:pt>
                <c:pt idx="53">
                  <c:v>352.89681216953187</c:v>
                </c:pt>
                <c:pt idx="54">
                  <c:v>362.90791424748909</c:v>
                </c:pt>
                <c:pt idx="55">
                  <c:v>372.91298167145288</c:v>
                </c:pt>
                <c:pt idx="56">
                  <c:v>380.7253612664947</c:v>
                </c:pt>
                <c:pt idx="57">
                  <c:v>388.5342542497454</c:v>
                </c:pt>
                <c:pt idx="58">
                  <c:v>396.33974062840025</c:v>
                </c:pt>
                <c:pt idx="59">
                  <c:v>404.1418969991085</c:v>
                </c:pt>
                <c:pt idx="60">
                  <c:v>411.94079675783905</c:v>
                </c:pt>
                <c:pt idx="61">
                  <c:v>379.78806142237414</c:v>
                </c:pt>
                <c:pt idx="62">
                  <c:v>386.66043357385666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413.18832324929986</c:v>
                </c:pt>
                <c:pt idx="67">
                  <c:v>419.11296885471535</c:v>
                </c:pt>
                <c:pt idx="68">
                  <c:v>425.03581010994799</c:v>
                </c:pt>
                <c:pt idx="69">
                  <c:v>430.95687572671636</c:v>
                </c:pt>
                <c:pt idx="70">
                  <c:v>436.87619356276895</c:v>
                </c:pt>
                <c:pt idx="71">
                  <c:v>409.44549880731051</c:v>
                </c:pt>
                <c:pt idx="72">
                  <c:v>414.74761709639353</c:v>
                </c:pt>
                <c:pt idx="73">
                  <c:v>420.0482735257836</c:v>
                </c:pt>
                <c:pt idx="74">
                  <c:v>425.34748916314453</c:v>
                </c:pt>
                <c:pt idx="75">
                  <c:v>430.64528450788202</c:v>
                </c:pt>
                <c:pt idx="76">
                  <c:v>435.31864626323119</c:v>
                </c:pt>
                <c:pt idx="77">
                  <c:v>439.99093116362309</c:v>
                </c:pt>
                <c:pt idx="78">
                  <c:v>444.66215226871242</c:v>
                </c:pt>
                <c:pt idx="79">
                  <c:v>449.33232234112387</c:v>
                </c:pt>
                <c:pt idx="80">
                  <c:v>454.00145385629543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45728"/>
        <c:axId val="-494940288"/>
      </c:scatterChart>
      <c:valAx>
        <c:axId val="-494945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40288"/>
        <c:crosses val="autoZero"/>
        <c:crossBetween val="midCat"/>
      </c:valAx>
      <c:valAx>
        <c:axId val="-49494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45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53.349300230420219</c:v>
                </c:pt>
                <c:pt idx="22">
                  <c:v>59.820043288621314</c:v>
                </c:pt>
                <c:pt idx="23">
                  <c:v>66.272536635761469</c:v>
                </c:pt>
                <c:pt idx="24">
                  <c:v>72.708812992429259</c:v>
                </c:pt>
                <c:pt idx="25">
                  <c:v>79.130514295439681</c:v>
                </c:pt>
                <c:pt idx="26">
                  <c:v>86.819205269098731</c:v>
                </c:pt>
                <c:pt idx="27">
                  <c:v>94.490773445625265</c:v>
                </c:pt>
                <c:pt idx="28">
                  <c:v>102.14680795061109</c:v>
                </c:pt>
                <c:pt idx="29">
                  <c:v>109.78863954070187</c:v>
                </c:pt>
                <c:pt idx="30">
                  <c:v>117.41739809202979</c:v>
                </c:pt>
                <c:pt idx="31">
                  <c:v>125.03405430760159</c:v>
                </c:pt>
                <c:pt idx="32">
                  <c:v>132.63945069450935</c:v>
                </c:pt>
                <c:pt idx="33">
                  <c:v>140.23432504208844</c:v>
                </c:pt>
                <c:pt idx="34">
                  <c:v>147.81932853312981</c:v>
                </c:pt>
                <c:pt idx="35">
                  <c:v>155.39503993343254</c:v>
                </c:pt>
                <c:pt idx="36">
                  <c:v>127.99300373621668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161.70140970029556</c:v>
                </c:pt>
                <c:pt idx="41">
                  <c:v>169.68115418242931</c:v>
                </c:pt>
                <c:pt idx="42">
                  <c:v>177.65205947769599</c:v>
                </c:pt>
                <c:pt idx="43">
                  <c:v>185.6145786783502</c:v>
                </c:pt>
                <c:pt idx="44">
                  <c:v>193.56912276774736</c:v>
                </c:pt>
                <c:pt idx="45">
                  <c:v>201.51606614204607</c:v>
                </c:pt>
                <c:pt idx="46">
                  <c:v>171.77959852127819</c:v>
                </c:pt>
                <c:pt idx="47">
                  <c:v>179.7482548480051</c:v>
                </c:pt>
                <c:pt idx="48">
                  <c:v>187.70863707245698</c:v>
                </c:pt>
                <c:pt idx="49">
                  <c:v>195.66114605562757</c:v>
                </c:pt>
                <c:pt idx="50">
                  <c:v>203.60614736350433</c:v>
                </c:pt>
                <c:pt idx="51">
                  <c:v>211.96156334030783</c:v>
                </c:pt>
                <c:pt idx="52">
                  <c:v>220.30938898976532</c:v>
                </c:pt>
                <c:pt idx="53">
                  <c:v>228.64995281860425</c:v>
                </c:pt>
                <c:pt idx="54">
                  <c:v>236.98355738084277</c:v>
                </c:pt>
                <c:pt idx="55">
                  <c:v>245.31048218883168</c:v>
                </c:pt>
                <c:pt idx="56">
                  <c:v>213.63172478455704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237.40006003332357</c:v>
                </c:pt>
                <c:pt idx="60">
                  <c:v>245.31048218883168</c:v>
                </c:pt>
                <c:pt idx="61">
                  <c:v>253.21510971702909</c:v>
                </c:pt>
                <c:pt idx="62">
                  <c:v>261.11414922946938</c:v>
                </c:pt>
                <c:pt idx="63">
                  <c:v>269.0077938022381</c:v>
                </c:pt>
                <c:pt idx="64">
                  <c:v>276.89622424264059</c:v>
                </c:pt>
                <c:pt idx="65">
                  <c:v>284.77961020385533</c:v>
                </c:pt>
                <c:pt idx="66">
                  <c:v>250.71952474895636</c:v>
                </c:pt>
                <c:pt idx="67">
                  <c:v>258.20461441214769</c:v>
                </c:pt>
                <c:pt idx="68">
                  <c:v>265.68479967259987</c:v>
                </c:pt>
                <c:pt idx="69">
                  <c:v>273.16023825041395</c:v>
                </c:pt>
                <c:pt idx="70">
                  <c:v>280.63107851839709</c:v>
                </c:pt>
                <c:pt idx="71">
                  <c:v>287.68277599708523</c:v>
                </c:pt>
                <c:pt idx="72">
                  <c:v>294.73060802032893</c:v>
                </c:pt>
                <c:pt idx="73">
                  <c:v>301.7746801674329</c:v>
                </c:pt>
                <c:pt idx="74">
                  <c:v>308.81509268095914</c:v>
                </c:pt>
                <c:pt idx="75">
                  <c:v>315.85194085471181</c:v>
                </c:pt>
                <c:pt idx="76">
                  <c:v>281.46089418692515</c:v>
                </c:pt>
                <c:pt idx="77">
                  <c:v>288.5121312426167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309.64314037802711</c:v>
                </c:pt>
                <c:pt idx="81">
                  <c:v>315.85194085471193</c:v>
                </c:pt>
                <c:pt idx="82">
                  <c:v>322.05803699935797</c:v>
                </c:pt>
                <c:pt idx="83">
                  <c:v>328.26148833919052</c:v>
                </c:pt>
                <c:pt idx="84">
                  <c:v>334.46235196533502</c:v>
                </c:pt>
                <c:pt idx="85">
                  <c:v>340.66068267684119</c:v>
                </c:pt>
                <c:pt idx="86">
                  <c:v>310.05714577566249</c:v>
                </c:pt>
                <c:pt idx="87">
                  <c:v>316.67957526595023</c:v>
                </c:pt>
                <c:pt idx="88">
                  <c:v>323.29893699066059</c:v>
                </c:pt>
                <c:pt idx="89">
                  <c:v>329.91530269151457</c:v>
                </c:pt>
                <c:pt idx="90">
                  <c:v>336.5287409947552</c:v>
                </c:pt>
                <c:pt idx="91">
                  <c:v>342.31314985114523</c:v>
                </c:pt>
                <c:pt idx="92">
                  <c:v>348.09541005573732</c:v>
                </c:pt>
                <c:pt idx="93">
                  <c:v>353.87556237718678</c:v>
                </c:pt>
                <c:pt idx="94">
                  <c:v>359.65364614215167</c:v>
                </c:pt>
                <c:pt idx="95">
                  <c:v>365.42969930916388</c:v>
                </c:pt>
                <c:pt idx="96">
                  <c:v>334.46235196533502</c:v>
                </c:pt>
                <c:pt idx="97">
                  <c:v>340.66068267684119</c:v>
                </c:pt>
                <c:pt idx="98">
                  <c:v>346.8565331136702</c:v>
                </c:pt>
                <c:pt idx="99">
                  <c:v>353.04995387967392</c:v>
                </c:pt>
                <c:pt idx="100">
                  <c:v>359.24099365648948</c:v>
                </c:pt>
                <c:pt idx="101">
                  <c:v>365.01719063545926</c:v>
                </c:pt>
                <c:pt idx="102">
                  <c:v>370.79139109899671</c:v>
                </c:pt>
                <c:pt idx="103">
                  <c:v>376.56363055787483</c:v>
                </c:pt>
                <c:pt idx="104">
                  <c:v>382.33394334423559</c:v>
                </c:pt>
                <c:pt idx="105">
                  <c:v>388.10236266830731</c:v>
                </c:pt>
                <c:pt idx="106">
                  <c:v>357.17757535606319</c:v>
                </c:pt>
                <c:pt idx="107">
                  <c:v>363.3670539509107</c:v>
                </c:pt>
                <c:pt idx="108">
                  <c:v>369.55422870449638</c:v>
                </c:pt>
                <c:pt idx="109">
                  <c:v>375.73914366877972</c:v>
                </c:pt>
                <c:pt idx="110">
                  <c:v>381.92184132571992</c:v>
                </c:pt>
                <c:pt idx="111">
                  <c:v>388.10236266830731</c:v>
                </c:pt>
                <c:pt idx="112">
                  <c:v>394.28074727616132</c:v>
                </c:pt>
                <c:pt idx="113">
                  <c:v>400.45703338613862</c:v>
                </c:pt>
                <c:pt idx="114">
                  <c:v>406.63125795835577</c:v>
                </c:pt>
                <c:pt idx="115">
                  <c:v>412.80345673799087</c:v>
                </c:pt>
                <c:pt idx="116">
                  <c:v>418.97366431319239</c:v>
                </c:pt>
                <c:pt idx="117">
                  <c:v>425.14191416939951</c:v>
                </c:pt>
                <c:pt idx="118">
                  <c:v>431.30823874034081</c:v>
                </c:pt>
                <c:pt idx="119">
                  <c:v>437.47266945596539</c:v>
                </c:pt>
                <c:pt idx="120">
                  <c:v>443.63523678752927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34848"/>
        <c:axId val="-494932672"/>
      </c:scatterChart>
      <c:valAx>
        <c:axId val="-494934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32672"/>
        <c:crosses val="autoZero"/>
        <c:crossBetween val="midCat"/>
      </c:valAx>
      <c:valAx>
        <c:axId val="-4949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34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34304"/>
        <c:axId val="-494932128"/>
      </c:scatterChart>
      <c:valAx>
        <c:axId val="-494934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32128"/>
        <c:crosses val="autoZero"/>
        <c:crossBetween val="midCat"/>
      </c:valAx>
      <c:valAx>
        <c:axId val="-49493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34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41920"/>
        <c:axId val="-494930496"/>
      </c:scatterChart>
      <c:valAx>
        <c:axId val="-494941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30496"/>
        <c:crosses val="autoZero"/>
        <c:crossBetween val="midCat"/>
      </c:valAx>
      <c:valAx>
        <c:axId val="-49493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41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46816"/>
        <c:axId val="-494940832"/>
      </c:scatterChart>
      <c:valAx>
        <c:axId val="-494946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40832"/>
        <c:crosses val="autoZero"/>
        <c:crossBetween val="midCat"/>
      </c:valAx>
      <c:valAx>
        <c:axId val="-49494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46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39200"/>
        <c:axId val="-494929952"/>
      </c:scatterChart>
      <c:valAx>
        <c:axId val="-494939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29952"/>
        <c:crosses val="autoZero"/>
        <c:crossBetween val="midCat"/>
      </c:valAx>
      <c:valAx>
        <c:axId val="-49492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3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929408"/>
        <c:axId val="-494928864"/>
      </c:scatterChart>
      <c:valAx>
        <c:axId val="-494929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28864"/>
        <c:crosses val="autoZero"/>
        <c:crossBetween val="midCat"/>
      </c:valAx>
      <c:valAx>
        <c:axId val="-4949288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492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12" sqref="C1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2.7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0.54</v>
      </c>
      <c r="D9" s="36">
        <f t="shared" ref="D9:D18" si="0">C9*$C$5</f>
        <v>1.4580000000000002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0.33</v>
      </c>
      <c r="D10" s="36">
        <f t="shared" si="0"/>
        <v>0.89100000000000013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8</v>
      </c>
      <c r="C11" s="35">
        <v>0.04</v>
      </c>
      <c r="D11" s="36">
        <f t="shared" si="0"/>
        <v>0.10800000000000001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</v>
      </c>
      <c r="C12" s="35">
        <v>0.03</v>
      </c>
      <c r="D12" s="36">
        <f t="shared" si="0"/>
        <v>8.1000000000000003E-2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29</v>
      </c>
      <c r="C13" s="35">
        <v>0.03</v>
      </c>
      <c r="D13" s="36">
        <f t="shared" si="0"/>
        <v>8.1000000000000003E-2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0.9700000000000002</v>
      </c>
      <c r="D19" s="41">
        <f>SUM(D9:D18)</f>
        <v>2.6190000000000002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v>235</v>
      </c>
      <c r="C44" s="63">
        <v>4</v>
      </c>
      <c r="D44" s="6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3">
        <v>229</v>
      </c>
      <c r="C45" s="63"/>
      <c r="D45" s="6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3">
        <v>263</v>
      </c>
      <c r="C46" s="63">
        <v>5</v>
      </c>
      <c r="D46" s="6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3">
        <v>252</v>
      </c>
      <c r="C47" s="63"/>
      <c r="D47" s="6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63">
        <v>282</v>
      </c>
      <c r="C48" s="63">
        <v>6</v>
      </c>
      <c r="D48" s="6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63">
        <v>296</v>
      </c>
      <c r="C49" s="63">
        <v>7</v>
      </c>
      <c r="D49" s="6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63">
        <v>303</v>
      </c>
      <c r="C50" s="63">
        <v>8</v>
      </c>
      <c r="D50" s="6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63">
        <v>305</v>
      </c>
      <c r="C51" s="63">
        <v>9</v>
      </c>
      <c r="D51" s="6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63">
        <v>303</v>
      </c>
      <c r="C52" s="63">
        <v>10</v>
      </c>
      <c r="D52" s="6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63">
        <v>300</v>
      </c>
      <c r="C53" s="63">
        <v>11</v>
      </c>
      <c r="D53" s="6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63">
        <v>296</v>
      </c>
      <c r="C54" s="63">
        <v>12</v>
      </c>
      <c r="D54" s="6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63">
        <v>293</v>
      </c>
      <c r="C55" s="63">
        <v>13</v>
      </c>
      <c r="D55" s="6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/>
      <c r="D63" s="63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76+8+21</f>
        <v>105</v>
      </c>
      <c r="C64" s="63">
        <v>1</v>
      </c>
      <c r="D64" s="63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/>
      <c r="D65" s="63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116+21+21</f>
        <v>158</v>
      </c>
      <c r="C66" s="63">
        <v>2</v>
      </c>
      <c r="D66" s="63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/>
      <c r="D67" s="63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157+21+21</f>
        <v>199</v>
      </c>
      <c r="C68" s="63">
        <v>3</v>
      </c>
      <c r="D68" s="63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176+21</f>
        <v>197</v>
      </c>
      <c r="C69" s="63"/>
      <c r="D69" s="6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63">
        <v>235</v>
      </c>
      <c r="C70" s="63">
        <v>4</v>
      </c>
      <c r="D70" s="6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63">
        <v>229</v>
      </c>
      <c r="C71" s="63"/>
      <c r="D71" s="6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63">
        <v>263</v>
      </c>
      <c r="C72" s="63">
        <v>5</v>
      </c>
      <c r="D72" s="6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63">
        <v>252</v>
      </c>
      <c r="C73" s="63"/>
      <c r="D73" s="6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63">
        <v>282</v>
      </c>
      <c r="C74" s="63">
        <v>6</v>
      </c>
      <c r="D74" s="6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63">
        <v>296</v>
      </c>
      <c r="C75" s="63">
        <v>7</v>
      </c>
      <c r="D75" s="6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63">
        <v>303</v>
      </c>
      <c r="C76" s="63">
        <v>8</v>
      </c>
      <c r="D76" s="6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63">
        <v>305</v>
      </c>
      <c r="C77" s="63">
        <v>9</v>
      </c>
      <c r="D77" s="6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63">
        <v>303</v>
      </c>
      <c r="C78" s="63">
        <v>10</v>
      </c>
      <c r="D78" s="6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63">
        <v>300</v>
      </c>
      <c r="C79" s="63">
        <v>11</v>
      </c>
      <c r="D79" s="6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63">
        <v>296</v>
      </c>
      <c r="C80" s="63">
        <v>12</v>
      </c>
      <c r="D80" s="6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63">
        <v>293</v>
      </c>
      <c r="C81" s="63">
        <v>13</v>
      </c>
      <c r="D81" s="6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Châtaignier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f>37</f>
        <v>37</v>
      </c>
      <c r="C88" s="53"/>
      <c r="D88" s="63"/>
      <c r="E88" s="54"/>
      <c r="F88" s="54"/>
      <c r="G88" s="54"/>
      <c r="H88" s="54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80+15</f>
        <v>95</v>
      </c>
      <c r="C89" s="53">
        <v>1</v>
      </c>
      <c r="D89" s="63">
        <f>28+15</f>
        <v>43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f>115</f>
        <v>115</v>
      </c>
      <c r="C90" s="53"/>
      <c r="D90" s="63"/>
      <c r="E90" s="54"/>
      <c r="F90" s="54"/>
      <c r="G90" s="54"/>
      <c r="H90" s="54"/>
      <c r="I90" s="56">
        <f t="shared" si="3"/>
        <v>12.6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f>147+28</f>
        <v>175</v>
      </c>
      <c r="C91" s="53">
        <v>2</v>
      </c>
      <c r="D91" s="63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f>172</f>
        <v>172</v>
      </c>
      <c r="C92" s="53"/>
      <c r="D92" s="63"/>
      <c r="E92" s="54"/>
      <c r="F92" s="54"/>
      <c r="G92" s="54"/>
      <c r="H92" s="54"/>
      <c r="I92" s="56">
        <f t="shared" si="3"/>
        <v>10.6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f>192+28</f>
        <v>220</v>
      </c>
      <c r="C93" s="53">
        <v>3</v>
      </c>
      <c r="D93" s="63">
        <f>28+28</f>
        <v>56</v>
      </c>
      <c r="E93" s="54"/>
      <c r="F93" s="54"/>
      <c r="G93" s="54"/>
      <c r="H93" s="54"/>
      <c r="I93" s="56">
        <f t="shared" si="3"/>
        <v>9.6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f>205</f>
        <v>205</v>
      </c>
      <c r="C94" s="53"/>
      <c r="D94" s="63"/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f>218+22</f>
        <v>240</v>
      </c>
      <c r="C95" s="53">
        <v>4</v>
      </c>
      <c r="D95" s="63">
        <f>17+22</f>
        <v>39</v>
      </c>
      <c r="E95" s="54"/>
      <c r="F95" s="54"/>
      <c r="G95" s="54"/>
      <c r="H95" s="54"/>
      <c r="I95" s="56">
        <f t="shared" si="3"/>
        <v>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3">
        <f>233</f>
        <v>233</v>
      </c>
      <c r="C96" s="53"/>
      <c r="D96" s="63"/>
      <c r="E96" s="54"/>
      <c r="F96" s="54"/>
      <c r="G96" s="54"/>
      <c r="H96" s="54"/>
      <c r="I96" s="56">
        <f t="shared" si="3"/>
        <v>6.4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3">
        <f>245+13</f>
        <v>258</v>
      </c>
      <c r="C97" s="53">
        <v>5</v>
      </c>
      <c r="D97" s="63">
        <f>12+13</f>
        <v>25</v>
      </c>
      <c r="E97" s="54"/>
      <c r="F97" s="54"/>
      <c r="G97" s="54"/>
      <c r="H97" s="54"/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63">
        <f>255</f>
        <v>255</v>
      </c>
      <c r="C98" s="53"/>
      <c r="D98" s="63"/>
      <c r="E98" s="54"/>
      <c r="F98" s="54"/>
      <c r="G98" s="54"/>
      <c r="H98" s="54"/>
      <c r="I98" s="56">
        <f t="shared" si="3"/>
        <v>4.4000000000000004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63">
        <f>263+11</f>
        <v>274</v>
      </c>
      <c r="C99" s="53">
        <v>6</v>
      </c>
      <c r="D99" s="63">
        <f>10+11</f>
        <v>21</v>
      </c>
      <c r="E99" s="54"/>
      <c r="F99" s="54"/>
      <c r="G99" s="54"/>
      <c r="H99" s="54"/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63">
        <f>270</f>
        <v>270</v>
      </c>
      <c r="C100" s="53"/>
      <c r="D100" s="63"/>
      <c r="E100" s="57"/>
      <c r="F100" s="57"/>
      <c r="G100" s="57"/>
      <c r="H100" s="57"/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63">
        <f>276+9</f>
        <v>285</v>
      </c>
      <c r="C101" s="53">
        <v>7</v>
      </c>
      <c r="D101" s="63">
        <f>B101</f>
        <v>285</v>
      </c>
      <c r="E101" s="57"/>
      <c r="F101" s="57"/>
      <c r="G101" s="57"/>
      <c r="H101" s="57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Alisier torminal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f>21+0</f>
        <v>21</v>
      </c>
      <c r="C114" s="63"/>
      <c r="D114" s="63"/>
      <c r="E114" s="54"/>
      <c r="F114" s="54"/>
      <c r="G114" s="54"/>
      <c r="H114" s="54"/>
      <c r="I114" s="56">
        <f>IFERROR(B114/A114,"")</f>
        <v>1.05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f>36+0+0</f>
        <v>36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45+0+0+9</f>
        <v>54</v>
      </c>
      <c r="C116" s="63"/>
      <c r="D116" s="63"/>
      <c r="E116" s="54"/>
      <c r="F116" s="54"/>
      <c r="G116" s="54"/>
      <c r="H116" s="54"/>
      <c r="I116" s="56">
        <f t="shared" si="4"/>
        <v>3.6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f>55+9+8</f>
        <v>72</v>
      </c>
      <c r="C117" s="63">
        <v>1</v>
      </c>
      <c r="D117" s="63">
        <f>9+8</f>
        <v>17</v>
      </c>
      <c r="E117" s="54"/>
      <c r="F117" s="54"/>
      <c r="G117" s="54"/>
      <c r="H117" s="54"/>
      <c r="I117" s="56">
        <f t="shared" si="4"/>
        <v>3.6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f>66+9</f>
        <v>75</v>
      </c>
      <c r="C118" s="63"/>
      <c r="D118" s="63"/>
      <c r="E118" s="54"/>
      <c r="F118" s="54"/>
      <c r="G118" s="54"/>
      <c r="H118" s="54"/>
      <c r="I118" s="56">
        <f t="shared" si="4"/>
        <v>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f>76+9+9</f>
        <v>94</v>
      </c>
      <c r="C119" s="63">
        <v>2</v>
      </c>
      <c r="D119" s="63">
        <f>9+9</f>
        <v>18</v>
      </c>
      <c r="E119" s="54"/>
      <c r="F119" s="54"/>
      <c r="G119" s="54"/>
      <c r="H119" s="54"/>
      <c r="I119" s="56">
        <f t="shared" si="4"/>
        <v>3.8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3">
        <f>86+9</f>
        <v>95</v>
      </c>
      <c r="C120" s="63"/>
      <c r="D120" s="63"/>
      <c r="E120" s="54"/>
      <c r="F120" s="54"/>
      <c r="G120" s="54"/>
      <c r="H120" s="54"/>
      <c r="I120" s="56">
        <f t="shared" si="4"/>
        <v>3.8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3">
        <f>96+9+10</f>
        <v>115</v>
      </c>
      <c r="C121" s="63">
        <v>3</v>
      </c>
      <c r="D121" s="63">
        <f>9+10</f>
        <v>19</v>
      </c>
      <c r="E121" s="54"/>
      <c r="F121" s="54"/>
      <c r="G121" s="54"/>
      <c r="H121" s="54"/>
      <c r="I121" s="56">
        <f t="shared" si="4"/>
        <v>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63">
        <f>105+10</f>
        <v>115</v>
      </c>
      <c r="C122" s="63"/>
      <c r="D122" s="63"/>
      <c r="E122" s="54"/>
      <c r="F122" s="54"/>
      <c r="G122" s="54"/>
      <c r="H122" s="54"/>
      <c r="I122" s="56">
        <f t="shared" si="4"/>
        <v>3.8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63">
        <f>114+10+10</f>
        <v>134</v>
      </c>
      <c r="C123" s="63">
        <v>4</v>
      </c>
      <c r="D123" s="63">
        <f>10+10</f>
        <v>20</v>
      </c>
      <c r="E123" s="54"/>
      <c r="F123" s="54"/>
      <c r="G123" s="54"/>
      <c r="H123" s="54"/>
      <c r="I123" s="56">
        <f t="shared" si="4"/>
        <v>3.8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63">
        <f>122+10</f>
        <v>132</v>
      </c>
      <c r="C124" s="63"/>
      <c r="D124" s="63"/>
      <c r="E124" s="54"/>
      <c r="F124" s="54"/>
      <c r="G124" s="54"/>
      <c r="H124" s="54"/>
      <c r="I124" s="56">
        <f t="shared" si="4"/>
        <v>3.6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63">
        <f>129+10+10</f>
        <v>149</v>
      </c>
      <c r="C125" s="63">
        <v>5</v>
      </c>
      <c r="D125" s="63">
        <f>10+10</f>
        <v>20</v>
      </c>
      <c r="E125" s="54"/>
      <c r="F125" s="54"/>
      <c r="G125" s="54"/>
      <c r="H125" s="54"/>
      <c r="I125" s="56">
        <f t="shared" si="4"/>
        <v>3.4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63">
        <f>137+9</f>
        <v>146</v>
      </c>
      <c r="C126" s="63"/>
      <c r="D126" s="63"/>
      <c r="E126" s="54"/>
      <c r="F126" s="54"/>
      <c r="G126" s="54"/>
      <c r="H126" s="54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85</v>
      </c>
      <c r="B127" s="63">
        <f>143+9+9</f>
        <v>161</v>
      </c>
      <c r="C127" s="63">
        <v>6</v>
      </c>
      <c r="D127" s="63">
        <f>9+9</f>
        <v>18</v>
      </c>
      <c r="E127" s="54"/>
      <c r="F127" s="54"/>
      <c r="G127" s="54"/>
      <c r="H127" s="54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90</v>
      </c>
      <c r="B128" s="63">
        <f>150+9</f>
        <v>159</v>
      </c>
      <c r="C128" s="63"/>
      <c r="D128" s="63"/>
      <c r="E128" s="54"/>
      <c r="F128" s="54"/>
      <c r="G128" s="54"/>
      <c r="H128" s="54"/>
      <c r="I128" s="56">
        <f t="shared" si="4"/>
        <v>3.2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95</v>
      </c>
      <c r="B129" s="63">
        <f>155+9+9</f>
        <v>173</v>
      </c>
      <c r="C129" s="63">
        <v>7</v>
      </c>
      <c r="D129" s="63">
        <f>9+9</f>
        <v>18</v>
      </c>
      <c r="E129" s="54"/>
      <c r="F129" s="54"/>
      <c r="G129" s="54"/>
      <c r="H129" s="54"/>
      <c r="I129" s="56">
        <f t="shared" si="4"/>
        <v>2.8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100</v>
      </c>
      <c r="B130" s="63">
        <f>161+9</f>
        <v>170</v>
      </c>
      <c r="C130" s="63"/>
      <c r="D130" s="63"/>
      <c r="E130" s="54"/>
      <c r="F130" s="54"/>
      <c r="G130" s="54"/>
      <c r="H130" s="54"/>
      <c r="I130" s="56">
        <f t="shared" si="4"/>
        <v>3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105</v>
      </c>
      <c r="B131" s="63">
        <f>166+9+9</f>
        <v>184</v>
      </c>
      <c r="C131" s="63">
        <v>8</v>
      </c>
      <c r="D131" s="63">
        <f>9+9</f>
        <v>18</v>
      </c>
      <c r="E131" s="54"/>
      <c r="F131" s="54"/>
      <c r="G131" s="54"/>
      <c r="H131" s="54"/>
      <c r="I131" s="56">
        <f t="shared" si="4"/>
        <v>2.8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110</v>
      </c>
      <c r="B132" s="63">
        <f>171+10</f>
        <v>181</v>
      </c>
      <c r="C132" s="63"/>
      <c r="D132" s="63"/>
      <c r="E132" s="54"/>
      <c r="F132" s="54"/>
      <c r="G132" s="54"/>
      <c r="H132" s="54"/>
      <c r="I132" s="56">
        <f t="shared" si="4"/>
        <v>3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120</v>
      </c>
      <c r="B133" s="63">
        <f>181+10+10+10</f>
        <v>211</v>
      </c>
      <c r="C133" s="63">
        <v>9</v>
      </c>
      <c r="D133" s="63">
        <f>B133</f>
        <v>211</v>
      </c>
      <c r="E133" s="54"/>
      <c r="F133" s="54"/>
      <c r="G133" s="54"/>
      <c r="H133" s="54"/>
      <c r="I133" s="56">
        <f t="shared" si="4"/>
        <v>3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Merisier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40</v>
      </c>
      <c r="C140" s="63"/>
      <c r="D140" s="63"/>
      <c r="E140" s="54"/>
      <c r="F140" s="54"/>
      <c r="G140" s="54"/>
      <c r="H140" s="54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85+3</f>
        <v>88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f>113+3+25</f>
        <v>141</v>
      </c>
      <c r="C142" s="63">
        <v>1</v>
      </c>
      <c r="D142" s="63">
        <f>3+25+27</f>
        <v>55</v>
      </c>
      <c r="E142" s="54"/>
      <c r="F142" s="54"/>
      <c r="G142" s="54"/>
      <c r="H142" s="54">
        <v>1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31</v>
      </c>
      <c r="B143" s="63">
        <v>155</v>
      </c>
      <c r="C143" s="63">
        <v>2</v>
      </c>
      <c r="D143" s="63">
        <v>36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37</v>
      </c>
      <c r="B144" s="63">
        <v>188</v>
      </c>
      <c r="C144" s="63">
        <v>3</v>
      </c>
      <c r="D144" s="63">
        <v>36</v>
      </c>
      <c r="E144" s="54"/>
      <c r="F144" s="54"/>
      <c r="G144" s="54"/>
      <c r="H144" s="54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44</v>
      </c>
      <c r="B145" s="63">
        <v>230</v>
      </c>
      <c r="C145" s="63">
        <v>4</v>
      </c>
      <c r="D145" s="63">
        <v>43</v>
      </c>
      <c r="E145" s="54"/>
      <c r="F145" s="54"/>
      <c r="G145" s="54"/>
      <c r="H145" s="54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52</v>
      </c>
      <c r="B146" s="63">
        <v>270</v>
      </c>
      <c r="C146" s="63">
        <v>5</v>
      </c>
      <c r="D146" s="63">
        <v>48</v>
      </c>
      <c r="E146" s="54"/>
      <c r="F146" s="54"/>
      <c r="G146" s="54"/>
      <c r="H146" s="54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60</v>
      </c>
      <c r="B147" s="53">
        <v>297</v>
      </c>
      <c r="C147" s="53">
        <v>6</v>
      </c>
      <c r="D147" s="53">
        <v>47</v>
      </c>
      <c r="E147" s="54"/>
      <c r="F147" s="54"/>
      <c r="G147" s="54"/>
      <c r="H147" s="54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69</v>
      </c>
      <c r="B148" s="53">
        <v>328</v>
      </c>
      <c r="C148" s="53">
        <v>7</v>
      </c>
      <c r="D148" s="53">
        <v>328</v>
      </c>
      <c r="E148" s="54"/>
      <c r="F148" s="54"/>
      <c r="G148" s="54"/>
      <c r="H148" s="54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pubescent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Châtaignier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Alisier torminal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Merisier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428.8489304403459</v>
      </c>
      <c r="T3" s="62">
        <f>IF('Données projet'!E9&gt;30,$R$33-$H$33,LOOKUP('Données projet'!$E$9,$A$3:$A$203,R3:R203)-LOOKUP('Données projet'!$E$9,$A$3:$A$203,$H$3:$H$203))</f>
        <v>247.01165577562966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475.47920969424894</v>
      </c>
      <c r="AO3" s="62">
        <f>IF('Données projet'!E10&gt;30,$AM$33-$H$33,LOOKUP('Données projet'!$E$10,$A$3:$A$203,AM3:AM203)-LOOKUP('Données projet'!$E$10,$A$3:$A$203,$H$3:$H$203))</f>
        <v>271.73544012419364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290.85271051443431</v>
      </c>
      <c r="BJ3" s="62">
        <f>IF('Données projet'!E11&gt;30,$BH$33-$H$33,LOOKUP('Données projet'!$E$11,$A$3:$A$203,BH3:BH203)-LOOKUP('Données projet'!$E$11,$A$3:$A$203,$H$3:$H$203))</f>
        <v>318.66958823451142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255.59755832175625</v>
      </c>
      <c r="CE3" s="62">
        <f>IF('Données projet'!E12&gt;30,$CC$33-$H$33,LOOKUP('Données projet'!$E$12,$A$3:$A$203,CC3:CC203)-LOOKUP('Données projet'!$E$12,$A$3:$A$203,$H$3:$H$203))</f>
        <v>154.0840647586964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292.57482726862594</v>
      </c>
      <c r="CZ3" s="62">
        <f>IF('Données projet'!E13&gt;30,$CX$33-$H$33,LOOKUP('Données projet'!$E$13,$A$3:$A$203,CX3:CX203)-LOOKUP('Données projet'!$E$13,$A$3:$A$203,$H$3:$H$203))</f>
        <v>283.48738729114024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428.8489304403459</v>
      </c>
      <c r="T4" s="62">
        <f>$T$3</f>
        <v>247.01165577562966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475.47920969424894</v>
      </c>
      <c r="AO4" s="62">
        <f>$AO$3</f>
        <v>271.73544012419364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0.9327585484198414</v>
      </c>
      <c r="BF4" s="14">
        <f>EXP(-1.0587+0.8836*LN(BE4)+0.284)</f>
        <v>0.43335135961225768</v>
      </c>
      <c r="BG4" s="22">
        <f t="shared" ref="BG4:BG67" si="7">(BE4+BF4)*0.475*44/12</f>
        <v>2.3793080898225729</v>
      </c>
      <c r="BH4" s="62">
        <f t="shared" ref="BH4:BH67" si="8">BG4+(AY4+AZ4)*44/12</f>
        <v>260.26819697871144</v>
      </c>
      <c r="BI4" s="62">
        <f ca="1">AVERAGE(OFFSET($BH$3,0,0,'Données projet'!$E$11+1,1))-AVERAGE(OFFSET($H$3,0,0,'Données projet'!$E$11+1,1))</f>
        <v>290.85271051443431</v>
      </c>
      <c r="BJ4" s="62">
        <f>$BJ$3</f>
        <v>318.66958823451142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1.05</v>
      </c>
      <c r="BY4" s="13">
        <f>IF('Données projet'!$A$114&gt;35,BY3+BX4-CG3,IF(A4&lt;'Données projet'!$A$114,$BV$205^A4,IF(A4='Données projet'!$A$114,'Données projet'!$B$114,BY3+BX4-CG3)))</f>
        <v>1.1644235083052243</v>
      </c>
      <c r="BZ4" s="14">
        <f>BY4*VLOOKUP('Données projet'!$B$12,Paramètres!$A$1:$I$89,3,0)*VLOOKUP('Données projet'!$B$12,Paramètres!$A$1:$I$89,5,0)</f>
        <v>1.126230417232813</v>
      </c>
      <c r="CA4" s="14">
        <f>EXP(-1.0587+0.8836*LN(BZ4)+0.284)</f>
        <v>0.51188205554259503</v>
      </c>
      <c r="CB4" s="22">
        <f t="shared" ref="CB4:CB67" si="10">(BZ4+CA4)*0.475*44/12</f>
        <v>2.8530458900838358</v>
      </c>
      <c r="CC4" s="62">
        <f t="shared" ref="CC4:CC67" si="11">CB4+(BT4+BU4)*44/12</f>
        <v>260.74193477897268</v>
      </c>
      <c r="CD4" s="62">
        <f ca="1">AVERAGE(OFFSET($CC$3,0,0,'Données projet'!$E$12+1,1))-AVERAGE(OFFSET($H$3,0,0,'Données projet'!$E$12+1,1))</f>
        <v>255.59755832175625</v>
      </c>
      <c r="CE4" s="62">
        <f>$CE$3</f>
        <v>154.0840647586964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260.42698077017764</v>
      </c>
      <c r="CY4" s="62">
        <f ca="1">AVERAGE(OFFSET($CX$3,0,0,'Données projet'!$E$13+1,1))-AVERAGE(OFFSET($H$3,0,0,'Données projet'!$E$13+1,1))</f>
        <v>292.57482726862594</v>
      </c>
      <c r="CZ4" s="62">
        <f>$CZ$3</f>
        <v>283.48738729114024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428.8489304403459</v>
      </c>
      <c r="T5" s="62">
        <f t="shared" ref="T5:T68" si="34">$T$3</f>
        <v>247.01165577562966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475.47920969424894</v>
      </c>
      <c r="AO5" s="62">
        <f t="shared" ref="AO5:AO68" si="36">$AO$3</f>
        <v>271.73544012419364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1.1866319007778094</v>
      </c>
      <c r="BF5" s="14">
        <f t="shared" ref="BF5:BF68" si="37">EXP(-1.0587+0.8836*LN(BE5)+0.284)</f>
        <v>0.53606530474621483</v>
      </c>
      <c r="BG5" s="22">
        <f t="shared" si="7"/>
        <v>3.0003642996210083</v>
      </c>
      <c r="BH5" s="62">
        <f t="shared" si="8"/>
        <v>262.11147541073217</v>
      </c>
      <c r="BI5" s="62">
        <f ca="1">AVERAGE(OFFSET($BH$3,0,0,'Données projet'!$E$11+1,1))-AVERAGE(OFFSET($H$3,0,0,'Données projet'!$E$11+1,1))</f>
        <v>290.85271051443431</v>
      </c>
      <c r="BJ5" s="62">
        <f t="shared" ref="BJ5:BJ68" si="38">$BJ$3</f>
        <v>318.66958823451142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1.05</v>
      </c>
      <c r="BY5" s="13">
        <f>IF('Données projet'!$A$114&gt;35,BY4+BX5-CG4,IF(A5&lt;'Données projet'!$A$114,$BV$205^A5,IF(A5='Données projet'!$A$114,'Données projet'!$B$114,BY4+BX5-CG4)))</f>
        <v>1.3558821066938469</v>
      </c>
      <c r="BZ5" s="14">
        <f>BY5*VLOOKUP('Données projet'!$B$12,Paramètres!$A$1:$I$89,3,0)*VLOOKUP('Données projet'!$B$12,Paramètres!$A$1:$I$89,5,0)</f>
        <v>1.3114091735942888</v>
      </c>
      <c r="CA5" s="14">
        <f t="shared" ref="CA5:CA68" si="39">EXP(-1.0587+0.8836*LN(BZ5)+0.284)</f>
        <v>0.58557908091788968</v>
      </c>
      <c r="CB5" s="22">
        <f t="shared" si="10"/>
        <v>3.3039212099420436</v>
      </c>
      <c r="CC5" s="62">
        <f t="shared" si="11"/>
        <v>262.41503232105316</v>
      </c>
      <c r="CD5" s="62">
        <f ca="1">AVERAGE(OFFSET($CC$3,0,0,'Données projet'!$E$12+1,1))-AVERAGE(OFFSET($H$3,0,0,'Données projet'!$E$12+1,1))</f>
        <v>255.59755832175625</v>
      </c>
      <c r="CE5" s="62">
        <f t="shared" ref="CE5:CE68" si="40">$CE$3</f>
        <v>154.0840647586964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262.32793292279484</v>
      </c>
      <c r="CY5" s="62">
        <f ca="1">AVERAGE(OFFSET($CX$3,0,0,'Données projet'!$E$13+1,1))-AVERAGE(OFFSET($H$3,0,0,'Données projet'!$E$13+1,1))</f>
        <v>292.57482726862594</v>
      </c>
      <c r="CZ5" s="62">
        <f t="shared" ref="CZ5:CZ68" si="42">$CZ$3</f>
        <v>283.48738729114024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428.8489304403459</v>
      </c>
      <c r="T6" s="62">
        <f t="shared" si="34"/>
        <v>247.01165577562966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475.47920969424894</v>
      </c>
      <c r="AO6" s="62">
        <f t="shared" si="36"/>
        <v>271.73544012419364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1.5096031768660487</v>
      </c>
      <c r="BF6" s="14">
        <f t="shared" si="37"/>
        <v>0.66312474757151718</v>
      </c>
      <c r="BG6" s="22">
        <f t="shared" si="7"/>
        <v>3.7841678017287599</v>
      </c>
      <c r="BH6" s="62">
        <f t="shared" si="8"/>
        <v>264.11750113506207</v>
      </c>
      <c r="BI6" s="62">
        <f ca="1">AVERAGE(OFFSET($BH$3,0,0,'Données projet'!$E$11+1,1))-AVERAGE(OFFSET($H$3,0,0,'Données projet'!$E$11+1,1))</f>
        <v>290.85271051443431</v>
      </c>
      <c r="BJ6" s="62">
        <f t="shared" si="38"/>
        <v>318.66958823451142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1.05</v>
      </c>
      <c r="BY6" s="13">
        <f>IF('Données projet'!$A$114&gt;35,BY5+BX6-CG5,IF(A6&lt;'Données projet'!$A$114,$BV$205^A6,IF(A6='Données projet'!$A$114,'Données projet'!$B$114,BY5+BX6-CG5)))</f>
        <v>1.5788209995247278</v>
      </c>
      <c r="BZ6" s="14">
        <f>BY6*VLOOKUP('Données projet'!$B$12,Paramètres!$A$1:$I$89,3,0)*VLOOKUP('Données projet'!$B$12,Paramètres!$A$1:$I$89,5,0)</f>
        <v>1.5270356707403168</v>
      </c>
      <c r="CA6" s="14">
        <f t="shared" si="39"/>
        <v>0.66988646367992577</v>
      </c>
      <c r="CB6" s="22">
        <f t="shared" si="10"/>
        <v>3.8263060507819229</v>
      </c>
      <c r="CC6" s="62">
        <f t="shared" si="11"/>
        <v>264.15963938411522</v>
      </c>
      <c r="CD6" s="62">
        <f ca="1">AVERAGE(OFFSET($CC$3,0,0,'Données projet'!$E$12+1,1))-AVERAGE(OFFSET($H$3,0,0,'Données projet'!$E$12+1,1))</f>
        <v>255.59755832175625</v>
      </c>
      <c r="CE6" s="62">
        <f t="shared" si="40"/>
        <v>154.0840647586964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264.41110313686249</v>
      </c>
      <c r="CY6" s="62">
        <f ca="1">AVERAGE(OFFSET($CX$3,0,0,'Données projet'!$E$13+1,1))-AVERAGE(OFFSET($H$3,0,0,'Données projet'!$E$13+1,1))</f>
        <v>292.57482726862594</v>
      </c>
      <c r="CZ6" s="62">
        <f t="shared" si="42"/>
        <v>283.48738729114024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428.8489304403459</v>
      </c>
      <c r="T7" s="62">
        <f t="shared" si="34"/>
        <v>247.01165577562966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475.47920969424894</v>
      </c>
      <c r="AO7" s="62">
        <f t="shared" si="36"/>
        <v>271.73544012419364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1.9204790888482772</v>
      </c>
      <c r="BF7" s="14">
        <f t="shared" si="37"/>
        <v>0.82030011446080875</v>
      </c>
      <c r="BG7" s="22">
        <f t="shared" si="7"/>
        <v>4.7735237790966574</v>
      </c>
      <c r="BH7" s="62">
        <f t="shared" si="8"/>
        <v>266.32907933465219</v>
      </c>
      <c r="BI7" s="62">
        <f ca="1">AVERAGE(OFFSET($BH$3,0,0,'Données projet'!$E$11+1,1))-AVERAGE(OFFSET($H$3,0,0,'Données projet'!$E$11+1,1))</f>
        <v>290.85271051443431</v>
      </c>
      <c r="BJ7" s="62">
        <f t="shared" si="38"/>
        <v>318.66958823451142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1.05</v>
      </c>
      <c r="BY7" s="13">
        <f>IF('Données projet'!$A$114&gt;35,BY6+BX7-CG6,IF(A7&lt;'Données projet'!$A$114,$BV$205^A7,IF(A7='Données projet'!$A$114,'Données projet'!$B$114,BY6+BX7-CG6)))</f>
        <v>1.8384162872525445</v>
      </c>
      <c r="BZ7" s="14">
        <f>BY7*VLOOKUP('Données projet'!$B$12,Paramètres!$A$1:$I$89,3,0)*VLOOKUP('Données projet'!$B$12,Paramètres!$A$1:$I$89,5,0)</f>
        <v>1.778116233030661</v>
      </c>
      <c r="CA7" s="14">
        <f t="shared" si="39"/>
        <v>0.76633180529295619</v>
      </c>
      <c r="CB7" s="22">
        <f t="shared" si="10"/>
        <v>4.431580333413633</v>
      </c>
      <c r="CC7" s="62">
        <f t="shared" si="11"/>
        <v>265.98713588896919</v>
      </c>
      <c r="CD7" s="62">
        <f ca="1">AVERAGE(OFFSET($CC$3,0,0,'Données projet'!$E$12+1,1))-AVERAGE(OFFSET($H$3,0,0,'Données projet'!$E$12+1,1))</f>
        <v>255.59755832175625</v>
      </c>
      <c r="CE7" s="62">
        <f t="shared" si="40"/>
        <v>154.0840647586964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266.72559198951097</v>
      </c>
      <c r="CY7" s="62">
        <f ca="1">AVERAGE(OFFSET($CX$3,0,0,'Données projet'!$E$13+1,1))-AVERAGE(OFFSET($H$3,0,0,'Données projet'!$E$13+1,1))</f>
        <v>292.57482726862594</v>
      </c>
      <c r="CZ7" s="62">
        <f t="shared" si="42"/>
        <v>283.48738729114024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428.8489304403459</v>
      </c>
      <c r="T8" s="62">
        <f t="shared" si="34"/>
        <v>247.01165577562966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475.47920969424894</v>
      </c>
      <c r="AO8" s="62">
        <f t="shared" si="36"/>
        <v>271.73544012419364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2.4431850616268127</v>
      </c>
      <c r="BF8" s="14">
        <f t="shared" si="37"/>
        <v>1.0147295516396715</v>
      </c>
      <c r="BG8" s="22">
        <f t="shared" si="7"/>
        <v>6.0225346181057935</v>
      </c>
      <c r="BH8" s="62">
        <f t="shared" si="8"/>
        <v>268.80031239588357</v>
      </c>
      <c r="BI8" s="62">
        <f ca="1">AVERAGE(OFFSET($BH$3,0,0,'Données projet'!$E$11+1,1))-AVERAGE(OFFSET($H$3,0,0,'Données projet'!$E$11+1,1))</f>
        <v>290.85271051443431</v>
      </c>
      <c r="BJ8" s="62">
        <f t="shared" si="38"/>
        <v>318.66958823451142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1.05</v>
      </c>
      <c r="BY8" s="13">
        <f>IF('Données projet'!$A$114&gt;35,BY7+BX8-CG7,IF(A8&lt;'Données projet'!$A$114,$BV$205^A8,IF(A8='Données projet'!$A$114,'Données projet'!$B$114,BY7+BX8-CG7)))</f>
        <v>2.1406951429280729</v>
      </c>
      <c r="BZ8" s="14">
        <f>BY8*VLOOKUP('Données projet'!$B$12,Paramètres!$A$1:$I$89,3,0)*VLOOKUP('Données projet'!$B$12,Paramètres!$A$1:$I$89,5,0)</f>
        <v>2.0704803422400322</v>
      </c>
      <c r="CA8" s="14">
        <f t="shared" si="39"/>
        <v>0.87666264008009354</v>
      </c>
      <c r="CB8" s="22">
        <f t="shared" si="10"/>
        <v>5.1329406942075515</v>
      </c>
      <c r="CC8" s="62">
        <f t="shared" si="11"/>
        <v>267.91071847198532</v>
      </c>
      <c r="CD8" s="62">
        <f ca="1">AVERAGE(OFFSET($CC$3,0,0,'Données projet'!$E$12+1,1))-AVERAGE(OFFSET($H$3,0,0,'Données projet'!$E$12+1,1))</f>
        <v>255.59755832175625</v>
      </c>
      <c r="CE8" s="62">
        <f t="shared" si="40"/>
        <v>154.0840647586964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269.33377625930052</v>
      </c>
      <c r="CY8" s="62">
        <f ca="1">AVERAGE(OFFSET($CX$3,0,0,'Données projet'!$E$13+1,1))-AVERAGE(OFFSET($H$3,0,0,'Données projet'!$E$13+1,1))</f>
        <v>292.57482726862594</v>
      </c>
      <c r="CZ8" s="62">
        <f t="shared" si="42"/>
        <v>283.48738729114024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428.8489304403459</v>
      </c>
      <c r="T9" s="62">
        <f t="shared" si="34"/>
        <v>247.01165577562966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475.47920969424894</v>
      </c>
      <c r="AO9" s="62">
        <f t="shared" si="36"/>
        <v>271.73544012419364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3.1081584173541552</v>
      </c>
      <c r="BF9" s="14">
        <f t="shared" si="37"/>
        <v>1.2552431053208675</v>
      </c>
      <c r="BG9" s="22">
        <f t="shared" si="7"/>
        <v>7.5995909853256647</v>
      </c>
      <c r="BH9" s="62">
        <f t="shared" si="8"/>
        <v>271.59959098532568</v>
      </c>
      <c r="BI9" s="62">
        <f ca="1">AVERAGE(OFFSET($BH$3,0,0,'Données projet'!$E$11+1,1))-AVERAGE(OFFSET($H$3,0,0,'Données projet'!$E$11+1,1))</f>
        <v>290.85271051443431</v>
      </c>
      <c r="BJ9" s="62">
        <f t="shared" si="38"/>
        <v>318.66958823451142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1.05</v>
      </c>
      <c r="BY9" s="13">
        <f>IF('Données projet'!$A$114&gt;35,BY8+BX9-CG8,IF(A9&lt;'Données projet'!$A$114,$BV$205^A9,IF(A9='Données projet'!$A$114,'Données projet'!$B$114,BY8+BX9-CG8)))</f>
        <v>2.4926757485402602</v>
      </c>
      <c r="BZ9" s="14">
        <f>BY9*VLOOKUP('Données projet'!$B$12,Paramètres!$A$1:$I$89,3,0)*VLOOKUP('Données projet'!$B$12,Paramètres!$A$1:$I$89,5,0)</f>
        <v>2.41091598398814</v>
      </c>
      <c r="CA9" s="14">
        <f t="shared" si="39"/>
        <v>1.0028780995438396</v>
      </c>
      <c r="CB9" s="22">
        <f t="shared" si="10"/>
        <v>5.945691362151531</v>
      </c>
      <c r="CC9" s="62">
        <f t="shared" si="11"/>
        <v>269.94569136215154</v>
      </c>
      <c r="CD9" s="62">
        <f ca="1">AVERAGE(OFFSET($CC$3,0,0,'Données projet'!$E$12+1,1))-AVERAGE(OFFSET($H$3,0,0,'Données projet'!$E$12+1,1))</f>
        <v>255.59755832175625</v>
      </c>
      <c r="CE9" s="62">
        <f t="shared" si="40"/>
        <v>154.0840647586964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272.31491008523295</v>
      </c>
      <c r="CY9" s="62">
        <f ca="1">AVERAGE(OFFSET($CX$3,0,0,'Données projet'!$E$13+1,1))-AVERAGE(OFFSET($H$3,0,0,'Données projet'!$E$13+1,1))</f>
        <v>292.57482726862594</v>
      </c>
      <c r="CZ9" s="62">
        <f t="shared" si="42"/>
        <v>283.48738729114024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428.8489304403459</v>
      </c>
      <c r="T10" s="62">
        <f t="shared" si="34"/>
        <v>247.01165577562966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475.47920969424894</v>
      </c>
      <c r="AO10" s="62">
        <f t="shared" si="36"/>
        <v>271.73544012419364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3.9541207496319881</v>
      </c>
      <c r="BF10" s="14">
        <f t="shared" si="37"/>
        <v>1.5527637397664751</v>
      </c>
      <c r="BG10" s="22">
        <f t="shared" si="7"/>
        <v>9.5911571523689911</v>
      </c>
      <c r="BH10" s="62">
        <f t="shared" si="8"/>
        <v>274.81337937459119</v>
      </c>
      <c r="BI10" s="62">
        <f ca="1">AVERAGE(OFFSET($BH$3,0,0,'Données projet'!$E$11+1,1))-AVERAGE(OFFSET($H$3,0,0,'Données projet'!$E$11+1,1))</f>
        <v>290.85271051443431</v>
      </c>
      <c r="BJ10" s="62">
        <f t="shared" si="38"/>
        <v>318.66958823451142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1.05</v>
      </c>
      <c r="BY10" s="13">
        <f>IF('Données projet'!$A$114&gt;35,BY9+BX10-CG9,IF(A10&lt;'Données projet'!$A$114,$BV$205^A10,IF(A10='Données projet'!$A$114,'Données projet'!$B$114,BY9+BX10-CG9)))</f>
        <v>2.9025302401826014</v>
      </c>
      <c r="BZ10" s="14">
        <f>BY10*VLOOKUP('Données projet'!$B$12,Paramètres!$A$1:$I$89,3,0)*VLOOKUP('Données projet'!$B$12,Paramètres!$A$1:$I$89,5,0)</f>
        <v>2.8073272483046123</v>
      </c>
      <c r="CA10" s="14">
        <f t="shared" si="39"/>
        <v>1.1472651354833312</v>
      </c>
      <c r="CB10" s="22">
        <f t="shared" si="10"/>
        <v>6.887581735097335</v>
      </c>
      <c r="CC10" s="62">
        <f t="shared" si="11"/>
        <v>272.10980395731957</v>
      </c>
      <c r="CD10" s="62">
        <f ca="1">AVERAGE(OFFSET($CC$3,0,0,'Données projet'!$E$12+1,1))-AVERAGE(OFFSET($H$3,0,0,'Données projet'!$E$12+1,1))</f>
        <v>255.59755832175625</v>
      </c>
      <c r="CE10" s="62">
        <f t="shared" si="40"/>
        <v>154.0840647586964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275.76970579909499</v>
      </c>
      <c r="CY10" s="62">
        <f ca="1">AVERAGE(OFFSET($CX$3,0,0,'Données projet'!$E$13+1,1))-AVERAGE(OFFSET($H$3,0,0,'Données projet'!$E$13+1,1))</f>
        <v>292.57482726862594</v>
      </c>
      <c r="CZ10" s="62">
        <f t="shared" si="42"/>
        <v>283.48738729114024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428.8489304403459</v>
      </c>
      <c r="T11" s="62">
        <f t="shared" si="34"/>
        <v>247.01165577562966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475.47920969424894</v>
      </c>
      <c r="AO11" s="62">
        <f t="shared" si="36"/>
        <v>271.73544012419364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5.0303326932671979</v>
      </c>
      <c r="BF11" s="14">
        <f t="shared" si="37"/>
        <v>1.9208034055819379</v>
      </c>
      <c r="BG11" s="22">
        <f t="shared" si="7"/>
        <v>12.106562038828912</v>
      </c>
      <c r="BH11" s="62">
        <f t="shared" si="8"/>
        <v>278.55100648327334</v>
      </c>
      <c r="BI11" s="62">
        <f ca="1">AVERAGE(OFFSET($BH$3,0,0,'Données projet'!$E$11+1,1))-AVERAGE(OFFSET($H$3,0,0,'Données projet'!$E$11+1,1))</f>
        <v>290.85271051443431</v>
      </c>
      <c r="BJ11" s="62">
        <f t="shared" si="38"/>
        <v>318.66958823451142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1.05</v>
      </c>
      <c r="BY11" s="13">
        <f>IF('Données projet'!$A$114&gt;35,BY10+BX11-CG10,IF(A11&lt;'Données projet'!$A$114,$BV$205^A11,IF(A11='Données projet'!$A$114,'Données projet'!$B$114,BY10+BX11-CG10)))</f>
        <v>3.3797744452354301</v>
      </c>
      <c r="BZ11" s="14">
        <f>BY11*VLOOKUP('Données projet'!$B$12,Paramètres!$A$1:$I$89,3,0)*VLOOKUP('Données projet'!$B$12,Paramètres!$A$1:$I$89,5,0)</f>
        <v>3.2689178434317077</v>
      </c>
      <c r="CA11" s="14">
        <f t="shared" si="39"/>
        <v>1.3124399582504287</v>
      </c>
      <c r="CB11" s="22">
        <f t="shared" si="10"/>
        <v>7.9791981712630529</v>
      </c>
      <c r="CC11" s="62">
        <f t="shared" si="11"/>
        <v>274.42364261570754</v>
      </c>
      <c r="CD11" s="62">
        <f ca="1">AVERAGE(OFFSET($CC$3,0,0,'Données projet'!$E$12+1,1))-AVERAGE(OFFSET($H$3,0,0,'Données projet'!$E$12+1,1))</f>
        <v>255.59755832175625</v>
      </c>
      <c r="CE11" s="62">
        <f t="shared" si="40"/>
        <v>154.0840647586964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279.82616165924384</v>
      </c>
      <c r="CY11" s="62">
        <f ca="1">AVERAGE(OFFSET($CX$3,0,0,'Données projet'!$E$13+1,1))-AVERAGE(OFFSET($H$3,0,0,'Données projet'!$E$13+1,1))</f>
        <v>292.57482726862594</v>
      </c>
      <c r="CZ11" s="62">
        <f t="shared" si="42"/>
        <v>283.48738729114024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428.8489304403459</v>
      </c>
      <c r="T12" s="62">
        <f t="shared" si="34"/>
        <v>247.01165577562966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475.47920969424894</v>
      </c>
      <c r="AO12" s="62">
        <f t="shared" si="36"/>
        <v>271.73544012419364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6.399462385489338</v>
      </c>
      <c r="BF12" s="14">
        <f t="shared" si="37"/>
        <v>2.3760766872686268</v>
      </c>
      <c r="BG12" s="22">
        <f t="shared" si="7"/>
        <v>15.284063885053456</v>
      </c>
      <c r="BH12" s="62">
        <f t="shared" si="8"/>
        <v>282.95073055172014</v>
      </c>
      <c r="BI12" s="62">
        <f ca="1">AVERAGE(OFFSET($BH$3,0,0,'Données projet'!$E$11+1,1))-AVERAGE(OFFSET($H$3,0,0,'Données projet'!$E$11+1,1))</f>
        <v>290.85271051443431</v>
      </c>
      <c r="BJ12" s="62">
        <f t="shared" si="38"/>
        <v>318.66958823451142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1.05</v>
      </c>
      <c r="BY12" s="13">
        <f>IF('Données projet'!$A$114&gt;35,BY11+BX12-CG11,IF(A12&lt;'Données projet'!$A$114,$BV$205^A12,IF(A12='Données projet'!$A$114,'Données projet'!$B$114,BY11+BX12-CG11)))</f>
        <v>3.9354888168013828</v>
      </c>
      <c r="BZ12" s="14">
        <f>BY12*VLOOKUP('Données projet'!$B$12,Paramètres!$A$1:$I$89,3,0)*VLOOKUP('Données projet'!$B$12,Paramètres!$A$1:$I$89,5,0)</f>
        <v>3.8064047836102977</v>
      </c>
      <c r="CA12" s="14">
        <f t="shared" si="39"/>
        <v>1.5013954409821026</v>
      </c>
      <c r="CB12" s="22">
        <f t="shared" si="10"/>
        <v>9.2444187244984306</v>
      </c>
      <c r="CC12" s="62">
        <f t="shared" si="11"/>
        <v>276.9110853911651</v>
      </c>
      <c r="CD12" s="62">
        <f ca="1">AVERAGE(OFFSET($CC$3,0,0,'Données projet'!$E$12+1,1))-AVERAGE(OFFSET($H$3,0,0,'Données projet'!$E$12+1,1))</f>
        <v>255.59755832175625</v>
      </c>
      <c r="CE12" s="62">
        <f t="shared" si="40"/>
        <v>154.0840647586964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284.64697678406844</v>
      </c>
      <c r="CY12" s="62">
        <f ca="1">AVERAGE(OFFSET($CX$3,0,0,'Données projet'!$E$13+1,1))-AVERAGE(OFFSET($H$3,0,0,'Données projet'!$E$13+1,1))</f>
        <v>292.57482726862594</v>
      </c>
      <c r="CZ12" s="62">
        <f t="shared" si="42"/>
        <v>283.48738729114024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428.8489304403459</v>
      </c>
      <c r="T13" s="62">
        <f t="shared" si="34"/>
        <v>247.01165577562966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475.47920969424894</v>
      </c>
      <c r="AO13" s="62">
        <f t="shared" si="36"/>
        <v>271.73544012419364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8.1412346499678296</v>
      </c>
      <c r="BF13" s="14">
        <f t="shared" si="37"/>
        <v>2.9392598989436851</v>
      </c>
      <c r="BG13" s="22">
        <f t="shared" si="7"/>
        <v>19.298528006020888</v>
      </c>
      <c r="BH13" s="62">
        <f t="shared" si="8"/>
        <v>288.18741689490975</v>
      </c>
      <c r="BI13" s="62">
        <f ca="1">AVERAGE(OFFSET($BH$3,0,0,'Données projet'!$E$11+1,1))-AVERAGE(OFFSET($H$3,0,0,'Données projet'!$E$11+1,1))</f>
        <v>290.85271051443431</v>
      </c>
      <c r="BJ13" s="62">
        <f t="shared" si="38"/>
        <v>318.66958823451142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1.05</v>
      </c>
      <c r="BY13" s="13">
        <f>IF('Données projet'!$A$114&gt;35,BY12+BX13-CG12,IF(A13&lt;'Données projet'!$A$114,$BV$205^A13,IF(A13='Données projet'!$A$114,'Données projet'!$B$114,BY12+BX13-CG12)))</f>
        <v>4.5825756949558425</v>
      </c>
      <c r="BZ13" s="14">
        <f>BY13*VLOOKUP('Données projet'!$B$12,Paramètres!$A$1:$I$89,3,0)*VLOOKUP('Données projet'!$B$12,Paramètres!$A$1:$I$89,5,0)</f>
        <v>4.4322672121612907</v>
      </c>
      <c r="CA13" s="14">
        <f t="shared" si="39"/>
        <v>1.7175553487466402</v>
      </c>
      <c r="CB13" s="22">
        <f t="shared" si="10"/>
        <v>10.71094096024798</v>
      </c>
      <c r="CC13" s="62">
        <f t="shared" si="11"/>
        <v>279.59982984913682</v>
      </c>
      <c r="CD13" s="62">
        <f ca="1">AVERAGE(OFFSET($CC$3,0,0,'Données projet'!$E$12+1,1))-AVERAGE(OFFSET($H$3,0,0,'Données projet'!$E$12+1,1))</f>
        <v>255.59755832175625</v>
      </c>
      <c r="CE13" s="62">
        <f t="shared" si="40"/>
        <v>154.0840647586964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290.43898667763051</v>
      </c>
      <c r="CY13" s="62">
        <f ca="1">AVERAGE(OFFSET($CX$3,0,0,'Données projet'!$E$13+1,1))-AVERAGE(OFFSET($H$3,0,0,'Données projet'!$E$13+1,1))</f>
        <v>292.57482726862594</v>
      </c>
      <c r="CZ13" s="62">
        <f t="shared" si="42"/>
        <v>283.48738729114024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428.8489304403459</v>
      </c>
      <c r="T14" s="62">
        <f t="shared" si="34"/>
        <v>247.01165577562966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475.47920969424894</v>
      </c>
      <c r="AO14" s="62">
        <f t="shared" si="36"/>
        <v>271.73544012419364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10.357073396684818</v>
      </c>
      <c r="BF14" s="14">
        <f t="shared" si="37"/>
        <v>3.6359301026893722</v>
      </c>
      <c r="BG14" s="22">
        <f t="shared" si="7"/>
        <v>24.371147761410047</v>
      </c>
      <c r="BH14" s="62">
        <f t="shared" si="8"/>
        <v>294.48225887252119</v>
      </c>
      <c r="BI14" s="62">
        <f ca="1">AVERAGE(OFFSET($BH$3,0,0,'Données projet'!$E$11+1,1))-AVERAGE(OFFSET($H$3,0,0,'Données projet'!$E$11+1,1))</f>
        <v>290.85271051443431</v>
      </c>
      <c r="BJ14" s="62">
        <f t="shared" si="38"/>
        <v>318.66958823451142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1.05</v>
      </c>
      <c r="BY14" s="13">
        <f>IF('Données projet'!$A$114&gt;35,BY13+BX14-CG13,IF(A14&lt;'Données projet'!$A$114,$BV$205^A14,IF(A14='Données projet'!$A$114,'Données projet'!$B$114,BY13+BX14-CG13)))</f>
        <v>5.3360588677947343</v>
      </c>
      <c r="BZ14" s="14">
        <f>BY14*VLOOKUP('Données projet'!$B$12,Paramètres!$A$1:$I$89,3,0)*VLOOKUP('Données projet'!$B$12,Paramètres!$A$1:$I$89,5,0)</f>
        <v>5.1610361369310676</v>
      </c>
      <c r="CA14" s="14">
        <f t="shared" si="39"/>
        <v>1.9648363752047393</v>
      </c>
      <c r="CB14" s="22">
        <f t="shared" si="10"/>
        <v>12.410894625303198</v>
      </c>
      <c r="CC14" s="62">
        <f t="shared" si="11"/>
        <v>282.52200573641431</v>
      </c>
      <c r="CD14" s="62">
        <f ca="1">AVERAGE(OFFSET($CC$3,0,0,'Données projet'!$E$12+1,1))-AVERAGE(OFFSET($H$3,0,0,'Données projet'!$E$12+1,1))</f>
        <v>255.59755832175625</v>
      </c>
      <c r="CE14" s="62">
        <f t="shared" si="40"/>
        <v>154.0840647586964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297.46517135674492</v>
      </c>
      <c r="CY14" s="62">
        <f ca="1">AVERAGE(OFFSET($CX$3,0,0,'Données projet'!$E$13+1,1))-AVERAGE(OFFSET($H$3,0,0,'Données projet'!$E$13+1,1))</f>
        <v>292.57482726862594</v>
      </c>
      <c r="CZ14" s="62">
        <f t="shared" si="42"/>
        <v>283.48738729114024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428.8489304403459</v>
      </c>
      <c r="T15" s="62">
        <f t="shared" si="34"/>
        <v>247.01165577562966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475.47920969424894</v>
      </c>
      <c r="AO15" s="62">
        <f t="shared" si="36"/>
        <v>271.73544012419364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13.176007565970389</v>
      </c>
      <c r="BF15" s="14">
        <f t="shared" si="37"/>
        <v>4.4977266952111856</v>
      </c>
      <c r="BG15" s="22">
        <f t="shared" si="7"/>
        <v>30.781753838224574</v>
      </c>
      <c r="BH15" s="62">
        <f t="shared" si="8"/>
        <v>302.11508717155789</v>
      </c>
      <c r="BI15" s="62">
        <f ca="1">AVERAGE(OFFSET($BH$3,0,0,'Données projet'!$E$11+1,1))-AVERAGE(OFFSET($H$3,0,0,'Données projet'!$E$11+1,1))</f>
        <v>290.85271051443431</v>
      </c>
      <c r="BJ15" s="62">
        <f t="shared" si="38"/>
        <v>318.66958823451142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1.05</v>
      </c>
      <c r="BY15" s="13">
        <f>IF('Données projet'!$A$114&gt;35,BY14+BX15-CG14,IF(A15&lt;'Données projet'!$A$114,$BV$205^A15,IF(A15='Données projet'!$A$114,'Données projet'!$B$114,BY14+BX15-CG14)))</f>
        <v>6.213432387360748</v>
      </c>
      <c r="BZ15" s="14">
        <f>BY15*VLOOKUP('Données projet'!$B$12,Paramètres!$A$1:$I$89,3,0)*VLOOKUP('Données projet'!$B$12,Paramètres!$A$1:$I$89,5,0)</f>
        <v>6.0096318050553155</v>
      </c>
      <c r="CA15" s="14">
        <f t="shared" si="39"/>
        <v>2.2477191108542129</v>
      </c>
      <c r="CB15" s="22">
        <f t="shared" si="10"/>
        <v>14.381552845209095</v>
      </c>
      <c r="CC15" s="62">
        <f t="shared" si="11"/>
        <v>285.71488617854243</v>
      </c>
      <c r="CD15" s="62">
        <f ca="1">AVERAGE(OFFSET($CC$3,0,0,'Données projet'!$E$12+1,1))-AVERAGE(OFFSET($H$3,0,0,'Données projet'!$E$12+1,1))</f>
        <v>255.59755832175625</v>
      </c>
      <c r="CE15" s="62">
        <f t="shared" si="40"/>
        <v>154.0840647586964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306.05993923876133</v>
      </c>
      <c r="CY15" s="62">
        <f ca="1">AVERAGE(OFFSET($CX$3,0,0,'Données projet'!$E$13+1,1))-AVERAGE(OFFSET($H$3,0,0,'Données projet'!$E$13+1,1))</f>
        <v>292.57482726862594</v>
      </c>
      <c r="CZ15" s="62">
        <f t="shared" si="42"/>
        <v>283.48738729114024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428.8489304403459</v>
      </c>
      <c r="T16" s="62">
        <f t="shared" si="34"/>
        <v>247.01165577562966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475.47920969424894</v>
      </c>
      <c r="AO16" s="62">
        <f t="shared" si="36"/>
        <v>271.73544012419364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16.762184521553994</v>
      </c>
      <c r="BF16" s="14">
        <f t="shared" si="37"/>
        <v>5.5637883164619248</v>
      </c>
      <c r="BG16" s="22">
        <f t="shared" si="7"/>
        <v>38.884402692877721</v>
      </c>
      <c r="BH16" s="62">
        <f t="shared" si="8"/>
        <v>311.43995824843324</v>
      </c>
      <c r="BI16" s="62">
        <f ca="1">AVERAGE(OFFSET($BH$3,0,0,'Données projet'!$E$11+1,1))-AVERAGE(OFFSET($H$3,0,0,'Données projet'!$E$11+1,1))</f>
        <v>290.85271051443431</v>
      </c>
      <c r="BJ16" s="62">
        <f t="shared" si="38"/>
        <v>318.66958823451142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1.05</v>
      </c>
      <c r="BY16" s="13">
        <f>IF('Données projet'!$A$114&gt;35,BY15+BX16-CG15,IF(A16&lt;'Données projet'!$A$114,$BV$205^A16,IF(A16='Données projet'!$A$114,'Données projet'!$B$114,BY15+BX16-CG15)))</f>
        <v>7.235066739107908</v>
      </c>
      <c r="BZ16" s="14">
        <f>BY16*VLOOKUP('Données projet'!$B$12,Paramètres!$A$1:$I$89,3,0)*VLOOKUP('Données projet'!$B$12,Paramètres!$A$1:$I$89,5,0)</f>
        <v>6.9977565500651693</v>
      </c>
      <c r="CA16" s="14">
        <f t="shared" si="39"/>
        <v>2.5713292287622704</v>
      </c>
      <c r="CB16" s="22">
        <f t="shared" si="10"/>
        <v>16.666157731457787</v>
      </c>
      <c r="CC16" s="62">
        <f t="shared" si="11"/>
        <v>289.22171328701336</v>
      </c>
      <c r="CD16" s="62">
        <f ca="1">AVERAGE(OFFSET($CC$3,0,0,'Données projet'!$E$12+1,1))-AVERAGE(OFFSET($H$3,0,0,'Données projet'!$E$12+1,1))</f>
        <v>255.59755832175625</v>
      </c>
      <c r="CE16" s="62">
        <f t="shared" si="40"/>
        <v>154.0840647586964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316.64858257249887</v>
      </c>
      <c r="CY16" s="62">
        <f ca="1">AVERAGE(OFFSET($CX$3,0,0,'Données projet'!$E$13+1,1))-AVERAGE(OFFSET($H$3,0,0,'Données projet'!$E$13+1,1))</f>
        <v>292.57482726862594</v>
      </c>
      <c r="CZ16" s="62">
        <f t="shared" si="42"/>
        <v>283.48738729114024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428.8489304403459</v>
      </c>
      <c r="T17" s="62">
        <f t="shared" si="34"/>
        <v>247.01165577562966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475.47920969424894</v>
      </c>
      <c r="AO17" s="62">
        <f t="shared" si="36"/>
        <v>271.73544012419364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21.324428399713909</v>
      </c>
      <c r="BF17" s="14">
        <f t="shared" si="37"/>
        <v>6.8825303376831179</v>
      </c>
      <c r="BG17" s="22">
        <f t="shared" si="7"/>
        <v>49.127119800966483</v>
      </c>
      <c r="BH17" s="62">
        <f t="shared" si="8"/>
        <v>322.90489757874423</v>
      </c>
      <c r="BI17" s="62">
        <f ca="1">AVERAGE(OFFSET($BH$3,0,0,'Données projet'!$E$11+1,1))-AVERAGE(OFFSET($H$3,0,0,'Données projet'!$E$11+1,1))</f>
        <v>290.85271051443431</v>
      </c>
      <c r="BJ17" s="62">
        <f t="shared" si="38"/>
        <v>318.66958823451142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1.05</v>
      </c>
      <c r="BY17" s="13">
        <f>IF('Données projet'!$A$114&gt;35,BY16+BX17-CG16,IF(A17&lt;'Données projet'!$A$114,$BV$205^A17,IF(A17='Données projet'!$A$114,'Données projet'!$B$114,BY16+BX17-CG16)))</f>
        <v>8.4246817951744681</v>
      </c>
      <c r="BZ17" s="14">
        <f>BY17*VLOOKUP('Données projet'!$B$12,Paramètres!$A$1:$I$89,3,0)*VLOOKUP('Données projet'!$B$12,Paramètres!$A$1:$I$89,5,0)</f>
        <v>8.148352232292746</v>
      </c>
      <c r="CA17" s="14">
        <f t="shared" si="39"/>
        <v>2.9415303588242718</v>
      </c>
      <c r="CB17" s="22">
        <f t="shared" si="10"/>
        <v>19.314878846195473</v>
      </c>
      <c r="CC17" s="62">
        <f t="shared" si="11"/>
        <v>293.09265662397326</v>
      </c>
      <c r="CD17" s="62">
        <f ca="1">AVERAGE(OFFSET($CC$3,0,0,'Données projet'!$E$12+1,1))-AVERAGE(OFFSET($H$3,0,0,'Données projet'!$E$12+1,1))</f>
        <v>255.59755832175625</v>
      </c>
      <c r="CE17" s="62">
        <f t="shared" si="40"/>
        <v>154.0840647586964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329.77204569188632</v>
      </c>
      <c r="CY17" s="62">
        <f ca="1">AVERAGE(OFFSET($CX$3,0,0,'Données projet'!$E$13+1,1))-AVERAGE(OFFSET($H$3,0,0,'Données projet'!$E$13+1,1))</f>
        <v>292.57482726862594</v>
      </c>
      <c r="CZ17" s="62">
        <f t="shared" si="42"/>
        <v>283.48738729114024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428.8489304403459</v>
      </c>
      <c r="T18" s="62">
        <f t="shared" si="34"/>
        <v>247.01165577562966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475.47920969424894</v>
      </c>
      <c r="AO18" s="62">
        <f t="shared" si="36"/>
        <v>271.73544012419364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27.128400000000003</v>
      </c>
      <c r="BF18" s="14">
        <f t="shared" si="37"/>
        <v>8.5138436537878839</v>
      </c>
      <c r="BG18" s="22">
        <f t="shared" si="7"/>
        <v>62.076907697013901</v>
      </c>
      <c r="BH18" s="62">
        <f t="shared" si="8"/>
        <v>337.07690769701389</v>
      </c>
      <c r="BI18" s="62">
        <f ca="1">AVERAGE(OFFSET($BH$3,0,0,'Données projet'!$E$11+1,1))-AVERAGE(OFFSET($H$3,0,0,'Données projet'!$E$11+1,1))</f>
        <v>290.85271051443431</v>
      </c>
      <c r="BJ18" s="62">
        <f t="shared" si="38"/>
        <v>318.66958823451142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1.05</v>
      </c>
      <c r="BY18" s="13">
        <f>IF('Données projet'!$A$114&gt;35,BY17+BX18-CG17,IF(A18&lt;'Données projet'!$A$114,$BV$205^A18,IF(A18='Données projet'!$A$114,'Données projet'!$B$114,BY17+BX18-CG17)))</f>
        <v>9.8098975322922115</v>
      </c>
      <c r="BZ18" s="14">
        <f>BY18*VLOOKUP('Données projet'!$B$12,Paramètres!$A$1:$I$89,3,0)*VLOOKUP('Données projet'!$B$12,Paramètres!$A$1:$I$89,5,0)</f>
        <v>9.4881328932330273</v>
      </c>
      <c r="CA18" s="14">
        <f t="shared" si="39"/>
        <v>3.3650303333773621</v>
      </c>
      <c r="CB18" s="22">
        <f t="shared" si="10"/>
        <v>22.385925953013096</v>
      </c>
      <c r="CC18" s="62">
        <f t="shared" si="11"/>
        <v>297.3859259530131</v>
      </c>
      <c r="CD18" s="62">
        <f ca="1">AVERAGE(OFFSET($CC$3,0,0,'Données projet'!$E$12+1,1))-AVERAGE(OFFSET($H$3,0,0,'Données projet'!$E$12+1,1))</f>
        <v>255.59755832175625</v>
      </c>
      <c r="CE18" s="62">
        <f t="shared" si="40"/>
        <v>154.0840647586964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346.11846028285146</v>
      </c>
      <c r="CY18" s="62">
        <f ca="1">AVERAGE(OFFSET($CX$3,0,0,'Données projet'!$E$13+1,1))-AVERAGE(OFFSET($H$3,0,0,'Données projet'!$E$13+1,1))</f>
        <v>292.57482726862594</v>
      </c>
      <c r="CZ18" s="62">
        <f t="shared" si="42"/>
        <v>283.48738729114024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428.8489304403459</v>
      </c>
      <c r="T19" s="62">
        <f t="shared" si="34"/>
        <v>247.01165577562966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475.47920969424894</v>
      </c>
      <c r="AO19" s="62">
        <f t="shared" si="36"/>
        <v>271.73544012419364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11.6</v>
      </c>
      <c r="BD19" s="13">
        <f>IF('Données projet'!$A$88&gt;35,BD18+BC19-BL18,IF(A19&lt;'Données projet'!$A$88,$BA$205^A19,IF(A19='Données projet'!$A$88,'Données projet'!$B$88,BD18+BC19-BL18)))</f>
        <v>48.6</v>
      </c>
      <c r="BE19" s="14">
        <f>BD19*VLOOKUP('Données projet'!$B$11,Paramètres!$A$1:$I$89,3,0)*VLOOKUP('Données projet'!$B$11,Paramètres!$A$1:$I$89,5,0)</f>
        <v>35.633519999999997</v>
      </c>
      <c r="BF19" s="14">
        <f t="shared" si="37"/>
        <v>10.833640868297282</v>
      </c>
      <c r="BG19" s="22">
        <f t="shared" si="7"/>
        <v>80.930305178951087</v>
      </c>
      <c r="BH19" s="62">
        <f t="shared" si="8"/>
        <v>357.1525274011733</v>
      </c>
      <c r="BI19" s="62">
        <f ca="1">AVERAGE(OFFSET($BH$3,0,0,'Données projet'!$E$11+1,1))-AVERAGE(OFFSET($H$3,0,0,'Données projet'!$E$11+1,1))</f>
        <v>290.85271051443431</v>
      </c>
      <c r="BJ19" s="62">
        <f t="shared" si="38"/>
        <v>318.66958823451142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1.05</v>
      </c>
      <c r="BY19" s="13">
        <f>IF('Données projet'!$A$114&gt;35,BY18+BX19-CG18,IF(A19&lt;'Données projet'!$A$114,$BV$205^A19,IF(A19='Données projet'!$A$114,'Données projet'!$B$114,BY18+BX19-CG18)))</f>
        <v>11.42287530066646</v>
      </c>
      <c r="BZ19" s="14">
        <f>BY19*VLOOKUP('Données projet'!$B$12,Paramètres!$A$1:$I$89,3,0)*VLOOKUP('Données projet'!$B$12,Paramètres!$A$1:$I$89,5,0)</f>
        <v>11.048204990804599</v>
      </c>
      <c r="CA19" s="14">
        <f t="shared" si="39"/>
        <v>3.8495027292785511</v>
      </c>
      <c r="CB19" s="22">
        <f t="shared" si="10"/>
        <v>25.946840945811488</v>
      </c>
      <c r="CC19" s="62">
        <f t="shared" si="11"/>
        <v>302.16906316803374</v>
      </c>
      <c r="CD19" s="62">
        <f ca="1">AVERAGE(OFFSET($CC$3,0,0,'Données projet'!$E$12+1,1))-AVERAGE(OFFSET($H$3,0,0,'Données projet'!$E$12+1,1))</f>
        <v>255.59755832175625</v>
      </c>
      <c r="CE19" s="62">
        <f t="shared" si="40"/>
        <v>154.0840647586964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2">
        <f t="shared" si="14"/>
        <v>363.89463787538273</v>
      </c>
      <c r="CY19" s="62">
        <f ca="1">AVERAGE(OFFSET($CX$3,0,0,'Données projet'!$E$13+1,1))-AVERAGE(OFFSET($H$3,0,0,'Données projet'!$E$13+1,1))</f>
        <v>292.57482726862594</v>
      </c>
      <c r="CZ19" s="62">
        <f t="shared" si="42"/>
        <v>283.48738729114024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428.8489304403459</v>
      </c>
      <c r="T20" s="62">
        <f t="shared" si="34"/>
        <v>247.01165577562966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475.47920969424894</v>
      </c>
      <c r="AO20" s="62">
        <f t="shared" si="36"/>
        <v>271.73544012419364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11.6</v>
      </c>
      <c r="BD20" s="13">
        <f>IF('Données projet'!$A$88&gt;35,BD19+BC20-BL19,IF(A20&lt;'Données projet'!$A$88,$BA$205^A20,IF(A20='Données projet'!$A$88,'Données projet'!$B$88,BD19+BC20-BL19)))</f>
        <v>60.2</v>
      </c>
      <c r="BE20" s="14">
        <f>BD20*VLOOKUP('Données projet'!$B$11,Paramètres!$A$1:$I$89,3,0)*VLOOKUP('Données projet'!$B$11,Paramètres!$A$1:$I$89,5,0)</f>
        <v>44.138640000000002</v>
      </c>
      <c r="BF20" s="14">
        <f t="shared" si="37"/>
        <v>13.089229634046784</v>
      </c>
      <c r="BG20" s="22">
        <f t="shared" si="7"/>
        <v>99.671872945964807</v>
      </c>
      <c r="BH20" s="62">
        <f t="shared" si="8"/>
        <v>377.11631739040928</v>
      </c>
      <c r="BI20" s="62">
        <f ca="1">AVERAGE(OFFSET($BH$3,0,0,'Données projet'!$E$11+1,1))-AVERAGE(OFFSET($H$3,0,0,'Données projet'!$E$11+1,1))</f>
        <v>290.85271051443431</v>
      </c>
      <c r="BJ20" s="62">
        <f t="shared" si="38"/>
        <v>318.66958823451142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1.05</v>
      </c>
      <c r="BY20" s="13">
        <f>IF('Données projet'!$A$114&gt;35,BY19+BX20-CG19,IF(A20&lt;'Données projet'!$A$114,$BV$205^A20,IF(A20='Données projet'!$A$114,'Données projet'!$B$114,BY19+BX20-CG19)))</f>
        <v>13.301064532535134</v>
      </c>
      <c r="BZ20" s="14">
        <f>BY20*VLOOKUP('Données projet'!$B$12,Paramètres!$A$1:$I$89,3,0)*VLOOKUP('Données projet'!$B$12,Paramètres!$A$1:$I$89,5,0)</f>
        <v>12.864789615867982</v>
      </c>
      <c r="CA20" s="14">
        <f t="shared" si="39"/>
        <v>4.4037259087201281</v>
      </c>
      <c r="CB20" s="22">
        <f t="shared" si="10"/>
        <v>30.07599787199096</v>
      </c>
      <c r="CC20" s="62">
        <f t="shared" si="11"/>
        <v>307.52044231643544</v>
      </c>
      <c r="CD20" s="62">
        <f ca="1">AVERAGE(OFFSET($CC$3,0,0,'Données projet'!$E$12+1,1))-AVERAGE(OFFSET($H$3,0,0,'Données projet'!$E$12+1,1))</f>
        <v>255.59755832175625</v>
      </c>
      <c r="CE20" s="62">
        <f t="shared" si="40"/>
        <v>154.0840647586964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2">
        <f t="shared" si="14"/>
        <v>381.59205090040246</v>
      </c>
      <c r="CY20" s="62">
        <f ca="1">AVERAGE(OFFSET($CX$3,0,0,'Données projet'!$E$13+1,1))-AVERAGE(OFFSET($H$3,0,0,'Données projet'!$E$13+1,1))</f>
        <v>292.57482726862594</v>
      </c>
      <c r="CZ20" s="62">
        <f t="shared" si="42"/>
        <v>283.48738729114024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428.8489304403459</v>
      </c>
      <c r="T21" s="62">
        <f t="shared" si="34"/>
        <v>247.01165577562966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475.47920969424894</v>
      </c>
      <c r="AO21" s="62">
        <f t="shared" si="36"/>
        <v>271.73544012419364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11.6</v>
      </c>
      <c r="BD21" s="13">
        <f>IF('Données projet'!$A$88&gt;35,BD20+BC21-BL20,IF(A21&lt;'Données projet'!$A$88,$BA$205^A21,IF(A21='Données projet'!$A$88,'Données projet'!$B$88,BD20+BC21-BL20)))</f>
        <v>71.8</v>
      </c>
      <c r="BE21" s="14">
        <f>BD21*VLOOKUP('Données projet'!$B$11,Paramètres!$A$1:$I$89,3,0)*VLOOKUP('Données projet'!$B$11,Paramètres!$A$1:$I$89,5,0)</f>
        <v>52.643759999999993</v>
      </c>
      <c r="BF21" s="14">
        <f t="shared" si="37"/>
        <v>15.294461344625528</v>
      </c>
      <c r="BG21" s="22">
        <f t="shared" si="7"/>
        <v>118.32573550855612</v>
      </c>
      <c r="BH21" s="62">
        <f t="shared" si="8"/>
        <v>396.99240217522282</v>
      </c>
      <c r="BI21" s="62">
        <f ca="1">AVERAGE(OFFSET($BH$3,0,0,'Données projet'!$E$11+1,1))-AVERAGE(OFFSET($H$3,0,0,'Données projet'!$E$11+1,1))</f>
        <v>290.85271051443431</v>
      </c>
      <c r="BJ21" s="62">
        <f t="shared" si="38"/>
        <v>318.66958823451142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1.05</v>
      </c>
      <c r="BY21" s="13">
        <f>IF('Données projet'!$A$114&gt;35,BY20+BX21-CG20,IF(A21&lt;'Données projet'!$A$114,$BV$205^A21,IF(A21='Données projet'!$A$114,'Données projet'!$B$114,BY20+BX21-CG20)))</f>
        <v>15.48807222716875</v>
      </c>
      <c r="BZ21" s="14">
        <f>BY21*VLOOKUP('Données projet'!$B$12,Paramètres!$A$1:$I$89,3,0)*VLOOKUP('Données projet'!$B$12,Paramètres!$A$1:$I$89,5,0)</f>
        <v>14.980063458117616</v>
      </c>
      <c r="CA21" s="14">
        <f t="shared" si="39"/>
        <v>5.0377420781222293</v>
      </c>
      <c r="CB21" s="22">
        <f t="shared" si="10"/>
        <v>34.864344642284394</v>
      </c>
      <c r="CC21" s="62">
        <f t="shared" si="11"/>
        <v>313.53101130895107</v>
      </c>
      <c r="CD21" s="62">
        <f ca="1">AVERAGE(OFFSET($CC$3,0,0,'Données projet'!$E$12+1,1))-AVERAGE(OFFSET($H$3,0,0,'Données projet'!$E$12+1,1))</f>
        <v>255.59755832175625</v>
      </c>
      <c r="CE21" s="62">
        <f t="shared" si="40"/>
        <v>154.0840647586964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2">
        <f t="shared" si="14"/>
        <v>399.22496218044483</v>
      </c>
      <c r="CY21" s="62">
        <f ca="1">AVERAGE(OFFSET($CX$3,0,0,'Données projet'!$E$13+1,1))-AVERAGE(OFFSET($H$3,0,0,'Données projet'!$E$13+1,1))</f>
        <v>292.57482726862594</v>
      </c>
      <c r="CZ21" s="62">
        <f t="shared" si="42"/>
        <v>283.48738729114024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428.8489304403459</v>
      </c>
      <c r="T22" s="62">
        <f t="shared" si="34"/>
        <v>247.01165577562966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475.47920969424894</v>
      </c>
      <c r="AO22" s="62">
        <f t="shared" si="36"/>
        <v>271.73544012419364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11.6</v>
      </c>
      <c r="BD22" s="13">
        <f>IF('Données projet'!$A$88&gt;35,BD21+BC22-BL21,IF(A22&lt;'Données projet'!$A$88,$BA$205^A22,IF(A22='Données projet'!$A$88,'Données projet'!$B$88,BD21+BC22-BL21)))</f>
        <v>83.399999999999991</v>
      </c>
      <c r="BE22" s="14">
        <f>BD22*VLOOKUP('Données projet'!$B$11,Paramètres!$A$1:$I$89,3,0)*VLOOKUP('Données projet'!$B$11,Paramètres!$A$1:$I$89,5,0)</f>
        <v>61.148879999999991</v>
      </c>
      <c r="BF22" s="14">
        <f t="shared" si="37"/>
        <v>17.458420499151</v>
      </c>
      <c r="BG22" s="22">
        <f t="shared" si="7"/>
        <v>136.9077150360213</v>
      </c>
      <c r="BH22" s="62">
        <f t="shared" si="8"/>
        <v>416.79660392491019</v>
      </c>
      <c r="BI22" s="62">
        <f ca="1">AVERAGE(OFFSET($BH$3,0,0,'Données projet'!$E$11+1,1))-AVERAGE(OFFSET($H$3,0,0,'Données projet'!$E$11+1,1))</f>
        <v>290.85271051443431</v>
      </c>
      <c r="BJ22" s="62">
        <f t="shared" si="38"/>
        <v>318.66958823451142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1.05</v>
      </c>
      <c r="BY22" s="13">
        <f>IF('Données projet'!$A$114&gt;35,BY21+BX22-CG21,IF(A22&lt;'Données projet'!$A$114,$BV$205^A22,IF(A22='Données projet'!$A$114,'Données projet'!$B$114,BY21+BX22-CG21)))</f>
        <v>18.034675399644545</v>
      </c>
      <c r="BZ22" s="14">
        <f>BY22*VLOOKUP('Données projet'!$B$12,Paramètres!$A$1:$I$89,3,0)*VLOOKUP('Données projet'!$B$12,Paramètres!$A$1:$I$89,5,0)</f>
        <v>17.443138046536202</v>
      </c>
      <c r="CA22" s="14">
        <f t="shared" si="39"/>
        <v>5.7630392471586012</v>
      </c>
      <c r="CB22" s="22">
        <f t="shared" si="10"/>
        <v>40.417425453185118</v>
      </c>
      <c r="CC22" s="62">
        <f t="shared" si="11"/>
        <v>320.30631434207396</v>
      </c>
      <c r="CD22" s="62">
        <f ca="1">AVERAGE(OFFSET($CC$3,0,0,'Données projet'!$E$12+1,1))-AVERAGE(OFFSET($H$3,0,0,'Données projet'!$E$12+1,1))</f>
        <v>255.59755832175625</v>
      </c>
      <c r="CE22" s="62">
        <f t="shared" si="40"/>
        <v>154.0840647586964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2">
        <f t="shared" si="14"/>
        <v>416.80340877667129</v>
      </c>
      <c r="CY22" s="62">
        <f ca="1">AVERAGE(OFFSET($CX$3,0,0,'Données projet'!$E$13+1,1))-AVERAGE(OFFSET($H$3,0,0,'Données projet'!$E$13+1,1))</f>
        <v>292.57482726862594</v>
      </c>
      <c r="CZ22" s="62">
        <f t="shared" si="42"/>
        <v>283.48738729114024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428.8489304403459</v>
      </c>
      <c r="T23" s="62">
        <f t="shared" si="34"/>
        <v>247.01165577562966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475.47920969424894</v>
      </c>
      <c r="AO23" s="62">
        <f t="shared" si="36"/>
        <v>271.73544012419364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</v>
      </c>
      <c r="BB23" s="13">
        <f>VLOOKUP(A23,'Données projet'!$A$87:$I$107,9,0)</f>
        <v>11.6</v>
      </c>
      <c r="BC23" s="13">
        <f t="array" ref="BC23">INDEX(BB:BB,MIN(IF(ISNUMBER(BB23:BB219),ROW(BB23:BB219),"")))</f>
        <v>11.6</v>
      </c>
      <c r="BD23" s="13">
        <f>IF('Données projet'!$A$88&gt;35,BD22+BC23-BL22,IF(A23&lt;'Données projet'!$A$88,$BA$205^A23,IF(A23='Données projet'!$A$88,'Données projet'!$B$88,BD22+BC23-BL22)))</f>
        <v>94.999999999999986</v>
      </c>
      <c r="BE23" s="14">
        <f>BD23*VLOOKUP('Données projet'!$B$11,Paramètres!$A$1:$I$89,3,0)*VLOOKUP('Données projet'!$B$11,Paramètres!$A$1:$I$89,5,0)</f>
        <v>69.653999999999982</v>
      </c>
      <c r="BF23" s="14">
        <f t="shared" si="37"/>
        <v>19.587508813096782</v>
      </c>
      <c r="BG23" s="22">
        <f t="shared" si="7"/>
        <v>155.42896118281021</v>
      </c>
      <c r="BH23" s="62">
        <f t="shared" si="8"/>
        <v>436.54007229392136</v>
      </c>
      <c r="BI23" s="62">
        <f ca="1">AVERAGE(OFFSET($BH$3,0,0,'Données projet'!$E$11+1,1))-AVERAGE(OFFSET($H$3,0,0,'Données projet'!$E$11+1,1))</f>
        <v>290.85271051443431</v>
      </c>
      <c r="BJ23" s="62">
        <f t="shared" si="38"/>
        <v>318.66958823451142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21</v>
      </c>
      <c r="BW23" s="13">
        <f>VLOOKUP(A23,'Données projet'!$A$113:$I$133,9,0)</f>
        <v>1.05</v>
      </c>
      <c r="BX23" s="13">
        <f t="array" ref="BX23">INDEX(BW:BW,MIN(IF(ISNUMBER(BW23:BW219),ROW(BW23:BW219),"")))</f>
        <v>1.05</v>
      </c>
      <c r="BY23" s="13">
        <f>IF('Données projet'!$A$114&gt;35,BY22+BX23-CG22,IF(A23&lt;'Données projet'!$A$114,$BV$205^A23,IF(A23='Données projet'!$A$114,'Données projet'!$B$114,BY22+BX23-CG22)))</f>
        <v>21</v>
      </c>
      <c r="BZ23" s="14">
        <f>BY23*VLOOKUP('Données projet'!$B$12,Paramètres!$A$1:$I$89,3,0)*VLOOKUP('Données projet'!$B$12,Paramètres!$A$1:$I$89,5,0)</f>
        <v>20.311199999999999</v>
      </c>
      <c r="CA23" s="14">
        <f t="shared" si="39"/>
        <v>6.5927593849088089</v>
      </c>
      <c r="CB23" s="22">
        <f t="shared" si="10"/>
        <v>46.85772926204951</v>
      </c>
      <c r="CC23" s="62">
        <f t="shared" si="11"/>
        <v>327.96884037316067</v>
      </c>
      <c r="CD23" s="62">
        <f ca="1">AVERAGE(OFFSET($CC$3,0,0,'Données projet'!$E$12+1,1))-AVERAGE(OFFSET($H$3,0,0,'Données projet'!$E$12+1,1))</f>
        <v>255.59755832175625</v>
      </c>
      <c r="CE23" s="62">
        <f t="shared" si="40"/>
        <v>154.0840647586964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2">
        <f t="shared" si="14"/>
        <v>434.33482297725948</v>
      </c>
      <c r="CY23" s="62">
        <f ca="1">AVERAGE(OFFSET($CX$3,0,0,'Données projet'!$E$13+1,1))-AVERAGE(OFFSET($H$3,0,0,'Données projet'!$E$13+1,1))</f>
        <v>292.57482726862594</v>
      </c>
      <c r="CZ23" s="62">
        <f t="shared" si="42"/>
        <v>283.48738729114024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428.8489304403459</v>
      </c>
      <c r="T24" s="62">
        <f t="shared" si="34"/>
        <v>247.01165577562966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391.06825607785231</v>
      </c>
      <c r="AN24" s="62">
        <f ca="1">AVERAGE(OFFSET($AM$3,0,0,'Données projet'!$E$10+1,1))-AVERAGE(OFFSET($H$3,0,0,'Données projet'!$E$10+1,1))</f>
        <v>475.47920969424894</v>
      </c>
      <c r="AO24" s="62">
        <f t="shared" si="36"/>
        <v>271.73544012419364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</v>
      </c>
      <c r="BD24" s="13">
        <f>IF('Données projet'!$A$88&gt;35,BD23+BC24-BL23,IF(A24&lt;'Données projet'!$A$88,$BA$205^A24,IF(A24='Données projet'!$A$88,'Données projet'!$B$88,BD23+BC24-BL23)))</f>
        <v>64.59999999999998</v>
      </c>
      <c r="BE24" s="14">
        <f>BD24*VLOOKUP('Données projet'!$B$11,Paramètres!$A$1:$I$89,3,0)*VLOOKUP('Données projet'!$B$11,Paramètres!$A$1:$I$89,5,0)</f>
        <v>47.364719999999984</v>
      </c>
      <c r="BF24" s="14">
        <f t="shared" si="37"/>
        <v>13.931057351916726</v>
      </c>
      <c r="BG24" s="22">
        <f t="shared" si="7"/>
        <v>106.75681222125495</v>
      </c>
      <c r="BH24" s="62">
        <f t="shared" si="8"/>
        <v>389.09014555458828</v>
      </c>
      <c r="BI24" s="62">
        <f ca="1">AVERAGE(OFFSET($BH$3,0,0,'Données projet'!$E$11+1,1))-AVERAGE(OFFSET($H$3,0,0,'Données projet'!$E$11+1,1))</f>
        <v>290.85271051443431</v>
      </c>
      <c r="BJ24" s="62">
        <f t="shared" si="38"/>
        <v>318.66958823451142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</v>
      </c>
      <c r="BY24" s="13">
        <f>IF('Données projet'!$A$114&gt;35,BY23+BX24-CG23,IF(A24&lt;'Données projet'!$A$114,$BV$205^A24,IF(A24='Données projet'!$A$114,'Données projet'!$B$114,BY23+BX24-CG23)))</f>
        <v>24</v>
      </c>
      <c r="BZ24" s="14">
        <f>BY24*VLOOKUP('Données projet'!$B$12,Paramètres!$A$1:$I$89,3,0)*VLOOKUP('Données projet'!$B$12,Paramètres!$A$1:$I$89,5,0)</f>
        <v>23.212799999999998</v>
      </c>
      <c r="CA24" s="14">
        <f t="shared" si="39"/>
        <v>7.4183771657915161</v>
      </c>
      <c r="CB24" s="22">
        <f t="shared" si="10"/>
        <v>53.349300230420219</v>
      </c>
      <c r="CC24" s="62">
        <f t="shared" si="11"/>
        <v>335.68263356375354</v>
      </c>
      <c r="CD24" s="62">
        <f ca="1">AVERAGE(OFFSET($CC$3,0,0,'Données projet'!$E$12+1,1))-AVERAGE(OFFSET($H$3,0,0,'Données projet'!$E$12+1,1))</f>
        <v>255.59755832175625</v>
      </c>
      <c r="CE24" s="62">
        <f t="shared" si="40"/>
        <v>154.0840647586964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98.59999999999998</v>
      </c>
      <c r="CU24" s="18">
        <f>CT24*VLOOKUP('Données projet'!$B$13,Paramètres!$A$1:$I$89,3,0)*VLOOKUP('Données projet'!$B$13,Paramètres!$A$1:$I$89,5,0)</f>
        <v>76.907999999999987</v>
      </c>
      <c r="CV24" s="14">
        <f t="shared" si="41"/>
        <v>21.379448490435635</v>
      </c>
      <c r="CW24" s="22">
        <f t="shared" si="13"/>
        <v>171.18397278750868</v>
      </c>
      <c r="CX24" s="62">
        <f t="shared" si="14"/>
        <v>453.51730612084202</v>
      </c>
      <c r="CY24" s="62">
        <f ca="1">AVERAGE(OFFSET($CX$3,0,0,'Données projet'!$E$13+1,1))-AVERAGE(OFFSET($H$3,0,0,'Données projet'!$E$13+1,1))</f>
        <v>292.57482726862594</v>
      </c>
      <c r="CZ24" s="62">
        <f t="shared" si="42"/>
        <v>283.48738729114024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428.8489304403459</v>
      </c>
      <c r="T25" s="62">
        <f t="shared" si="34"/>
        <v>247.01165577562966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404.72813945687091</v>
      </c>
      <c r="AN25" s="62">
        <f ca="1">AVERAGE(OFFSET($AM$3,0,0,'Données projet'!$E$10+1,1))-AVERAGE(OFFSET($H$3,0,0,'Données projet'!$E$10+1,1))</f>
        <v>475.47920969424894</v>
      </c>
      <c r="AO25" s="62">
        <f t="shared" si="36"/>
        <v>271.73544012419364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</v>
      </c>
      <c r="BD25" s="13">
        <f>IF('Données projet'!$A$88&gt;35,BD24+BC25-BL24,IF(A25&lt;'Données projet'!$A$88,$BA$205^A25,IF(A25='Données projet'!$A$88,'Données projet'!$B$88,BD24+BC25-BL24)))</f>
        <v>77.199999999999974</v>
      </c>
      <c r="BE25" s="14">
        <f>BD25*VLOOKUP('Données projet'!$B$11,Paramètres!$A$1:$I$89,3,0)*VLOOKUP('Données projet'!$B$11,Paramètres!$A$1:$I$89,5,0)</f>
        <v>56.603039999999979</v>
      </c>
      <c r="BF25" s="14">
        <f t="shared" si="37"/>
        <v>16.306519487923971</v>
      </c>
      <c r="BG25" s="22">
        <f t="shared" si="7"/>
        <v>126.98414944146755</v>
      </c>
      <c r="BH25" s="62">
        <f t="shared" si="8"/>
        <v>410.53970499702308</v>
      </c>
      <c r="BI25" s="62">
        <f ca="1">AVERAGE(OFFSET($BH$3,0,0,'Données projet'!$E$11+1,1))-AVERAGE(OFFSET($H$3,0,0,'Données projet'!$E$11+1,1))</f>
        <v>290.85271051443431</v>
      </c>
      <c r="BJ25" s="62">
        <f t="shared" si="38"/>
        <v>318.66958823451142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</v>
      </c>
      <c r="BY25" s="13">
        <f>IF('Données projet'!$A$114&gt;35,BY24+BX25-CG24,IF(A25&lt;'Données projet'!$A$114,$BV$205^A25,IF(A25='Données projet'!$A$114,'Données projet'!$B$114,BY24+BX25-CG24)))</f>
        <v>27</v>
      </c>
      <c r="BZ25" s="14">
        <f>BY25*VLOOKUP('Données projet'!$B$12,Paramètres!$A$1:$I$89,3,0)*VLOOKUP('Données projet'!$B$12,Paramètres!$A$1:$I$89,5,0)</f>
        <v>26.1144</v>
      </c>
      <c r="CA25" s="14">
        <f t="shared" si="39"/>
        <v>8.232036337964395</v>
      </c>
      <c r="CB25" s="22">
        <f t="shared" si="10"/>
        <v>59.820043288621314</v>
      </c>
      <c r="CC25" s="62">
        <f t="shared" si="11"/>
        <v>343.37559884417686</v>
      </c>
      <c r="CD25" s="62">
        <f ca="1">AVERAGE(OFFSET($CC$3,0,0,'Données projet'!$E$12+1,1))-AVERAGE(OFFSET($H$3,0,0,'Données projet'!$E$12+1,1))</f>
        <v>255.59755832175625</v>
      </c>
      <c r="CE25" s="62">
        <f t="shared" si="40"/>
        <v>154.0840647586964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109.19999999999997</v>
      </c>
      <c r="CU25" s="18">
        <f>CT25*VLOOKUP('Données projet'!$B$13,Paramètres!$A$1:$I$89,3,0)*VLOOKUP('Données projet'!$B$13,Paramètres!$A$1:$I$89,5,0)</f>
        <v>85.175999999999988</v>
      </c>
      <c r="CV25" s="14">
        <f t="shared" si="41"/>
        <v>23.398088487656434</v>
      </c>
      <c r="CW25" s="22">
        <f t="shared" si="13"/>
        <v>189.09987078266826</v>
      </c>
      <c r="CX25" s="62">
        <f t="shared" si="14"/>
        <v>472.65542633822383</v>
      </c>
      <c r="CY25" s="62">
        <f ca="1">AVERAGE(OFFSET($CX$3,0,0,'Données projet'!$E$13+1,1))-AVERAGE(OFFSET($H$3,0,0,'Données projet'!$E$13+1,1))</f>
        <v>292.57482726862594</v>
      </c>
      <c r="CZ25" s="62">
        <f t="shared" si="42"/>
        <v>283.48738729114024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428.8489304403459</v>
      </c>
      <c r="T26" s="62">
        <f t="shared" si="34"/>
        <v>247.01165577562966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418.35693573662502</v>
      </c>
      <c r="AN26" s="62">
        <f ca="1">AVERAGE(OFFSET($AM$3,0,0,'Données projet'!$E$10+1,1))-AVERAGE(OFFSET($H$3,0,0,'Données projet'!$E$10+1,1))</f>
        <v>475.47920969424894</v>
      </c>
      <c r="AO26" s="62">
        <f t="shared" si="36"/>
        <v>271.73544012419364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</v>
      </c>
      <c r="BD26" s="13">
        <f>IF('Données projet'!$A$88&gt;35,BD25+BC26-BL25,IF(A26&lt;'Données projet'!$A$88,$BA$205^A26,IF(A26='Données projet'!$A$88,'Données projet'!$B$88,BD25+BC26-BL25)))</f>
        <v>89.799999999999969</v>
      </c>
      <c r="BE26" s="14">
        <f>BD26*VLOOKUP('Données projet'!$B$11,Paramètres!$A$1:$I$89,3,0)*VLOOKUP('Données projet'!$B$11,Paramètres!$A$1:$I$89,5,0)</f>
        <v>65.84135999999998</v>
      </c>
      <c r="BF26" s="14">
        <f t="shared" si="37"/>
        <v>18.637068365902625</v>
      </c>
      <c r="BG26" s="22">
        <f t="shared" si="7"/>
        <v>147.13326273728035</v>
      </c>
      <c r="BH26" s="62">
        <f t="shared" si="8"/>
        <v>431.91104051505812</v>
      </c>
      <c r="BI26" s="62">
        <f ca="1">AVERAGE(OFFSET($BH$3,0,0,'Données projet'!$E$11+1,1))-AVERAGE(OFFSET($H$3,0,0,'Données projet'!$E$11+1,1))</f>
        <v>290.85271051443431</v>
      </c>
      <c r="BJ26" s="62">
        <f t="shared" si="38"/>
        <v>318.66958823451142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</v>
      </c>
      <c r="BY26" s="13">
        <f>IF('Données projet'!$A$114&gt;35,BY25+BX26-CG25,IF(A26&lt;'Données projet'!$A$114,$BV$205^A26,IF(A26='Données projet'!$A$114,'Données projet'!$B$114,BY25+BX26-CG25)))</f>
        <v>30</v>
      </c>
      <c r="BZ26" s="14">
        <f>BY26*VLOOKUP('Données projet'!$B$12,Paramètres!$A$1:$I$89,3,0)*VLOOKUP('Données projet'!$B$12,Paramètres!$A$1:$I$89,5,0)</f>
        <v>29.016000000000002</v>
      </c>
      <c r="CA26" s="14">
        <f t="shared" si="39"/>
        <v>9.0352172071357728</v>
      </c>
      <c r="CB26" s="22">
        <f t="shared" si="10"/>
        <v>66.272536635761469</v>
      </c>
      <c r="CC26" s="62">
        <f t="shared" si="11"/>
        <v>351.05031441353924</v>
      </c>
      <c r="CD26" s="62">
        <f ca="1">AVERAGE(OFFSET($CC$3,0,0,'Données projet'!$E$12+1,1))-AVERAGE(OFFSET($H$3,0,0,'Données projet'!$E$12+1,1))</f>
        <v>255.59755832175625</v>
      </c>
      <c r="CE26" s="62">
        <f t="shared" si="40"/>
        <v>154.0840647586964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119.79999999999997</v>
      </c>
      <c r="CU26" s="18">
        <f>CT26*VLOOKUP('Données projet'!$B$13,Paramètres!$A$1:$I$89,3,0)*VLOOKUP('Données projet'!$B$13,Paramètres!$A$1:$I$89,5,0)</f>
        <v>93.443999999999974</v>
      </c>
      <c r="CV26" s="14">
        <f t="shared" si="41"/>
        <v>25.394010816431489</v>
      </c>
      <c r="CW26" s="22">
        <f t="shared" si="13"/>
        <v>206.97620217195148</v>
      </c>
      <c r="CX26" s="62">
        <f t="shared" si="14"/>
        <v>491.75397994972923</v>
      </c>
      <c r="CY26" s="62">
        <f ca="1">AVERAGE(OFFSET($CX$3,0,0,'Données projet'!$E$13+1,1))-AVERAGE(OFFSET($H$3,0,0,'Données projet'!$E$13+1,1))</f>
        <v>292.57482726862594</v>
      </c>
      <c r="CZ26" s="62">
        <f t="shared" si="42"/>
        <v>283.48738729114024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428.8489304403459</v>
      </c>
      <c r="T27" s="62">
        <f t="shared" si="34"/>
        <v>247.01165577562966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431.95794243077449</v>
      </c>
      <c r="AN27" s="62">
        <f ca="1">AVERAGE(OFFSET($AM$3,0,0,'Données projet'!$E$10+1,1))-AVERAGE(OFFSET($H$3,0,0,'Données projet'!$E$10+1,1))</f>
        <v>475.47920969424894</v>
      </c>
      <c r="AO27" s="62">
        <f t="shared" si="36"/>
        <v>271.73544012419364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75.079679999999968</v>
      </c>
      <c r="BF27" s="14">
        <f t="shared" si="37"/>
        <v>20.929732076759169</v>
      </c>
      <c r="BG27" s="22">
        <f t="shared" si="7"/>
        <v>167.21639270035547</v>
      </c>
      <c r="BH27" s="62">
        <f t="shared" si="8"/>
        <v>453.21639270035547</v>
      </c>
      <c r="BI27" s="62">
        <f ca="1">AVERAGE(OFFSET($BH$3,0,0,'Données projet'!$E$11+1,1))-AVERAGE(OFFSET($H$3,0,0,'Données projet'!$E$11+1,1))</f>
        <v>290.85271051443431</v>
      </c>
      <c r="BJ27" s="62">
        <f t="shared" si="38"/>
        <v>318.66958823451142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</v>
      </c>
      <c r="BY27" s="13">
        <f>IF('Données projet'!$A$114&gt;35,BY26+BX27-CG26,IF(A27&lt;'Données projet'!$A$114,$BV$205^A27,IF(A27='Données projet'!$A$114,'Données projet'!$B$114,BY26+BX27-CG26)))</f>
        <v>33</v>
      </c>
      <c r="BZ27" s="14">
        <f>BY27*VLOOKUP('Données projet'!$B$12,Paramètres!$A$1:$I$89,3,0)*VLOOKUP('Données projet'!$B$12,Paramètres!$A$1:$I$89,5,0)</f>
        <v>31.917600000000004</v>
      </c>
      <c r="CA27" s="14">
        <f t="shared" si="39"/>
        <v>9.829086885605312</v>
      </c>
      <c r="CB27" s="22">
        <f t="shared" si="10"/>
        <v>72.708812992429259</v>
      </c>
      <c r="CC27" s="62">
        <f t="shared" si="11"/>
        <v>358.70881299242927</v>
      </c>
      <c r="CD27" s="62">
        <f ca="1">AVERAGE(OFFSET($CC$3,0,0,'Données projet'!$E$12+1,1))-AVERAGE(OFFSET($H$3,0,0,'Données projet'!$E$12+1,1))</f>
        <v>255.59755832175625</v>
      </c>
      <c r="CE27" s="62">
        <f t="shared" si="40"/>
        <v>154.0840647586964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130.39999999999998</v>
      </c>
      <c r="CU27" s="18">
        <f>CT27*VLOOKUP('Données projet'!$B$13,Paramètres!$A$1:$I$89,3,0)*VLOOKUP('Données projet'!$B$13,Paramètres!$A$1:$I$89,5,0)</f>
        <v>101.71199999999999</v>
      </c>
      <c r="CV27" s="14">
        <f t="shared" si="41"/>
        <v>27.369454120725656</v>
      </c>
      <c r="CW27" s="22">
        <f t="shared" si="13"/>
        <v>224.81686592693052</v>
      </c>
      <c r="CX27" s="62">
        <f t="shared" si="14"/>
        <v>510.81686592693052</v>
      </c>
      <c r="CY27" s="62">
        <f ca="1">AVERAGE(OFFSET($CX$3,0,0,'Données projet'!$E$13+1,1))-AVERAGE(OFFSET($H$3,0,0,'Données projet'!$E$13+1,1))</f>
        <v>292.57482726862594</v>
      </c>
      <c r="CZ27" s="62">
        <f t="shared" si="42"/>
        <v>283.48738729114024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428.8489304403459</v>
      </c>
      <c r="T28" s="62">
        <f t="shared" si="34"/>
        <v>247.01165577562966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475.47920969424894</v>
      </c>
      <c r="AO28" s="62">
        <f t="shared" si="36"/>
        <v>271.73544012419364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115</v>
      </c>
      <c r="BB28" s="13">
        <f>VLOOKUP(A28,'Données projet'!$A$87:$I$107,9,0)</f>
        <v>12.6</v>
      </c>
      <c r="BC28" s="13">
        <f t="array" ref="BC28">INDEX(BB:BB,MIN(IF(ISNUMBER(BB28:BB224),ROW(BB28:BB224),"")))</f>
        <v>12.6</v>
      </c>
      <c r="BD28" s="13">
        <f>IF('Données projet'!$A$88&gt;35,BD27+BC28-BL27,IF(A28&lt;'Données projet'!$A$88,$BA$205^A28,IF(A28='Données projet'!$A$88,'Données projet'!$B$88,BD27+BC28-BL27)))</f>
        <v>114.99999999999996</v>
      </c>
      <c r="BE28" s="14">
        <f>BD28*VLOOKUP('Données projet'!$B$11,Paramètres!$A$1:$I$89,3,0)*VLOOKUP('Données projet'!$B$11,Paramètres!$A$1:$I$89,5,0)</f>
        <v>84.317999999999969</v>
      </c>
      <c r="BF28" s="14">
        <f t="shared" si="37"/>
        <v>23.189705803157239</v>
      </c>
      <c r="BG28" s="22">
        <f t="shared" si="7"/>
        <v>187.24258760716546</v>
      </c>
      <c r="BH28" s="62">
        <f t="shared" si="8"/>
        <v>474.46480982938772</v>
      </c>
      <c r="BI28" s="62">
        <f ca="1">AVERAGE(OFFSET($BH$3,0,0,'Données projet'!$E$11+1,1))-AVERAGE(OFFSET($H$3,0,0,'Données projet'!$E$11+1,1))</f>
        <v>290.85271051443431</v>
      </c>
      <c r="BJ28" s="62">
        <f t="shared" si="38"/>
        <v>318.66958823451142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36</v>
      </c>
      <c r="BW28" s="13">
        <f>VLOOKUP(A28,'Données projet'!$A$113:$I$133,9,0)</f>
        <v>3</v>
      </c>
      <c r="BX28" s="13">
        <f t="array" ref="BX28">INDEX(BW:BW,MIN(IF(ISNUMBER(BW28:BW224),ROW(BW28:BW224),"")))</f>
        <v>3</v>
      </c>
      <c r="BY28" s="13">
        <f>IF('Données projet'!$A$114&gt;35,BY27+BX28-CG27,IF(A28&lt;'Données projet'!$A$114,$BV$205^A28,IF(A28='Données projet'!$A$114,'Données projet'!$B$114,BY27+BX28-CG27)))</f>
        <v>36</v>
      </c>
      <c r="BZ28" s="14">
        <f>BY28*VLOOKUP('Données projet'!$B$12,Paramètres!$A$1:$I$89,3,0)*VLOOKUP('Données projet'!$B$12,Paramètres!$A$1:$I$89,5,0)</f>
        <v>34.819200000000002</v>
      </c>
      <c r="CA28" s="14">
        <f t="shared" si="39"/>
        <v>10.61458811221417</v>
      </c>
      <c r="CB28" s="22">
        <f t="shared" si="10"/>
        <v>79.130514295439681</v>
      </c>
      <c r="CC28" s="62">
        <f t="shared" si="11"/>
        <v>366.35273651766192</v>
      </c>
      <c r="CD28" s="62">
        <f ca="1">AVERAGE(OFFSET($CC$3,0,0,'Données projet'!$E$12+1,1))-AVERAGE(OFFSET($H$3,0,0,'Données projet'!$E$12+1,1))</f>
        <v>255.59755832175625</v>
      </c>
      <c r="CE28" s="62">
        <f t="shared" si="40"/>
        <v>154.0840647586964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140.99999999999997</v>
      </c>
      <c r="CU28" s="18">
        <f>CT28*VLOOKUP('Données projet'!$B$13,Paramètres!$A$1:$I$89,3,0)*VLOOKUP('Données projet'!$B$13,Paramètres!$A$1:$I$89,5,0)</f>
        <v>109.97999999999998</v>
      </c>
      <c r="CV28" s="14">
        <f t="shared" si="41"/>
        <v>29.326272366698234</v>
      </c>
      <c r="CW28" s="22">
        <f t="shared" si="13"/>
        <v>242.62509103866606</v>
      </c>
      <c r="CX28" s="62">
        <f t="shared" si="14"/>
        <v>529.84731326088831</v>
      </c>
      <c r="CY28" s="62">
        <f ca="1">AVERAGE(OFFSET($CX$3,0,0,'Données projet'!$E$13+1,1))-AVERAGE(OFFSET($H$3,0,0,'Données projet'!$E$13+1,1))</f>
        <v>292.57482726862594</v>
      </c>
      <c r="CZ28" s="62">
        <f t="shared" si="42"/>
        <v>283.48738729114024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55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2">
        <f t="shared" si="0"/>
        <v>443.90732670063346</v>
      </c>
      <c r="S29" s="62">
        <f ca="1">AVERAGE(OFFSET($R$3,0,0,'Données projet'!$E$9+1,1))-AVERAGE(OFFSET($H$3,0,0,'Données projet'!$E$9+1,1))</f>
        <v>428.8489304403459</v>
      </c>
      <c r="T29" s="62">
        <f t="shared" si="34"/>
        <v>247.01165577562966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2">
        <f t="shared" si="5"/>
        <v>462.16625825405436</v>
      </c>
      <c r="AN29" s="62">
        <f ca="1">AVERAGE(OFFSET($AM$3,0,0,'Données projet'!$E$10+1,1))-AVERAGE(OFFSET($H$3,0,0,'Données projet'!$E$10+1,1))</f>
        <v>475.47920969424894</v>
      </c>
      <c r="AO29" s="62">
        <f t="shared" si="36"/>
        <v>271.73544012419364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126.99999999999996</v>
      </c>
      <c r="BE29" s="14">
        <f>BD29*VLOOKUP('Données projet'!$B$11,Paramètres!$A$1:$I$89,3,0)*VLOOKUP('Données projet'!$B$11,Paramètres!$A$1:$I$89,5,0)</f>
        <v>93.11639999999997</v>
      </c>
      <c r="BF29" s="14">
        <f t="shared" si="37"/>
        <v>25.315330119156503</v>
      </c>
      <c r="BG29" s="22">
        <f t="shared" si="7"/>
        <v>206.2685966241975</v>
      </c>
      <c r="BH29" s="62">
        <f t="shared" si="8"/>
        <v>494.71304106864193</v>
      </c>
      <c r="BI29" s="62">
        <f ca="1">AVERAGE(OFFSET($BH$3,0,0,'Données projet'!$E$11+1,1))-AVERAGE(OFFSET($H$3,0,0,'Données projet'!$E$11+1,1))</f>
        <v>290.85271051443431</v>
      </c>
      <c r="BJ29" s="62">
        <f t="shared" si="38"/>
        <v>318.66958823451142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3.6</v>
      </c>
      <c r="BY29" s="13">
        <f>IF('Données projet'!$A$114&gt;35,BY28+BX29-CG28,IF(A29&lt;'Données projet'!$A$114,$BV$205^A29,IF(A29='Données projet'!$A$114,'Données projet'!$B$114,BY28+BX29-CG28)))</f>
        <v>39.6</v>
      </c>
      <c r="BZ29" s="14">
        <f>BY29*VLOOKUP('Données projet'!$B$12,Paramètres!$A$1:$I$89,3,0)*VLOOKUP('Données projet'!$B$12,Paramètres!$A$1:$I$89,5,0)</f>
        <v>38.301119999999997</v>
      </c>
      <c r="CA29" s="14">
        <f t="shared" si="39"/>
        <v>11.547227522927502</v>
      </c>
      <c r="CB29" s="22">
        <f t="shared" si="10"/>
        <v>86.819205269098731</v>
      </c>
      <c r="CC29" s="62">
        <f t="shared" si="11"/>
        <v>375.2636497135432</v>
      </c>
      <c r="CD29" s="62">
        <f ca="1">AVERAGE(OFFSET($CC$3,0,0,'Données projet'!$E$12+1,1))-AVERAGE(OFFSET($H$3,0,0,'Données projet'!$E$12+1,1))</f>
        <v>255.59755832175625</v>
      </c>
      <c r="CE29" s="62">
        <f t="shared" si="40"/>
        <v>154.0840647586964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457.76677132916603</v>
      </c>
      <c r="CY29" s="62">
        <f ca="1">AVERAGE(OFFSET($CX$3,0,0,'Données projet'!$E$13+1,1))-AVERAGE(OFFSET($H$3,0,0,'Données projet'!$E$13+1,1))</f>
        <v>292.57482726862594</v>
      </c>
      <c r="CZ29" s="62">
        <f t="shared" si="42"/>
        <v>283.48738729114024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2">
        <f t="shared" si="0"/>
        <v>458.88743540273413</v>
      </c>
      <c r="S30" s="62">
        <f ca="1">AVERAGE(OFFSET($R$3,0,0,'Données projet'!$E$9+1,1))-AVERAGE(OFFSET($H$3,0,0,'Données projet'!$E$9+1,1))</f>
        <v>428.8489304403459</v>
      </c>
      <c r="T30" s="62">
        <f t="shared" si="34"/>
        <v>247.01165577562966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2">
        <f t="shared" si="5"/>
        <v>478.76653744933498</v>
      </c>
      <c r="AN30" s="62">
        <f ca="1">AVERAGE(OFFSET($AM$3,0,0,'Données projet'!$E$10+1,1))-AVERAGE(OFFSET($H$3,0,0,'Données projet'!$E$10+1,1))</f>
        <v>475.47920969424894</v>
      </c>
      <c r="AO30" s="62">
        <f t="shared" si="36"/>
        <v>271.73544012419364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138.99999999999994</v>
      </c>
      <c r="BE30" s="14">
        <f>BD30*VLOOKUP('Données projet'!$B$11,Paramètres!$A$1:$I$89,3,0)*VLOOKUP('Données projet'!$B$11,Paramètres!$A$1:$I$89,5,0)</f>
        <v>101.91479999999996</v>
      </c>
      <c r="BF30" s="14">
        <f t="shared" si="37"/>
        <v>27.417667462779292</v>
      </c>
      <c r="BG30" s="22">
        <f t="shared" si="7"/>
        <v>225.25404749767384</v>
      </c>
      <c r="BH30" s="62">
        <f t="shared" si="8"/>
        <v>514.92071416434055</v>
      </c>
      <c r="BI30" s="62">
        <f ca="1">AVERAGE(OFFSET($BH$3,0,0,'Données projet'!$E$11+1,1))-AVERAGE(OFFSET($H$3,0,0,'Données projet'!$E$11+1,1))</f>
        <v>290.85271051443431</v>
      </c>
      <c r="BJ30" s="62">
        <f t="shared" si="38"/>
        <v>318.66958823451142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3.6</v>
      </c>
      <c r="BY30" s="13">
        <f>IF('Données projet'!$A$114&gt;35,BY29+BX30-CG29,IF(A30&lt;'Données projet'!$A$114,$BV$205^A30,IF(A30='Données projet'!$A$114,'Données projet'!$B$114,BY29+BX30-CG29)))</f>
        <v>43.2</v>
      </c>
      <c r="BZ30" s="14">
        <f>BY30*VLOOKUP('Données projet'!$B$12,Paramètres!$A$1:$I$89,3,0)*VLOOKUP('Données projet'!$B$12,Paramètres!$A$1:$I$89,5,0)</f>
        <v>41.783040000000007</v>
      </c>
      <c r="CA30" s="14">
        <f t="shared" si="39"/>
        <v>12.470035662559953</v>
      </c>
      <c r="CB30" s="22">
        <f t="shared" si="10"/>
        <v>94.490773445625265</v>
      </c>
      <c r="CC30" s="62">
        <f t="shared" si="11"/>
        <v>384.15744011229197</v>
      </c>
      <c r="CD30" s="62">
        <f ca="1">AVERAGE(OFFSET($CC$3,0,0,'Données projet'!$E$12+1,1))-AVERAGE(OFFSET($H$3,0,0,'Données projet'!$E$12+1,1))</f>
        <v>255.59755832175625</v>
      </c>
      <c r="CE30" s="62">
        <f t="shared" si="40"/>
        <v>154.0840647586964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2">
        <f t="shared" si="14"/>
        <v>478.42888137395715</v>
      </c>
      <c r="CY30" s="62">
        <f ca="1">AVERAGE(OFFSET($CX$3,0,0,'Données projet'!$E$13+1,1))-AVERAGE(OFFSET($H$3,0,0,'Données projet'!$E$13+1,1))</f>
        <v>292.57482726862594</v>
      </c>
      <c r="CZ30" s="62">
        <f t="shared" si="42"/>
        <v>283.48738729114024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2">
        <f t="shared" si="0"/>
        <v>473.84118919501418</v>
      </c>
      <c r="S31" s="62">
        <f ca="1">AVERAGE(OFFSET($R$3,0,0,'Données projet'!$E$9+1,1))-AVERAGE(OFFSET($H$3,0,0,'Données projet'!$E$9+1,1))</f>
        <v>428.8489304403459</v>
      </c>
      <c r="T31" s="62">
        <f t="shared" si="34"/>
        <v>247.01165577562966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2">
        <f t="shared" si="5"/>
        <v>495.33767011840803</v>
      </c>
      <c r="AN31" s="62">
        <f ca="1">AVERAGE(OFFSET($AM$3,0,0,'Données projet'!$E$10+1,1))-AVERAGE(OFFSET($H$3,0,0,'Données projet'!$E$10+1,1))</f>
        <v>475.47920969424894</v>
      </c>
      <c r="AO31" s="62">
        <f t="shared" si="36"/>
        <v>271.73544012419364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150.99999999999994</v>
      </c>
      <c r="BE31" s="14">
        <f>BD31*VLOOKUP('Données projet'!$B$11,Paramètres!$A$1:$I$89,3,0)*VLOOKUP('Données projet'!$B$11,Paramètres!$A$1:$I$89,5,0)</f>
        <v>110.71319999999996</v>
      </c>
      <c r="BF31" s="14">
        <f t="shared" si="37"/>
        <v>29.498956799987518</v>
      </c>
      <c r="BG31" s="22">
        <f t="shared" si="7"/>
        <v>244.20283975997816</v>
      </c>
      <c r="BH31" s="62">
        <f t="shared" si="8"/>
        <v>535.09172864886705</v>
      </c>
      <c r="BI31" s="62">
        <f ca="1">AVERAGE(OFFSET($BH$3,0,0,'Données projet'!$E$11+1,1))-AVERAGE(OFFSET($H$3,0,0,'Données projet'!$E$11+1,1))</f>
        <v>290.85271051443431</v>
      </c>
      <c r="BJ31" s="62">
        <f t="shared" si="38"/>
        <v>318.66958823451142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3.6</v>
      </c>
      <c r="BY31" s="13">
        <f>IF('Données projet'!$A$114&gt;35,BY30+BX31-CG30,IF(A31&lt;'Données projet'!$A$114,$BV$205^A31,IF(A31='Données projet'!$A$114,'Données projet'!$B$114,BY30+BX31-CG30)))</f>
        <v>46.800000000000004</v>
      </c>
      <c r="BZ31" s="14">
        <f>BY31*VLOOKUP('Données projet'!$B$12,Paramètres!$A$1:$I$89,3,0)*VLOOKUP('Données projet'!$B$12,Paramètres!$A$1:$I$89,5,0)</f>
        <v>45.264960000000002</v>
      </c>
      <c r="CA31" s="14">
        <f t="shared" si="39"/>
        <v>13.383924947719283</v>
      </c>
      <c r="CB31" s="22">
        <f t="shared" si="10"/>
        <v>102.14680795061109</v>
      </c>
      <c r="CC31" s="62">
        <f t="shared" si="11"/>
        <v>393.03569683949996</v>
      </c>
      <c r="CD31" s="62">
        <f ca="1">AVERAGE(OFFSET($CC$3,0,0,'Données projet'!$E$12+1,1))-AVERAGE(OFFSET($H$3,0,0,'Données projet'!$E$12+1,1))</f>
        <v>255.59755832175625</v>
      </c>
      <c r="CE31" s="62">
        <f t="shared" si="40"/>
        <v>154.0840647586964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2">
        <f t="shared" si="14"/>
        <v>499.04430950327838</v>
      </c>
      <c r="CY31" s="62">
        <f ca="1">AVERAGE(OFFSET($CX$3,0,0,'Données projet'!$E$13+1,1))-AVERAGE(OFFSET($H$3,0,0,'Données projet'!$E$13+1,1))</f>
        <v>292.57482726862594</v>
      </c>
      <c r="CZ31" s="62">
        <f t="shared" si="42"/>
        <v>283.48738729114024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2">
        <f t="shared" si="0"/>
        <v>488.77084588054998</v>
      </c>
      <c r="S32" s="62">
        <f ca="1">AVERAGE(OFFSET($R$3,0,0,'Données projet'!$E$9+1,1))-AVERAGE(OFFSET($H$3,0,0,'Données projet'!$E$9+1,1))</f>
        <v>428.8489304403459</v>
      </c>
      <c r="T32" s="62">
        <f t="shared" si="34"/>
        <v>247.01165577562966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2">
        <f t="shared" si="5"/>
        <v>511.88215321979021</v>
      </c>
      <c r="AN32" s="62">
        <f ca="1">AVERAGE(OFFSET($AM$3,0,0,'Données projet'!$E$10+1,1))-AVERAGE(OFFSET($H$3,0,0,'Données projet'!$E$10+1,1))</f>
        <v>475.47920969424894</v>
      </c>
      <c r="AO32" s="62">
        <f t="shared" si="36"/>
        <v>271.73544012419364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162.99999999999994</v>
      </c>
      <c r="BE32" s="14">
        <f>BD32*VLOOKUP('Données projet'!$B$11,Paramètres!$A$1:$I$89,3,0)*VLOOKUP('Données projet'!$B$11,Paramètres!$A$1:$I$89,5,0)</f>
        <v>119.51159999999996</v>
      </c>
      <c r="BF32" s="14">
        <f t="shared" si="37"/>
        <v>31.561060990985474</v>
      </c>
      <c r="BG32" s="22">
        <f t="shared" si="7"/>
        <v>263.11821789263291</v>
      </c>
      <c r="BH32" s="62">
        <f t="shared" si="8"/>
        <v>555.22932900374406</v>
      </c>
      <c r="BI32" s="62">
        <f ca="1">AVERAGE(OFFSET($BH$3,0,0,'Données projet'!$E$11+1,1))-AVERAGE(OFFSET($H$3,0,0,'Données projet'!$E$11+1,1))</f>
        <v>290.85271051443431</v>
      </c>
      <c r="BJ32" s="62">
        <f t="shared" si="38"/>
        <v>318.66958823451142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3.6</v>
      </c>
      <c r="BY32" s="13">
        <f>IF('Données projet'!$A$114&gt;35,BY31+BX32-CG31,IF(A32&lt;'Données projet'!$A$114,$BV$205^A32,IF(A32='Données projet'!$A$114,'Données projet'!$B$114,BY31+BX32-CG31)))</f>
        <v>50.400000000000006</v>
      </c>
      <c r="BZ32" s="14">
        <f>BY32*VLOOKUP('Données projet'!$B$12,Paramètres!$A$1:$I$89,3,0)*VLOOKUP('Données projet'!$B$12,Paramètres!$A$1:$I$89,5,0)</f>
        <v>48.746880000000012</v>
      </c>
      <c r="CA32" s="14">
        <f t="shared" si="39"/>
        <v>14.2896594492068</v>
      </c>
      <c r="CB32" s="22">
        <f t="shared" si="10"/>
        <v>109.78863954070187</v>
      </c>
      <c r="CC32" s="62">
        <f t="shared" si="11"/>
        <v>401.89975065181301</v>
      </c>
      <c r="CD32" s="62">
        <f ca="1">AVERAGE(OFFSET($CC$3,0,0,'Données projet'!$E$12+1,1))-AVERAGE(OFFSET($H$3,0,0,'Données projet'!$E$12+1,1))</f>
        <v>255.59755832175625</v>
      </c>
      <c r="CE32" s="62">
        <f t="shared" si="40"/>
        <v>154.0840647586964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2">
        <f t="shared" si="14"/>
        <v>519.61801770943021</v>
      </c>
      <c r="CY32" s="62">
        <f ca="1">AVERAGE(OFFSET($CX$3,0,0,'Données projet'!$E$13+1,1))-AVERAGE(OFFSET($H$3,0,0,'Données projet'!$E$13+1,1))</f>
        <v>292.57482726862594</v>
      </c>
      <c r="CZ32" s="62">
        <f t="shared" si="42"/>
        <v>283.48738729114024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2">
        <f t="shared" si="0"/>
        <v>503.67832244229635</v>
      </c>
      <c r="S33" s="62">
        <f ca="1">AVERAGE(OFFSET($R$3,0,0,'Données projet'!$E$9+1,1))-AVERAGE(OFFSET($H$3,0,0,'Données projet'!$E$9+1,1))</f>
        <v>428.8489304403459</v>
      </c>
      <c r="T33" s="62">
        <f t="shared" si="34"/>
        <v>247.01165577562966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2">
        <f t="shared" si="5"/>
        <v>528.40210679086033</v>
      </c>
      <c r="AN33" s="62">
        <f ca="1">AVERAGE(OFFSET($AM$3,0,0,'Données projet'!$E$10+1,1))-AVERAGE(OFFSET($H$3,0,0,'Données projet'!$E$10+1,1))</f>
        <v>475.47920969424894</v>
      </c>
      <c r="AO33" s="62">
        <f t="shared" si="36"/>
        <v>271.73544012419364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174.99999999999994</v>
      </c>
      <c r="BE33" s="14">
        <f>BD33*VLOOKUP('Données projet'!$B$11,Paramètres!$A$1:$I$89,3,0)*VLOOKUP('Données projet'!$B$11,Paramètres!$A$1:$I$89,5,0)</f>
        <v>128.30999999999997</v>
      </c>
      <c r="BF33" s="14">
        <f t="shared" si="37"/>
        <v>33.605553053308043</v>
      </c>
      <c r="BG33" s="22">
        <f t="shared" si="7"/>
        <v>282.00292156784479</v>
      </c>
      <c r="BH33" s="62">
        <f t="shared" si="8"/>
        <v>575.33625490117811</v>
      </c>
      <c r="BI33" s="62">
        <f ca="1">AVERAGE(OFFSET($BH$3,0,0,'Données projet'!$E$11+1,1))-AVERAGE(OFFSET($H$3,0,0,'Données projet'!$E$11+1,1))</f>
        <v>290.85271051443431</v>
      </c>
      <c r="BJ33" s="62">
        <f t="shared" si="38"/>
        <v>318.66958823451142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3.6</v>
      </c>
      <c r="BX33" s="13">
        <f t="array" ref="BX33">INDEX(BW:BW,MIN(IF(ISNUMBER(BW33:BW229),ROW(BW33:BW229),"")))</f>
        <v>3.6</v>
      </c>
      <c r="BY33" s="13">
        <f>IF('Données projet'!$A$114&gt;35,BY32+BX33-CG32,IF(A33&lt;'Données projet'!$A$114,$BV$205^A33,IF(A33='Données projet'!$A$114,'Données projet'!$B$114,BY32+BX33-CG32)))</f>
        <v>54.000000000000007</v>
      </c>
      <c r="BZ33" s="14">
        <f>BY33*VLOOKUP('Données projet'!$B$12,Paramètres!$A$1:$I$89,3,0)*VLOOKUP('Données projet'!$B$12,Paramètres!$A$1:$I$89,5,0)</f>
        <v>52.228800000000007</v>
      </c>
      <c r="CA33" s="14">
        <f t="shared" si="39"/>
        <v>15.18788789973001</v>
      </c>
      <c r="CB33" s="22">
        <f t="shared" si="10"/>
        <v>117.41739809202979</v>
      </c>
      <c r="CC33" s="62">
        <f t="shared" si="11"/>
        <v>410.75073142536309</v>
      </c>
      <c r="CD33" s="62">
        <f ca="1">AVERAGE(OFFSET($CC$3,0,0,'Données projet'!$E$12+1,1))-AVERAGE(OFFSET($H$3,0,0,'Données projet'!$E$12+1,1))</f>
        <v>255.59755832175625</v>
      </c>
      <c r="CE33" s="62">
        <f t="shared" si="40"/>
        <v>154.0840647586964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540.15405395780692</v>
      </c>
      <c r="CY33" s="62">
        <f ca="1">AVERAGE(OFFSET($CX$3,0,0,'Données projet'!$E$13+1,1))-AVERAGE(OFFSET($H$3,0,0,'Données projet'!$E$13+1,1))</f>
        <v>292.57482726862594</v>
      </c>
      <c r="CZ33" s="62">
        <f t="shared" si="42"/>
        <v>283.48738729114024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428.8489304403459</v>
      </c>
      <c r="T34" s="62">
        <f t="shared" si="34"/>
        <v>247.01165577562966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475.47920969424894</v>
      </c>
      <c r="AO34" s="62">
        <f t="shared" si="36"/>
        <v>271.73544012419364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129.59999999999994</v>
      </c>
      <c r="BE34" s="14">
        <f>BD34*VLOOKUP('Données projet'!$B$11,Paramètres!$A$1:$I$89,3,0)*VLOOKUP('Données projet'!$B$11,Paramètres!$A$1:$I$89,5,0)</f>
        <v>95.022719999999964</v>
      </c>
      <c r="BF34" s="14">
        <f t="shared" si="37"/>
        <v>25.772728965975034</v>
      </c>
      <c r="BG34" s="22">
        <f t="shared" si="7"/>
        <v>210.38540694907314</v>
      </c>
      <c r="BH34" s="62">
        <f t="shared" si="8"/>
        <v>503.71874028240643</v>
      </c>
      <c r="BI34" s="62">
        <f ca="1">AVERAGE(OFFSET($BH$3,0,0,'Données projet'!$E$11+1,1))-AVERAGE(OFFSET($H$3,0,0,'Données projet'!$E$11+1,1))</f>
        <v>290.85271051443431</v>
      </c>
      <c r="BJ34" s="62">
        <f t="shared" si="38"/>
        <v>318.66958823451142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3.6</v>
      </c>
      <c r="BY34" s="13">
        <f>IF('Données projet'!$A$114&gt;35,BY33+BX34-CG33,IF(A34&lt;'Données projet'!$A$114,$BV$205^A34,IF(A34='Données projet'!$A$114,'Données projet'!$B$114,BY33+BX34-CG33)))</f>
        <v>57.600000000000009</v>
      </c>
      <c r="BZ34" s="14">
        <f>BY34*VLOOKUP('Données projet'!$B$12,Paramètres!$A$1:$I$89,3,0)*VLOOKUP('Données projet'!$B$12,Paramètres!$A$1:$I$89,5,0)</f>
        <v>55.710720000000009</v>
      </c>
      <c r="CA34" s="14">
        <f t="shared" si="39"/>
        <v>16.079167640728176</v>
      </c>
      <c r="CB34" s="22">
        <f t="shared" si="10"/>
        <v>125.03405430760159</v>
      </c>
      <c r="CC34" s="62">
        <f t="shared" si="11"/>
        <v>418.36738764093491</v>
      </c>
      <c r="CD34" s="62">
        <f ca="1">AVERAGE(OFFSET($CC$3,0,0,'Données projet'!$E$12+1,1))-AVERAGE(OFFSET($H$3,0,0,'Données projet'!$E$12+1,1))</f>
        <v>255.59755832175625</v>
      </c>
      <c r="CE34" s="62">
        <f t="shared" si="40"/>
        <v>154.0840647586964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559.43355826633729</v>
      </c>
      <c r="CY34" s="62">
        <f ca="1">AVERAGE(OFFSET($CX$3,0,0,'Données projet'!$E$13+1,1))-AVERAGE(OFFSET($H$3,0,0,'Données projet'!$E$13+1,1))</f>
        <v>292.57482726862594</v>
      </c>
      <c r="CZ34" s="62">
        <f t="shared" si="42"/>
        <v>283.48738729114024</v>
      </c>
      <c r="DA34" s="16">
        <f>IF(ISNA(VLOOKUP(A34,'Données projet'!$A$139:$I$159,3,0)),0,VLOOKUP(A34,'Données projet'!$A$139:$I$159,3,0))</f>
        <v>2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428.8489304403459</v>
      </c>
      <c r="T35" s="62">
        <f t="shared" si="34"/>
        <v>247.01165577562966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475.47920969424894</v>
      </c>
      <c r="AO35" s="62">
        <f t="shared" si="36"/>
        <v>271.73544012419364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140.19999999999993</v>
      </c>
      <c r="BE35" s="14">
        <f>BD35*VLOOKUP('Données projet'!$B$11,Paramètres!$A$1:$I$89,3,0)*VLOOKUP('Données projet'!$B$11,Paramètres!$A$1:$I$89,5,0)</f>
        <v>102.79463999999994</v>
      </c>
      <c r="BF35" s="14">
        <f t="shared" si="37"/>
        <v>27.62671020390955</v>
      </c>
      <c r="BG35" s="22">
        <f t="shared" si="7"/>
        <v>227.15051827180903</v>
      </c>
      <c r="BH35" s="62">
        <f t="shared" si="8"/>
        <v>520.48385160514238</v>
      </c>
      <c r="BI35" s="62">
        <f ca="1">AVERAGE(OFFSET($BH$3,0,0,'Données projet'!$E$11+1,1))-AVERAGE(OFFSET($H$3,0,0,'Données projet'!$E$11+1,1))</f>
        <v>290.85271051443431</v>
      </c>
      <c r="BJ35" s="62">
        <f t="shared" si="38"/>
        <v>318.66958823451142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3.6</v>
      </c>
      <c r="BY35" s="13">
        <f>IF('Données projet'!$A$114&gt;35,BY34+BX35-CG34,IF(A35&lt;'Données projet'!$A$114,$BV$205^A35,IF(A35='Données projet'!$A$114,'Données projet'!$B$114,BY34+BX35-CG34)))</f>
        <v>61.20000000000001</v>
      </c>
      <c r="BZ35" s="14">
        <f>BY35*VLOOKUP('Données projet'!$B$12,Paramètres!$A$1:$I$89,3,0)*VLOOKUP('Données projet'!$B$12,Paramètres!$A$1:$I$89,5,0)</f>
        <v>59.192640000000004</v>
      </c>
      <c r="CA35" s="14">
        <f t="shared" si="39"/>
        <v>16.963982408330725</v>
      </c>
      <c r="CB35" s="22">
        <f t="shared" si="10"/>
        <v>132.63945069450935</v>
      </c>
      <c r="CC35" s="62">
        <f t="shared" si="11"/>
        <v>425.97278402784264</v>
      </c>
      <c r="CD35" s="62">
        <f ca="1">AVERAGE(OFFSET($CC$3,0,0,'Données projet'!$E$12+1,1))-AVERAGE(OFFSET($H$3,0,0,'Données projet'!$E$12+1,1))</f>
        <v>255.59755832175625</v>
      </c>
      <c r="CE35" s="62">
        <f t="shared" si="40"/>
        <v>154.0840647586964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518.31834832248774</v>
      </c>
      <c r="CY35" s="62">
        <f ca="1">AVERAGE(OFFSET($CX$3,0,0,'Données projet'!$E$13+1,1))-AVERAGE(OFFSET($H$3,0,0,'Données projet'!$E$13+1,1))</f>
        <v>292.57482726862594</v>
      </c>
      <c r="CZ35" s="62">
        <f t="shared" si="42"/>
        <v>283.48738729114024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428.8489304403459</v>
      </c>
      <c r="T36" s="62">
        <f t="shared" si="34"/>
        <v>247.01165577562966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475.47920969424894</v>
      </c>
      <c r="AO36" s="62">
        <f t="shared" si="36"/>
        <v>271.73544012419364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150.79999999999993</v>
      </c>
      <c r="BE36" s="14">
        <f>BD36*VLOOKUP('Données projet'!$B$11,Paramètres!$A$1:$I$89,3,0)*VLOOKUP('Données projet'!$B$11,Paramètres!$A$1:$I$89,5,0)</f>
        <v>110.56655999999994</v>
      </c>
      <c r="BF36" s="14">
        <f t="shared" si="37"/>
        <v>29.464430590067003</v>
      </c>
      <c r="BG36" s="22">
        <f t="shared" si="7"/>
        <v>243.88730861103326</v>
      </c>
      <c r="BH36" s="62">
        <f t="shared" si="8"/>
        <v>537.22064194436655</v>
      </c>
      <c r="BI36" s="62">
        <f ca="1">AVERAGE(OFFSET($BH$3,0,0,'Données projet'!$E$11+1,1))-AVERAGE(OFFSET($H$3,0,0,'Données projet'!$E$11+1,1))</f>
        <v>290.85271051443431</v>
      </c>
      <c r="BJ36" s="62">
        <f t="shared" si="38"/>
        <v>318.66958823451142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3.6</v>
      </c>
      <c r="BY36" s="13">
        <f>IF('Données projet'!$A$114&gt;35,BY35+BX36-CG35,IF(A36&lt;'Données projet'!$A$114,$BV$205^A36,IF(A36='Données projet'!$A$114,'Données projet'!$B$114,BY35+BX36-CG35)))</f>
        <v>64.800000000000011</v>
      </c>
      <c r="BZ36" s="14">
        <f>BY36*VLOOKUP('Données projet'!$B$12,Paramètres!$A$1:$I$89,3,0)*VLOOKUP('Données projet'!$B$12,Paramètres!$A$1:$I$89,5,0)</f>
        <v>62.674560000000014</v>
      </c>
      <c r="CA36" s="14">
        <f t="shared" si="39"/>
        <v>17.8427558136393</v>
      </c>
      <c r="CB36" s="22">
        <f t="shared" si="10"/>
        <v>140.23432504208844</v>
      </c>
      <c r="CC36" s="62">
        <f t="shared" si="11"/>
        <v>433.56765837542173</v>
      </c>
      <c r="CD36" s="62">
        <f ca="1">AVERAGE(OFFSET($CC$3,0,0,'Données projet'!$E$12+1,1))-AVERAGE(OFFSET($H$3,0,0,'Données projet'!$E$12+1,1))</f>
        <v>255.59755832175625</v>
      </c>
      <c r="CE36" s="62">
        <f t="shared" si="40"/>
        <v>154.0840647586964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537.63687257178208</v>
      </c>
      <c r="CY36" s="62">
        <f ca="1">AVERAGE(OFFSET($CX$3,0,0,'Données projet'!$E$13+1,1))-AVERAGE(OFFSET($H$3,0,0,'Données projet'!$E$13+1,1))</f>
        <v>292.57482726862594</v>
      </c>
      <c r="CZ36" s="62">
        <f t="shared" si="42"/>
        <v>283.48738729114024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428.8489304403459</v>
      </c>
      <c r="T37" s="62">
        <f t="shared" si="34"/>
        <v>247.01165577562966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475.47920969424894</v>
      </c>
      <c r="AO37" s="62">
        <f t="shared" si="36"/>
        <v>271.73544012419364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161.39999999999992</v>
      </c>
      <c r="BE37" s="14">
        <f>BD37*VLOOKUP('Données projet'!$B$11,Paramètres!$A$1:$I$89,3,0)*VLOOKUP('Données projet'!$B$11,Paramètres!$A$1:$I$89,5,0)</f>
        <v>118.33847999999995</v>
      </c>
      <c r="BF37" s="14">
        <f t="shared" si="37"/>
        <v>31.287163138599794</v>
      </c>
      <c r="BG37" s="22">
        <f t="shared" si="7"/>
        <v>260.59799513306115</v>
      </c>
      <c r="BH37" s="62">
        <f t="shared" si="8"/>
        <v>553.93132846639446</v>
      </c>
      <c r="BI37" s="62">
        <f ca="1">AVERAGE(OFFSET($BH$3,0,0,'Données projet'!$E$11+1,1))-AVERAGE(OFFSET($H$3,0,0,'Données projet'!$E$11+1,1))</f>
        <v>290.85271051443431</v>
      </c>
      <c r="BJ37" s="62">
        <f t="shared" si="38"/>
        <v>318.66958823451142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3.6</v>
      </c>
      <c r="BY37" s="13">
        <f>IF('Données projet'!$A$114&gt;35,BY36+BX37-CG36,IF(A37&lt;'Données projet'!$A$114,$BV$205^A37,IF(A37='Données projet'!$A$114,'Données projet'!$B$114,BY36+BX37-CG36)))</f>
        <v>68.400000000000006</v>
      </c>
      <c r="BZ37" s="14">
        <f>BY37*VLOOKUP('Données projet'!$B$12,Paramètres!$A$1:$I$89,3,0)*VLOOKUP('Données projet'!$B$12,Paramètres!$A$1:$I$89,5,0)</f>
        <v>66.156480000000002</v>
      </c>
      <c r="CA37" s="14">
        <f t="shared" si="39"/>
        <v>18.71586174150994</v>
      </c>
      <c r="CB37" s="22">
        <f t="shared" si="10"/>
        <v>147.81932853312981</v>
      </c>
      <c r="CC37" s="62">
        <f t="shared" si="11"/>
        <v>441.15266186646312</v>
      </c>
      <c r="CD37" s="62">
        <f ca="1">AVERAGE(OFFSET($CC$3,0,0,'Données projet'!$E$12+1,1))-AVERAGE(OFFSET($H$3,0,0,'Données projet'!$E$12+1,1))</f>
        <v>255.59755832175625</v>
      </c>
      <c r="CE37" s="62">
        <f t="shared" si="40"/>
        <v>154.0840647586964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2">
        <f t="shared" si="14"/>
        <v>556.92068130609346</v>
      </c>
      <c r="CY37" s="62">
        <f ca="1">AVERAGE(OFFSET($CX$3,0,0,'Données projet'!$E$13+1,1))-AVERAGE(OFFSET($H$3,0,0,'Données projet'!$E$13+1,1))</f>
        <v>292.57482726862594</v>
      </c>
      <c r="CZ37" s="62">
        <f t="shared" si="42"/>
        <v>283.48738729114024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428.8489304403459</v>
      </c>
      <c r="T38" s="62">
        <f t="shared" si="34"/>
        <v>247.01165577562966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475.47920969424894</v>
      </c>
      <c r="AO38" s="62">
        <f t="shared" si="36"/>
        <v>271.73544012419364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171.99999999999991</v>
      </c>
      <c r="BE38" s="14">
        <f>BD38*VLOOKUP('Données projet'!$B$11,Paramètres!$A$1:$I$89,3,0)*VLOOKUP('Données projet'!$B$11,Paramètres!$A$1:$I$89,5,0)</f>
        <v>126.11039999999994</v>
      </c>
      <c r="BF38" s="14">
        <f t="shared" si="37"/>
        <v>33.096004194977844</v>
      </c>
      <c r="BG38" s="22">
        <f t="shared" si="7"/>
        <v>277.28448730625297</v>
      </c>
      <c r="BH38" s="62">
        <f t="shared" si="8"/>
        <v>570.61782063958628</v>
      </c>
      <c r="BI38" s="62">
        <f ca="1">AVERAGE(OFFSET($BH$3,0,0,'Données projet'!$E$11+1,1))-AVERAGE(OFFSET($H$3,0,0,'Données projet'!$E$11+1,1))</f>
        <v>290.85271051443431</v>
      </c>
      <c r="BJ38" s="62">
        <f t="shared" si="38"/>
        <v>318.66958823451142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72</v>
      </c>
      <c r="BW38" s="13">
        <f>VLOOKUP(A38,'Données projet'!$A$113:$I$133,9,0)</f>
        <v>3.6</v>
      </c>
      <c r="BX38" s="13">
        <f t="array" ref="BX38">INDEX(BW:BW,MIN(IF(ISNUMBER(BW38:BW234),ROW(BW38:BW234),"")))</f>
        <v>3.6</v>
      </c>
      <c r="BY38" s="13">
        <f>IF('Données projet'!$A$114&gt;35,BY37+BX38-CG37,IF(A38&lt;'Données projet'!$A$114,$BV$205^A38,IF(A38='Données projet'!$A$114,'Données projet'!$B$114,BY37+BX38-CG37)))</f>
        <v>72</v>
      </c>
      <c r="BZ38" s="14">
        <f>BY38*VLOOKUP('Données projet'!$B$12,Paramètres!$A$1:$I$89,3,0)*VLOOKUP('Données projet'!$B$12,Paramètres!$A$1:$I$89,5,0)</f>
        <v>69.638400000000004</v>
      </c>
      <c r="CA38" s="14">
        <f t="shared" si="39"/>
        <v>19.583632497664617</v>
      </c>
      <c r="CB38" s="22">
        <f t="shared" si="10"/>
        <v>155.39503993343254</v>
      </c>
      <c r="CC38" s="62">
        <f t="shared" si="11"/>
        <v>448.72837326676586</v>
      </c>
      <c r="CD38" s="62">
        <f ca="1">AVERAGE(OFFSET($CC$3,0,0,'Données projet'!$E$12+1,1))-AVERAGE(OFFSET($H$3,0,0,'Données projet'!$E$12+1,1))</f>
        <v>255.59755832175625</v>
      </c>
      <c r="CE38" s="62">
        <f t="shared" si="40"/>
        <v>154.0840647586964</v>
      </c>
      <c r="CF38" s="16">
        <f>IF(ISNA(VLOOKUP(A38,'Données projet'!$A$113:$I$133,3,0)),0,VLOOKUP(A38,'Données projet'!$A$113:$I$133,3,0))</f>
        <v>1</v>
      </c>
      <c r="CG38" s="16">
        <f>IF(ISNA(VLOOKUP(A38,'Données projet'!$A$113:$I$133,4,0)),0,VLOOKUP(A38,'Données projet'!$A$113:$I$133,4,0))</f>
        <v>17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576.17267110008243</v>
      </c>
      <c r="CY38" s="62">
        <f ca="1">AVERAGE(OFFSET($CX$3,0,0,'Données projet'!$E$13+1,1))-AVERAGE(OFFSET($H$3,0,0,'Données projet'!$E$13+1,1))</f>
        <v>292.57482726862594</v>
      </c>
      <c r="CZ38" s="62">
        <f t="shared" si="42"/>
        <v>283.48738729114024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2">
        <f t="shared" si="0"/>
        <v>541.50302276112825</v>
      </c>
      <c r="S39" s="62">
        <f ca="1">AVERAGE(OFFSET($R$3,0,0,'Données projet'!$E$9+1,1))-AVERAGE(OFFSET($H$3,0,0,'Données projet'!$E$9+1,1))</f>
        <v>428.8489304403459</v>
      </c>
      <c r="T39" s="62">
        <f t="shared" si="34"/>
        <v>247.01165577562966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2">
        <f t="shared" si="5"/>
        <v>570.68476131278612</v>
      </c>
      <c r="AN39" s="62">
        <f ca="1">AVERAGE(OFFSET($AM$3,0,0,'Données projet'!$E$10+1,1))-AVERAGE(OFFSET($H$3,0,0,'Données projet'!$E$10+1,1))</f>
        <v>475.47920969424894</v>
      </c>
      <c r="AO39" s="62">
        <f t="shared" si="36"/>
        <v>271.73544012419364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181.59999999999991</v>
      </c>
      <c r="BE39" s="14">
        <f>BD39*VLOOKUP('Données projet'!$B$11,Paramètres!$A$1:$I$89,3,0)*VLOOKUP('Données projet'!$B$11,Paramètres!$A$1:$I$89,5,0)</f>
        <v>133.14911999999993</v>
      </c>
      <c r="BF39" s="14">
        <f t="shared" si="37"/>
        <v>34.723011740352263</v>
      </c>
      <c r="BG39" s="22">
        <f t="shared" si="7"/>
        <v>292.37729611444672</v>
      </c>
      <c r="BH39" s="62">
        <f t="shared" si="8"/>
        <v>585.71062944778009</v>
      </c>
      <c r="BI39" s="62">
        <f ca="1">AVERAGE(OFFSET($BH$3,0,0,'Données projet'!$E$11+1,1))-AVERAGE(OFFSET($H$3,0,0,'Données projet'!$E$11+1,1))</f>
        <v>290.85271051443431</v>
      </c>
      <c r="BJ39" s="62">
        <f t="shared" si="38"/>
        <v>318.66958823451142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</v>
      </c>
      <c r="BY39" s="13">
        <f>IF('Données projet'!$A$114&gt;35,BY38+BX39-CG38,IF(A39&lt;'Données projet'!$A$114,$BV$205^A39,IF(A39='Données projet'!$A$114,'Données projet'!$B$114,BY38+BX39-CG38)))</f>
        <v>59</v>
      </c>
      <c r="BZ39" s="14">
        <f>BY39*VLOOKUP('Données projet'!$B$12,Paramètres!$A$1:$I$89,3,0)*VLOOKUP('Données projet'!$B$12,Paramètres!$A$1:$I$89,5,0)</f>
        <v>57.064799999999998</v>
      </c>
      <c r="CA39" s="14">
        <f t="shared" si="39"/>
        <v>16.424005972947381</v>
      </c>
      <c r="CB39" s="22">
        <f t="shared" si="10"/>
        <v>127.99300373621668</v>
      </c>
      <c r="CC39" s="62">
        <f t="shared" si="11"/>
        <v>421.32633706954999</v>
      </c>
      <c r="CD39" s="62">
        <f ca="1">AVERAGE(OFFSET($CC$3,0,0,'Données projet'!$E$12+1,1))-AVERAGE(OFFSET($H$3,0,0,'Données projet'!$E$12+1,1))</f>
        <v>255.59755832175625</v>
      </c>
      <c r="CE39" s="62">
        <f t="shared" si="40"/>
        <v>154.0840647586964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2">
        <f t="shared" si="14"/>
        <v>595.3953118988635</v>
      </c>
      <c r="CY39" s="62">
        <f ca="1">AVERAGE(OFFSET($CX$3,0,0,'Données projet'!$E$13+1,1))-AVERAGE(OFFSET($H$3,0,0,'Données projet'!$E$13+1,1))</f>
        <v>292.57482726862594</v>
      </c>
      <c r="CZ39" s="62">
        <f t="shared" si="42"/>
        <v>283.48738729114024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2">
        <f t="shared" si="0"/>
        <v>557.83878140250943</v>
      </c>
      <c r="S40" s="62">
        <f ca="1">AVERAGE(OFFSET($R$3,0,0,'Données projet'!$E$9+1,1))-AVERAGE(OFFSET($H$3,0,0,'Données projet'!$E$9+1,1))</f>
        <v>428.8489304403459</v>
      </c>
      <c r="T40" s="62">
        <f t="shared" si="34"/>
        <v>247.01165577562966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2">
        <f t="shared" si="5"/>
        <v>588.9463250104435</v>
      </c>
      <c r="AN40" s="62">
        <f ca="1">AVERAGE(OFFSET($AM$3,0,0,'Données projet'!$E$10+1,1))-AVERAGE(OFFSET($H$3,0,0,'Données projet'!$E$10+1,1))</f>
        <v>475.47920969424894</v>
      </c>
      <c r="AO40" s="62">
        <f t="shared" si="36"/>
        <v>271.73544012419364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191.1999999999999</v>
      </c>
      <c r="BE40" s="14">
        <f>BD40*VLOOKUP('Données projet'!$B$11,Paramètres!$A$1:$I$89,3,0)*VLOOKUP('Données projet'!$B$11,Paramètres!$A$1:$I$89,5,0)</f>
        <v>140.18783999999991</v>
      </c>
      <c r="BF40" s="14">
        <f t="shared" si="37"/>
        <v>36.340033642714133</v>
      </c>
      <c r="BG40" s="22">
        <f t="shared" si="7"/>
        <v>307.4527132610603</v>
      </c>
      <c r="BH40" s="62">
        <f t="shared" si="8"/>
        <v>600.78604659439361</v>
      </c>
      <c r="BI40" s="62">
        <f ca="1">AVERAGE(OFFSET($BH$3,0,0,'Données projet'!$E$11+1,1))-AVERAGE(OFFSET($H$3,0,0,'Données projet'!$E$11+1,1))</f>
        <v>290.85271051443431</v>
      </c>
      <c r="BJ40" s="62">
        <f t="shared" si="38"/>
        <v>318.66958823451142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</v>
      </c>
      <c r="BY40" s="13">
        <f>IF('Données projet'!$A$114&gt;35,BY39+BX40-CG39,IF(A40&lt;'Données projet'!$A$114,$BV$205^A40,IF(A40='Données projet'!$A$114,'Données projet'!$B$114,BY39+BX40-CG39)))</f>
        <v>63</v>
      </c>
      <c r="BZ40" s="14">
        <f>BY40*VLOOKUP('Données projet'!$B$12,Paramètres!$A$1:$I$89,3,0)*VLOOKUP('Données projet'!$B$12,Paramètres!$A$1:$I$89,5,0)</f>
        <v>60.933600000000006</v>
      </c>
      <c r="CA40" s="14">
        <f t="shared" si="39"/>
        <v>17.404099852856145</v>
      </c>
      <c r="CB40" s="22">
        <f t="shared" si="10"/>
        <v>136.4381605770578</v>
      </c>
      <c r="CC40" s="62">
        <f t="shared" si="11"/>
        <v>429.77149391039109</v>
      </c>
      <c r="CD40" s="62">
        <f ca="1">AVERAGE(OFFSET($CC$3,0,0,'Données projet'!$E$12+1,1))-AVERAGE(OFFSET($H$3,0,0,'Données projet'!$E$12+1,1))</f>
        <v>255.59755832175625</v>
      </c>
      <c r="CE40" s="62">
        <f t="shared" si="40"/>
        <v>154.0840647586964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614.59073358295768</v>
      </c>
      <c r="CY40" s="62">
        <f ca="1">AVERAGE(OFFSET($CX$3,0,0,'Données projet'!$E$13+1,1))-AVERAGE(OFFSET($H$3,0,0,'Données projet'!$E$13+1,1))</f>
        <v>292.57482726862594</v>
      </c>
      <c r="CZ40" s="62">
        <f t="shared" si="42"/>
        <v>283.48738729114024</v>
      </c>
      <c r="DA40" s="16">
        <f>IF(ISNA(VLOOKUP(A40,'Données projet'!$A$139:$I$159,3,0)),0,VLOOKUP(A40,'Données projet'!$A$139:$I$159,3,0))</f>
        <v>3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2">
        <f t="shared" si="0"/>
        <v>574.15179438724942</v>
      </c>
      <c r="S41" s="62">
        <f ca="1">AVERAGE(OFFSET($R$3,0,0,'Données projet'!$E$9+1,1))-AVERAGE(OFFSET($H$3,0,0,'Données projet'!$E$9+1,1))</f>
        <v>428.8489304403459</v>
      </c>
      <c r="T41" s="62">
        <f t="shared" si="34"/>
        <v>247.01165577562966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2">
        <f t="shared" si="5"/>
        <v>607.18273374145838</v>
      </c>
      <c r="AN41" s="62">
        <f ca="1">AVERAGE(OFFSET($AM$3,0,0,'Données projet'!$E$10+1,1))-AVERAGE(OFFSET($H$3,0,0,'Données projet'!$E$10+1,1))</f>
        <v>475.47920969424894</v>
      </c>
      <c r="AO41" s="62">
        <f t="shared" si="36"/>
        <v>271.73544012419364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200.7999999999999</v>
      </c>
      <c r="BE41" s="14">
        <f>BD41*VLOOKUP('Données projet'!$B$11,Paramètres!$A$1:$I$89,3,0)*VLOOKUP('Données projet'!$B$11,Paramètres!$A$1:$I$89,5,0)</f>
        <v>147.22655999999992</v>
      </c>
      <c r="BF41" s="14">
        <f t="shared" si="37"/>
        <v>37.947628481165793</v>
      </c>
      <c r="BG41" s="22">
        <f t="shared" si="7"/>
        <v>322.51171160469693</v>
      </c>
      <c r="BH41" s="62">
        <f t="shared" si="8"/>
        <v>615.84504493803024</v>
      </c>
      <c r="BI41" s="62">
        <f ca="1">AVERAGE(OFFSET($BH$3,0,0,'Données projet'!$E$11+1,1))-AVERAGE(OFFSET($H$3,0,0,'Données projet'!$E$11+1,1))</f>
        <v>290.85271051443431</v>
      </c>
      <c r="BJ41" s="62">
        <f t="shared" si="38"/>
        <v>318.66958823451142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</v>
      </c>
      <c r="BY41" s="13">
        <f>IF('Données projet'!$A$114&gt;35,BY40+BX41-CG40,IF(A41&lt;'Données projet'!$A$114,$BV$205^A41,IF(A41='Données projet'!$A$114,'Données projet'!$B$114,BY40+BX41-CG40)))</f>
        <v>67</v>
      </c>
      <c r="BZ41" s="14">
        <f>BY41*VLOOKUP('Données projet'!$B$12,Paramètres!$A$1:$I$89,3,0)*VLOOKUP('Données projet'!$B$12,Paramètres!$A$1:$I$89,5,0)</f>
        <v>64.802400000000006</v>
      </c>
      <c r="CA41" s="14">
        <f t="shared" si="39"/>
        <v>18.376971951830182</v>
      </c>
      <c r="CB41" s="22">
        <f t="shared" si="10"/>
        <v>144.87073948277092</v>
      </c>
      <c r="CC41" s="62">
        <f t="shared" si="11"/>
        <v>438.20407281610426</v>
      </c>
      <c r="CD41" s="62">
        <f ca="1">AVERAGE(OFFSET($CC$3,0,0,'Données projet'!$E$12+1,1))-AVERAGE(OFFSET($H$3,0,0,'Données projet'!$E$12+1,1))</f>
        <v>255.59755832175625</v>
      </c>
      <c r="CE41" s="62">
        <f t="shared" si="40"/>
        <v>154.0840647586964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2">
        <f t="shared" si="14"/>
        <v>573.06570146912838</v>
      </c>
      <c r="CY41" s="62">
        <f ca="1">AVERAGE(OFFSET($CX$3,0,0,'Données projet'!$E$13+1,1))-AVERAGE(OFFSET($H$3,0,0,'Données projet'!$E$13+1,1))</f>
        <v>292.57482726862594</v>
      </c>
      <c r="CZ41" s="62">
        <f t="shared" si="42"/>
        <v>283.48738729114024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2">
        <f t="shared" si="0"/>
        <v>590.44356897369653</v>
      </c>
      <c r="S42" s="62">
        <f ca="1">AVERAGE(OFFSET($R$3,0,0,'Données projet'!$E$9+1,1))-AVERAGE(OFFSET($H$3,0,0,'Données projet'!$E$9+1,1))</f>
        <v>428.8489304403459</v>
      </c>
      <c r="T42" s="62">
        <f t="shared" si="34"/>
        <v>247.01165577562966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2">
        <f t="shared" si="5"/>
        <v>625.39565441895047</v>
      </c>
      <c r="AN42" s="62">
        <f ca="1">AVERAGE(OFFSET($AM$3,0,0,'Données projet'!$E$10+1,1))-AVERAGE(OFFSET($H$3,0,0,'Données projet'!$E$10+1,1))</f>
        <v>475.47920969424894</v>
      </c>
      <c r="AO42" s="62">
        <f t="shared" si="36"/>
        <v>271.73544012419364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210.39999999999989</v>
      </c>
      <c r="BE42" s="14">
        <f>BD42*VLOOKUP('Données projet'!$B$11,Paramètres!$A$1:$I$89,3,0)*VLOOKUP('Données projet'!$B$11,Paramètres!$A$1:$I$89,5,0)</f>
        <v>154.26527999999993</v>
      </c>
      <c r="BF42" s="14">
        <f t="shared" si="37"/>
        <v>39.546298406974444</v>
      </c>
      <c r="BG42" s="22">
        <f t="shared" si="7"/>
        <v>337.55516572548032</v>
      </c>
      <c r="BH42" s="62">
        <f t="shared" si="8"/>
        <v>630.88849905881364</v>
      </c>
      <c r="BI42" s="62">
        <f ca="1">AVERAGE(OFFSET($BH$3,0,0,'Données projet'!$E$11+1,1))-AVERAGE(OFFSET($H$3,0,0,'Données projet'!$E$11+1,1))</f>
        <v>290.85271051443431</v>
      </c>
      <c r="BJ42" s="62">
        <f t="shared" si="38"/>
        <v>318.66958823451142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</v>
      </c>
      <c r="BY42" s="13">
        <f>IF('Données projet'!$A$114&gt;35,BY41+BX42-CG41,IF(A42&lt;'Données projet'!$A$114,$BV$205^A42,IF(A42='Données projet'!$A$114,'Données projet'!$B$114,BY41+BX42-CG41)))</f>
        <v>71</v>
      </c>
      <c r="BZ42" s="14">
        <f>BY42*VLOOKUP('Données projet'!$B$12,Paramètres!$A$1:$I$89,3,0)*VLOOKUP('Données projet'!$B$12,Paramètres!$A$1:$I$89,5,0)</f>
        <v>68.671200000000013</v>
      </c>
      <c r="CA42" s="14">
        <f t="shared" si="39"/>
        <v>19.343102525659866</v>
      </c>
      <c r="CB42" s="22">
        <f t="shared" si="10"/>
        <v>153.29157689885758</v>
      </c>
      <c r="CC42" s="62">
        <f t="shared" si="11"/>
        <v>446.62491023219093</v>
      </c>
      <c r="CD42" s="62">
        <f ca="1">AVERAGE(OFFSET($CC$3,0,0,'Données projet'!$E$12+1,1))-AVERAGE(OFFSET($H$3,0,0,'Données projet'!$E$12+1,1))</f>
        <v>255.59755832175625</v>
      </c>
      <c r="CE42" s="62">
        <f t="shared" si="40"/>
        <v>154.0840647586964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2">
        <f t="shared" si="14"/>
        <v>591.69623561735898</v>
      </c>
      <c r="CY42" s="62">
        <f ca="1">AVERAGE(OFFSET($CX$3,0,0,'Données projet'!$E$13+1,1))-AVERAGE(OFFSET($H$3,0,0,'Données projet'!$E$13+1,1))</f>
        <v>292.57482726862594</v>
      </c>
      <c r="CZ42" s="62">
        <f t="shared" si="42"/>
        <v>283.48738729114024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2">
        <f t="shared" si="0"/>
        <v>606.71543359582972</v>
      </c>
      <c r="S43" s="62">
        <f ca="1">AVERAGE(OFFSET($R$3,0,0,'Données projet'!$E$9+1,1))-AVERAGE(OFFSET($H$3,0,0,'Données projet'!$E$9+1,1))</f>
        <v>428.8489304403459</v>
      </c>
      <c r="T43" s="62">
        <f t="shared" si="34"/>
        <v>247.01165577562966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2">
        <f t="shared" si="5"/>
        <v>643.58655618988507</v>
      </c>
      <c r="AN43" s="62">
        <f ca="1">AVERAGE(OFFSET($AM$3,0,0,'Données projet'!$E$10+1,1))-AVERAGE(OFFSET($H$3,0,0,'Données projet'!$E$10+1,1))</f>
        <v>475.47920969424894</v>
      </c>
      <c r="AO43" s="62">
        <f t="shared" si="36"/>
        <v>271.73544012419364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220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219.99999999999989</v>
      </c>
      <c r="BE43" s="14">
        <f>BD43*VLOOKUP('Données projet'!$B$11,Paramètres!$A$1:$I$89,3,0)*VLOOKUP('Données projet'!$B$11,Paramètres!$A$1:$I$89,5,0)</f>
        <v>161.30399999999992</v>
      </c>
      <c r="BF43" s="14">
        <f t="shared" si="37"/>
        <v>41.136497157560363</v>
      </c>
      <c r="BG43" s="22">
        <f t="shared" si="7"/>
        <v>352.58386588275084</v>
      </c>
      <c r="BH43" s="62">
        <f t="shared" si="8"/>
        <v>645.9171992160841</v>
      </c>
      <c r="BI43" s="62">
        <f ca="1">AVERAGE(OFFSET($BH$3,0,0,'Données projet'!$E$11+1,1))-AVERAGE(OFFSET($H$3,0,0,'Données projet'!$E$11+1,1))</f>
        <v>290.85271051443431</v>
      </c>
      <c r="BJ43" s="62">
        <f t="shared" si="38"/>
        <v>318.66958823451142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75</v>
      </c>
      <c r="BW43" s="13">
        <f>VLOOKUP(A43,'Données projet'!$A$113:$I$133,9,0)</f>
        <v>4</v>
      </c>
      <c r="BX43" s="13">
        <f t="array" ref="BX43">INDEX(BW:BW,MIN(IF(ISNUMBER(BW43:BW239),ROW(BW43:BW239),"")))</f>
        <v>4</v>
      </c>
      <c r="BY43" s="13">
        <f>IF('Données projet'!$A$114&gt;35,BY42+BX43-CG42,IF(A43&lt;'Données projet'!$A$114,$BV$205^A43,IF(A43='Données projet'!$A$114,'Données projet'!$B$114,BY42+BX43-CG42)))</f>
        <v>75</v>
      </c>
      <c r="BZ43" s="14">
        <f>BY43*VLOOKUP('Données projet'!$B$12,Paramètres!$A$1:$I$89,3,0)*VLOOKUP('Données projet'!$B$12,Paramètres!$A$1:$I$89,5,0)</f>
        <v>72.540000000000006</v>
      </c>
      <c r="CA43" s="14">
        <f t="shared" si="39"/>
        <v>20.302914660456786</v>
      </c>
      <c r="CB43" s="22">
        <f t="shared" si="10"/>
        <v>161.70140970029556</v>
      </c>
      <c r="CC43" s="62">
        <f t="shared" si="11"/>
        <v>455.03474303362884</v>
      </c>
      <c r="CD43" s="62">
        <f ca="1">AVERAGE(OFFSET($CC$3,0,0,'Données projet'!$E$12+1,1))-AVERAGE(OFFSET($H$3,0,0,'Données projet'!$E$12+1,1))</f>
        <v>255.59755832175625</v>
      </c>
      <c r="CE43" s="62">
        <f t="shared" si="40"/>
        <v>154.0840647586964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2">
        <f t="shared" si="14"/>
        <v>610.30085310437994</v>
      </c>
      <c r="CY43" s="62">
        <f ca="1">AVERAGE(OFFSET($CX$3,0,0,'Données projet'!$E$13+1,1))-AVERAGE(OFFSET($H$3,0,0,'Données projet'!$E$13+1,1))</f>
        <v>292.57482726862594</v>
      </c>
      <c r="CZ43" s="62">
        <f t="shared" si="42"/>
        <v>283.48738729114024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428.8489304403459</v>
      </c>
      <c r="T44" s="62">
        <f t="shared" si="34"/>
        <v>247.01165577562966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475.47920969424894</v>
      </c>
      <c r="AO44" s="62">
        <f t="shared" si="36"/>
        <v>271.73544012419364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172.19999999999987</v>
      </c>
      <c r="BE44" s="14">
        <f>BD44*VLOOKUP('Données projet'!$B$11,Paramètres!$A$1:$I$89,3,0)*VLOOKUP('Données projet'!$B$11,Paramètres!$A$1:$I$89,5,0)</f>
        <v>126.25703999999992</v>
      </c>
      <c r="BF44" s="14">
        <f t="shared" si="37"/>
        <v>33.130006114881219</v>
      </c>
      <c r="BG44" s="22">
        <f t="shared" si="7"/>
        <v>277.59910531675132</v>
      </c>
      <c r="BH44" s="62">
        <f t="shared" si="8"/>
        <v>570.93243865008458</v>
      </c>
      <c r="BI44" s="62">
        <f ca="1">AVERAGE(OFFSET($BH$3,0,0,'Données projet'!$E$11+1,1))-AVERAGE(OFFSET($H$3,0,0,'Données projet'!$E$11+1,1))</f>
        <v>290.85271051443431</v>
      </c>
      <c r="BJ44" s="62">
        <f t="shared" si="38"/>
        <v>318.66958823451142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3.8</v>
      </c>
      <c r="BY44" s="13">
        <f>IF('Données projet'!$A$114&gt;35,BY43+BX44-CG43,IF(A44&lt;'Données projet'!$A$114,$BV$205^A44,IF(A44='Données projet'!$A$114,'Données projet'!$B$114,BY43+BX44-CG43)))</f>
        <v>78.8</v>
      </c>
      <c r="BZ44" s="14">
        <f>BY44*VLOOKUP('Données projet'!$B$12,Paramètres!$A$1:$I$89,3,0)*VLOOKUP('Données projet'!$B$12,Paramètres!$A$1:$I$89,5,0)</f>
        <v>76.21535999999999</v>
      </c>
      <c r="CA44" s="14">
        <f t="shared" si="39"/>
        <v>21.209226133452251</v>
      </c>
      <c r="CB44" s="22">
        <f t="shared" si="10"/>
        <v>169.68115418242931</v>
      </c>
      <c r="CC44" s="62">
        <f t="shared" si="11"/>
        <v>463.01448751576265</v>
      </c>
      <c r="CD44" s="62">
        <f ca="1">AVERAGE(OFFSET($CC$3,0,0,'Données projet'!$E$12+1,1))-AVERAGE(OFFSET($H$3,0,0,'Données projet'!$E$12+1,1))</f>
        <v>255.59755832175625</v>
      </c>
      <c r="CE44" s="62">
        <f t="shared" si="40"/>
        <v>154.0840647586964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2">
        <f t="shared" si="14"/>
        <v>628.88128868979697</v>
      </c>
      <c r="CY44" s="62">
        <f ca="1">AVERAGE(OFFSET($CX$3,0,0,'Données projet'!$E$13+1,1))-AVERAGE(OFFSET($H$3,0,0,'Données projet'!$E$13+1,1))</f>
        <v>292.57482726862594</v>
      </c>
      <c r="CZ44" s="62">
        <f t="shared" si="42"/>
        <v>283.48738729114024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428.8489304403459</v>
      </c>
      <c r="T45" s="62">
        <f t="shared" si="34"/>
        <v>247.01165577562966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475.47920969424894</v>
      </c>
      <c r="AO45" s="62">
        <f t="shared" si="36"/>
        <v>271.73544012419364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180.39999999999986</v>
      </c>
      <c r="BE45" s="14">
        <f>BD45*VLOOKUP('Données projet'!$B$11,Paramètres!$A$1:$I$89,3,0)*VLOOKUP('Données projet'!$B$11,Paramètres!$A$1:$I$89,5,0)</f>
        <v>132.2692799999999</v>
      </c>
      <c r="BF45" s="14">
        <f t="shared" si="37"/>
        <v>34.520194019648734</v>
      </c>
      <c r="BG45" s="22">
        <f t="shared" si="7"/>
        <v>290.49166725088799</v>
      </c>
      <c r="BH45" s="62">
        <f t="shared" si="8"/>
        <v>583.82500058422124</v>
      </c>
      <c r="BI45" s="62">
        <f ca="1">AVERAGE(OFFSET($BH$3,0,0,'Données projet'!$E$11+1,1))-AVERAGE(OFFSET($H$3,0,0,'Données projet'!$E$11+1,1))</f>
        <v>290.85271051443431</v>
      </c>
      <c r="BJ45" s="62">
        <f t="shared" si="38"/>
        <v>318.66958823451142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3.8</v>
      </c>
      <c r="BY45" s="13">
        <f>IF('Données projet'!$A$114&gt;35,BY44+BX45-CG44,IF(A45&lt;'Données projet'!$A$114,$BV$205^A45,IF(A45='Données projet'!$A$114,'Données projet'!$B$114,BY44+BX45-CG44)))</f>
        <v>82.6</v>
      </c>
      <c r="BZ45" s="14">
        <f>BY45*VLOOKUP('Données projet'!$B$12,Paramètres!$A$1:$I$89,3,0)*VLOOKUP('Données projet'!$B$12,Paramètres!$A$1:$I$89,5,0)</f>
        <v>79.890720000000002</v>
      </c>
      <c r="CA45" s="14">
        <f t="shared" si="39"/>
        <v>22.110462475232147</v>
      </c>
      <c r="CB45" s="22">
        <f t="shared" si="10"/>
        <v>177.65205947769599</v>
      </c>
      <c r="CC45" s="62">
        <f t="shared" si="11"/>
        <v>470.98539281102933</v>
      </c>
      <c r="CD45" s="62">
        <f ca="1">AVERAGE(OFFSET($CC$3,0,0,'Données projet'!$E$12+1,1))-AVERAGE(OFFSET($H$3,0,0,'Données projet'!$E$12+1,1))</f>
        <v>255.59755832175625</v>
      </c>
      <c r="CE45" s="62">
        <f t="shared" si="40"/>
        <v>154.0840647586964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2">
        <f t="shared" si="14"/>
        <v>647.43906935148379</v>
      </c>
      <c r="CY45" s="62">
        <f ca="1">AVERAGE(OFFSET($CX$3,0,0,'Données projet'!$E$13+1,1))-AVERAGE(OFFSET($H$3,0,0,'Données projet'!$E$13+1,1))</f>
        <v>292.57482726862594</v>
      </c>
      <c r="CZ45" s="62">
        <f t="shared" si="42"/>
        <v>283.48738729114024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428.8489304403459</v>
      </c>
      <c r="T46" s="62">
        <f t="shared" si="34"/>
        <v>247.01165577562966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475.47920969424894</v>
      </c>
      <c r="AO46" s="62">
        <f t="shared" si="36"/>
        <v>271.73544012419364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188.59999999999985</v>
      </c>
      <c r="BE46" s="14">
        <f>BD46*VLOOKUP('Données projet'!$B$11,Paramètres!$A$1:$I$89,3,0)*VLOOKUP('Données projet'!$B$11,Paramètres!$A$1:$I$89,5,0)</f>
        <v>138.28151999999989</v>
      </c>
      <c r="BF46" s="14">
        <f t="shared" si="37"/>
        <v>35.903043322174639</v>
      </c>
      <c r="BG46" s="22">
        <f t="shared" si="7"/>
        <v>303.37144778612065</v>
      </c>
      <c r="BH46" s="62">
        <f t="shared" si="8"/>
        <v>596.70478111945397</v>
      </c>
      <c r="BI46" s="62">
        <f ca="1">AVERAGE(OFFSET($BH$3,0,0,'Données projet'!$E$11+1,1))-AVERAGE(OFFSET($H$3,0,0,'Données projet'!$E$11+1,1))</f>
        <v>290.85271051443431</v>
      </c>
      <c r="BJ46" s="62">
        <f t="shared" si="38"/>
        <v>318.66958823451142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3.8</v>
      </c>
      <c r="BY46" s="13">
        <f>IF('Données projet'!$A$114&gt;35,BY45+BX46-CG45,IF(A46&lt;'Données projet'!$A$114,$BV$205^A46,IF(A46='Données projet'!$A$114,'Données projet'!$B$114,BY45+BX46-CG45)))</f>
        <v>86.399999999999991</v>
      </c>
      <c r="BZ46" s="14">
        <f>BY46*VLOOKUP('Données projet'!$B$12,Paramètres!$A$1:$I$89,3,0)*VLOOKUP('Données projet'!$B$12,Paramètres!$A$1:$I$89,5,0)</f>
        <v>83.566079999999999</v>
      </c>
      <c r="CA46" s="14">
        <f t="shared" si="39"/>
        <v>23.006883834459444</v>
      </c>
      <c r="CB46" s="22">
        <f t="shared" si="10"/>
        <v>185.6145786783502</v>
      </c>
      <c r="CC46" s="62">
        <f t="shared" si="11"/>
        <v>478.94791201168351</v>
      </c>
      <c r="CD46" s="62">
        <f ca="1">AVERAGE(OFFSET($CC$3,0,0,'Données projet'!$E$12+1,1))-AVERAGE(OFFSET($H$3,0,0,'Données projet'!$E$12+1,1))</f>
        <v>255.59755832175625</v>
      </c>
      <c r="CE46" s="62">
        <f t="shared" si="40"/>
        <v>154.0840647586964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2">
        <f t="shared" si="14"/>
        <v>665.97554898467797</v>
      </c>
      <c r="CY46" s="62">
        <f ca="1">AVERAGE(OFFSET($CX$3,0,0,'Données projet'!$E$13+1,1))-AVERAGE(OFFSET($H$3,0,0,'Données projet'!$E$13+1,1))</f>
        <v>292.57482726862594</v>
      </c>
      <c r="CZ46" s="62">
        <f t="shared" si="42"/>
        <v>283.48738729114024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428.8489304403459</v>
      </c>
      <c r="T47" s="62">
        <f t="shared" si="34"/>
        <v>247.01165577562966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475.47920969424894</v>
      </c>
      <c r="AO47" s="62">
        <f t="shared" si="36"/>
        <v>271.73544012419364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196.79999999999984</v>
      </c>
      <c r="BE47" s="14">
        <f>BD47*VLOOKUP('Données projet'!$B$11,Paramètres!$A$1:$I$89,3,0)*VLOOKUP('Données projet'!$B$11,Paramètres!$A$1:$I$89,5,0)</f>
        <v>144.29375999999988</v>
      </c>
      <c r="BF47" s="14">
        <f t="shared" si="37"/>
        <v>37.278909560653922</v>
      </c>
      <c r="BG47" s="22">
        <f t="shared" si="7"/>
        <v>316.23906615147206</v>
      </c>
      <c r="BH47" s="62">
        <f t="shared" si="8"/>
        <v>609.57239948480537</v>
      </c>
      <c r="BI47" s="62">
        <f ca="1">AVERAGE(OFFSET($BH$3,0,0,'Données projet'!$E$11+1,1))-AVERAGE(OFFSET($H$3,0,0,'Données projet'!$E$11+1,1))</f>
        <v>290.85271051443431</v>
      </c>
      <c r="BJ47" s="62">
        <f t="shared" si="38"/>
        <v>318.66958823451142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3.8</v>
      </c>
      <c r="BY47" s="13">
        <f>IF('Données projet'!$A$114&gt;35,BY46+BX47-CG46,IF(A47&lt;'Données projet'!$A$114,$BV$205^A47,IF(A47='Données projet'!$A$114,'Données projet'!$B$114,BY46+BX47-CG46)))</f>
        <v>90.199999999999989</v>
      </c>
      <c r="BZ47" s="14">
        <f>BY47*VLOOKUP('Données projet'!$B$12,Paramètres!$A$1:$I$89,3,0)*VLOOKUP('Données projet'!$B$12,Paramètres!$A$1:$I$89,5,0)</f>
        <v>87.241439999999997</v>
      </c>
      <c r="CA47" s="14">
        <f t="shared" si="39"/>
        <v>23.898726182438701</v>
      </c>
      <c r="CB47" s="22">
        <f t="shared" si="10"/>
        <v>193.56912276774736</v>
      </c>
      <c r="CC47" s="62">
        <f t="shared" si="11"/>
        <v>486.9024561010807</v>
      </c>
      <c r="CD47" s="62">
        <f ca="1">AVERAGE(OFFSET($CC$3,0,0,'Données projet'!$E$12+1,1))-AVERAGE(OFFSET($H$3,0,0,'Données projet'!$E$12+1,1))</f>
        <v>255.59755832175625</v>
      </c>
      <c r="CE47" s="62">
        <f t="shared" si="40"/>
        <v>154.0840647586964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684.49193583334397</v>
      </c>
      <c r="CY47" s="62">
        <f ca="1">AVERAGE(OFFSET($CX$3,0,0,'Données projet'!$E$13+1,1))-AVERAGE(OFFSET($H$3,0,0,'Données projet'!$E$13+1,1))</f>
        <v>292.57482726862594</v>
      </c>
      <c r="CZ47" s="62">
        <f t="shared" si="42"/>
        <v>283.48738729114024</v>
      </c>
      <c r="DA47" s="16">
        <f>IF(ISNA(VLOOKUP(A47,'Données projet'!$A$139:$I$159,3,0)),0,VLOOKUP(A47,'Données projet'!$A$139:$I$159,3,0))</f>
        <v>4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428.8489304403459</v>
      </c>
      <c r="T48" s="62">
        <f t="shared" si="34"/>
        <v>247.01165577562966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475.47920969424894</v>
      </c>
      <c r="AO48" s="62">
        <f t="shared" si="36"/>
        <v>271.73544012419364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8.1999999999999993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204.99999999999983</v>
      </c>
      <c r="BE48" s="14">
        <f>BD48*VLOOKUP('Données projet'!$B$11,Paramètres!$A$1:$I$89,3,0)*VLOOKUP('Données projet'!$B$11,Paramètres!$A$1:$I$89,5,0)</f>
        <v>150.30599999999987</v>
      </c>
      <c r="BF48" s="14">
        <f t="shared" si="37"/>
        <v>38.648116968856641</v>
      </c>
      <c r="BG48" s="22">
        <f t="shared" si="7"/>
        <v>329.09508705409172</v>
      </c>
      <c r="BH48" s="62">
        <f t="shared" si="8"/>
        <v>622.42842038742504</v>
      </c>
      <c r="BI48" s="62">
        <f ca="1">AVERAGE(OFFSET($BH$3,0,0,'Données projet'!$E$11+1,1))-AVERAGE(OFFSET($H$3,0,0,'Données projet'!$E$11+1,1))</f>
        <v>290.85271051443431</v>
      </c>
      <c r="BJ48" s="62">
        <f t="shared" si="38"/>
        <v>318.66958823451142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94</v>
      </c>
      <c r="BW48" s="13">
        <f>VLOOKUP(A48,'Données projet'!$A$113:$I$133,9,0)</f>
        <v>3.8</v>
      </c>
      <c r="BX48" s="13">
        <f t="array" ref="BX48">INDEX(BW:BW,MIN(IF(ISNUMBER(BW48:BW244),ROW(BW48:BW244),"")))</f>
        <v>3.8</v>
      </c>
      <c r="BY48" s="13">
        <f>IF('Données projet'!$A$114&gt;35,BY47+BX48-CG47,IF(A48&lt;'Données projet'!$A$114,$BV$205^A48,IF(A48='Données projet'!$A$114,'Données projet'!$B$114,BY47+BX48-CG47)))</f>
        <v>93.999999999999986</v>
      </c>
      <c r="BZ48" s="14">
        <f>BY48*VLOOKUP('Données projet'!$B$12,Paramètres!$A$1:$I$89,3,0)*VLOOKUP('Données projet'!$B$12,Paramètres!$A$1:$I$89,5,0)</f>
        <v>90.916799999999995</v>
      </c>
      <c r="CA48" s="14">
        <f t="shared" si="39"/>
        <v>24.786204483471451</v>
      </c>
      <c r="CB48" s="22">
        <f t="shared" si="10"/>
        <v>201.51606614204607</v>
      </c>
      <c r="CC48" s="62">
        <f t="shared" si="11"/>
        <v>494.84939947537941</v>
      </c>
      <c r="CD48" s="62">
        <f ca="1">AVERAGE(OFFSET($CC$3,0,0,'Données projet'!$E$12+1,1))-AVERAGE(OFFSET($H$3,0,0,'Données projet'!$E$12+1,1))</f>
        <v>255.59755832175625</v>
      </c>
      <c r="CE48" s="62">
        <f t="shared" si="40"/>
        <v>154.0840647586964</v>
      </c>
      <c r="CF48" s="16">
        <f>IF(ISNA(VLOOKUP(A48,'Données projet'!$A$113:$I$133,3,0)),0,VLOOKUP(A48,'Données projet'!$A$113:$I$133,3,0))</f>
        <v>2</v>
      </c>
      <c r="CG48" s="16">
        <f>IF(ISNA(VLOOKUP(A48,'Données projet'!$A$113:$I$133,4,0)),0,VLOOKUP(A48,'Données projet'!$A$113:$I$133,4,0))</f>
        <v>18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2">
        <f t="shared" si="14"/>
        <v>630.2203310414834</v>
      </c>
      <c r="CY48" s="62">
        <f ca="1">AVERAGE(OFFSET($CX$3,0,0,'Données projet'!$E$13+1,1))-AVERAGE(OFFSET($H$3,0,0,'Données projet'!$E$13+1,1))</f>
        <v>292.57482726862594</v>
      </c>
      <c r="CZ48" s="62">
        <f t="shared" si="42"/>
        <v>283.48738729114024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2">
        <f t="shared" si="0"/>
        <v>622.58179746983251</v>
      </c>
      <c r="S49" s="62">
        <f ca="1">AVERAGE(OFFSET($R$3,0,0,'Données projet'!$E$9+1,1))-AVERAGE(OFFSET($H$3,0,0,'Données projet'!$E$9+1,1))</f>
        <v>428.8489304403459</v>
      </c>
      <c r="T49" s="62">
        <f t="shared" si="34"/>
        <v>247.01165577562966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2">
        <f t="shared" si="5"/>
        <v>661.32435123407731</v>
      </c>
      <c r="AN49" s="62">
        <f ca="1">AVERAGE(OFFSET($AM$3,0,0,'Données projet'!$E$10+1,1))-AVERAGE(OFFSET($H$3,0,0,'Données projet'!$E$10+1,1))</f>
        <v>475.47920969424894</v>
      </c>
      <c r="AO49" s="62">
        <f t="shared" si="36"/>
        <v>271.73544012419364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211.99999999999983</v>
      </c>
      <c r="BE49" s="14">
        <f>BD49*VLOOKUP('Données projet'!$B$11,Paramètres!$A$1:$I$89,3,0)*VLOOKUP('Données projet'!$B$11,Paramètres!$A$1:$I$89,5,0)</f>
        <v>155.43839999999986</v>
      </c>
      <c r="BF49" s="14">
        <f t="shared" si="37"/>
        <v>39.811908198208883</v>
      </c>
      <c r="BG49" s="22">
        <f t="shared" si="7"/>
        <v>340.06095344521356</v>
      </c>
      <c r="BH49" s="62">
        <f t="shared" si="8"/>
        <v>633.39428677854687</v>
      </c>
      <c r="BI49" s="62">
        <f ca="1">AVERAGE(OFFSET($BH$3,0,0,'Données projet'!$E$11+1,1))-AVERAGE(OFFSET($H$3,0,0,'Données projet'!$E$11+1,1))</f>
        <v>290.85271051443431</v>
      </c>
      <c r="BJ49" s="62">
        <f t="shared" si="38"/>
        <v>318.66958823451142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3.8</v>
      </c>
      <c r="BY49" s="13">
        <f>IF('Données projet'!$A$114&gt;35,BY48+BX49-CG48,IF(A49&lt;'Données projet'!$A$114,$BV$205^A49,IF(A49='Données projet'!$A$114,'Données projet'!$B$114,BY48+BX49-CG48)))</f>
        <v>79.799999999999983</v>
      </c>
      <c r="BZ49" s="14">
        <f>BY49*VLOOKUP('Données projet'!$B$12,Paramètres!$A$1:$I$89,3,0)*VLOOKUP('Données projet'!$B$12,Paramètres!$A$1:$I$89,5,0)</f>
        <v>77.182559999999995</v>
      </c>
      <c r="CA49" s="14">
        <f t="shared" si="39"/>
        <v>21.446874557671695</v>
      </c>
      <c r="CB49" s="22">
        <f t="shared" si="10"/>
        <v>171.77959852127819</v>
      </c>
      <c r="CC49" s="62">
        <f t="shared" si="11"/>
        <v>465.11293185461147</v>
      </c>
      <c r="CD49" s="62">
        <f ca="1">AVERAGE(OFFSET($CC$3,0,0,'Données projet'!$E$12+1,1))-AVERAGE(OFFSET($H$3,0,0,'Données projet'!$E$12+1,1))</f>
        <v>255.59755832175625</v>
      </c>
      <c r="CE49" s="62">
        <f t="shared" si="40"/>
        <v>154.0840647586964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2">
        <f t="shared" si="14"/>
        <v>647.49851449037362</v>
      </c>
      <c r="CY49" s="62">
        <f ca="1">AVERAGE(OFFSET($CX$3,0,0,'Données projet'!$E$13+1,1))-AVERAGE(OFFSET($H$3,0,0,'Données projet'!$E$13+1,1))</f>
        <v>292.57482726862594</v>
      </c>
      <c r="CZ49" s="62">
        <f t="shared" si="42"/>
        <v>283.48738729114024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2">
        <f t="shared" si="0"/>
        <v>638.43129351369294</v>
      </c>
      <c r="S50" s="62">
        <f ca="1">AVERAGE(OFFSET($R$3,0,0,'Données projet'!$E$9+1,1))-AVERAGE(OFFSET($H$3,0,0,'Données projet'!$E$9+1,1))</f>
        <v>428.8489304403459</v>
      </c>
      <c r="T50" s="62">
        <f t="shared" si="34"/>
        <v>247.01165577562966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2">
        <f t="shared" si="5"/>
        <v>679.04349174077868</v>
      </c>
      <c r="AN50" s="62">
        <f ca="1">AVERAGE(OFFSET($AM$3,0,0,'Données projet'!$E$10+1,1))-AVERAGE(OFFSET($H$3,0,0,'Données projet'!$E$10+1,1))</f>
        <v>475.47920969424894</v>
      </c>
      <c r="AO50" s="62">
        <f t="shared" si="36"/>
        <v>271.73544012419364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218.99999999999983</v>
      </c>
      <c r="BE50" s="14">
        <f>BD50*VLOOKUP('Données projet'!$B$11,Paramètres!$A$1:$I$89,3,0)*VLOOKUP('Données projet'!$B$11,Paramètres!$A$1:$I$89,5,0)</f>
        <v>160.57079999999985</v>
      </c>
      <c r="BF50" s="14">
        <f t="shared" si="37"/>
        <v>40.97123424416818</v>
      </c>
      <c r="BG50" s="22">
        <f t="shared" si="7"/>
        <v>351.01904297525931</v>
      </c>
      <c r="BH50" s="62">
        <f t="shared" si="8"/>
        <v>644.35237630859262</v>
      </c>
      <c r="BI50" s="62">
        <f ca="1">AVERAGE(OFFSET($BH$3,0,0,'Données projet'!$E$11+1,1))-AVERAGE(OFFSET($H$3,0,0,'Données projet'!$E$11+1,1))</f>
        <v>290.85271051443431</v>
      </c>
      <c r="BJ50" s="62">
        <f t="shared" si="38"/>
        <v>318.66958823451142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3.8</v>
      </c>
      <c r="BY50" s="13">
        <f>IF('Données projet'!$A$114&gt;35,BY49+BX50-CG49,IF(A50&lt;'Données projet'!$A$114,$BV$205^A50,IF(A50='Données projet'!$A$114,'Données projet'!$B$114,BY49+BX50-CG49)))</f>
        <v>83.59999999999998</v>
      </c>
      <c r="BZ50" s="14">
        <f>BY50*VLOOKUP('Données projet'!$B$12,Paramètres!$A$1:$I$89,3,0)*VLOOKUP('Données projet'!$B$12,Paramètres!$A$1:$I$89,5,0)</f>
        <v>80.857919999999979</v>
      </c>
      <c r="CA50" s="14">
        <f t="shared" si="39"/>
        <v>22.346819625648891</v>
      </c>
      <c r="CB50" s="22">
        <f t="shared" si="10"/>
        <v>179.7482548480051</v>
      </c>
      <c r="CC50" s="62">
        <f t="shared" si="11"/>
        <v>473.08158818133842</v>
      </c>
      <c r="CD50" s="62">
        <f ca="1">AVERAGE(OFFSET($CC$3,0,0,'Données projet'!$E$12+1,1))-AVERAGE(OFFSET($H$3,0,0,'Données projet'!$E$12+1,1))</f>
        <v>255.59755832175625</v>
      </c>
      <c r="CE50" s="62">
        <f t="shared" si="40"/>
        <v>154.0840647586964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2">
        <f t="shared" si="14"/>
        <v>664.75823642060936</v>
      </c>
      <c r="CY50" s="62">
        <f ca="1">AVERAGE(OFFSET($CX$3,0,0,'Données projet'!$E$13+1,1))-AVERAGE(OFFSET($H$3,0,0,'Données projet'!$E$13+1,1))</f>
        <v>292.57482726862594</v>
      </c>
      <c r="CZ50" s="62">
        <f t="shared" si="42"/>
        <v>283.48738729114024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2">
        <f t="shared" si="0"/>
        <v>654.26480538883823</v>
      </c>
      <c r="S51" s="62">
        <f ca="1">AVERAGE(OFFSET($R$3,0,0,'Données projet'!$E$9+1,1))-AVERAGE(OFFSET($H$3,0,0,'Données projet'!$E$9+1,1))</f>
        <v>428.8489304403459</v>
      </c>
      <c r="T51" s="62">
        <f t="shared" si="34"/>
        <v>247.01165577562966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2">
        <f t="shared" si="5"/>
        <v>696.74495497233352</v>
      </c>
      <c r="AN51" s="62">
        <f ca="1">AVERAGE(OFFSET($AM$3,0,0,'Données projet'!$E$10+1,1))-AVERAGE(OFFSET($H$3,0,0,'Données projet'!$E$10+1,1))</f>
        <v>475.47920969424894</v>
      </c>
      <c r="AO51" s="62">
        <f t="shared" si="36"/>
        <v>271.73544012419364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225.99999999999983</v>
      </c>
      <c r="BE51" s="14">
        <f>BD51*VLOOKUP('Données projet'!$B$11,Paramètres!$A$1:$I$89,3,0)*VLOOKUP('Données projet'!$B$11,Paramètres!$A$1:$I$89,5,0)</f>
        <v>165.70319999999987</v>
      </c>
      <c r="BF51" s="14">
        <f t="shared" si="37"/>
        <v>42.126254201367267</v>
      </c>
      <c r="BG51" s="22">
        <f t="shared" si="7"/>
        <v>361.96963273404771</v>
      </c>
      <c r="BH51" s="62">
        <f t="shared" si="8"/>
        <v>655.30296606738102</v>
      </c>
      <c r="BI51" s="62">
        <f ca="1">AVERAGE(OFFSET($BH$3,0,0,'Données projet'!$E$11+1,1))-AVERAGE(OFFSET($H$3,0,0,'Données projet'!$E$11+1,1))</f>
        <v>290.85271051443431</v>
      </c>
      <c r="BJ51" s="62">
        <f t="shared" si="38"/>
        <v>318.66958823451142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3.8</v>
      </c>
      <c r="BY51" s="13">
        <f>IF('Données projet'!$A$114&gt;35,BY50+BX51-CG50,IF(A51&lt;'Données projet'!$A$114,$BV$205^A51,IF(A51='Données projet'!$A$114,'Données projet'!$B$114,BY50+BX51-CG50)))</f>
        <v>87.399999999999977</v>
      </c>
      <c r="BZ51" s="14">
        <f>BY51*VLOOKUP('Données projet'!$B$12,Paramètres!$A$1:$I$89,3,0)*VLOOKUP('Données projet'!$B$12,Paramètres!$A$1:$I$89,5,0)</f>
        <v>84.533279999999991</v>
      </c>
      <c r="CA51" s="14">
        <f t="shared" si="39"/>
        <v>23.242014012893971</v>
      </c>
      <c r="CB51" s="22">
        <f t="shared" si="10"/>
        <v>187.70863707245698</v>
      </c>
      <c r="CC51" s="62">
        <f t="shared" si="11"/>
        <v>481.04197040579027</v>
      </c>
      <c r="CD51" s="62">
        <f ca="1">AVERAGE(OFFSET($CC$3,0,0,'Données projet'!$E$12+1,1))-AVERAGE(OFFSET($H$3,0,0,'Données projet'!$E$12+1,1))</f>
        <v>255.59755832175625</v>
      </c>
      <c r="CE51" s="62">
        <f t="shared" si="40"/>
        <v>154.0840647586964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2">
        <f t="shared" si="14"/>
        <v>682.00047520268288</v>
      </c>
      <c r="CY51" s="62">
        <f ca="1">AVERAGE(OFFSET($CX$3,0,0,'Données projet'!$E$13+1,1))-AVERAGE(OFFSET($H$3,0,0,'Données projet'!$E$13+1,1))</f>
        <v>292.57482726862594</v>
      </c>
      <c r="CZ51" s="62">
        <f t="shared" si="42"/>
        <v>283.48738729114024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2">
        <f t="shared" si="0"/>
        <v>670.08313290501178</v>
      </c>
      <c r="S52" s="62">
        <f ca="1">AVERAGE(OFFSET($R$3,0,0,'Données projet'!$E$9+1,1))-AVERAGE(OFFSET($H$3,0,0,'Données projet'!$E$9+1,1))</f>
        <v>428.8489304403459</v>
      </c>
      <c r="T52" s="62">
        <f t="shared" si="34"/>
        <v>247.01165577562966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2">
        <f t="shared" si="5"/>
        <v>714.4296254574997</v>
      </c>
      <c r="AN52" s="62">
        <f ca="1">AVERAGE(OFFSET($AM$3,0,0,'Données projet'!$E$10+1,1))-AVERAGE(OFFSET($H$3,0,0,'Données projet'!$E$10+1,1))</f>
        <v>475.47920969424894</v>
      </c>
      <c r="AO52" s="62">
        <f t="shared" si="36"/>
        <v>271.73544012419364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232.99999999999983</v>
      </c>
      <c r="BE52" s="14">
        <f>BD52*VLOOKUP('Données projet'!$B$11,Paramètres!$A$1:$I$89,3,0)*VLOOKUP('Données projet'!$B$11,Paramètres!$A$1:$I$89,5,0)</f>
        <v>170.83559999999989</v>
      </c>
      <c r="BF52" s="14">
        <f t="shared" si="37"/>
        <v>43.277116749159646</v>
      </c>
      <c r="BG52" s="22">
        <f t="shared" si="7"/>
        <v>372.91298167145283</v>
      </c>
      <c r="BH52" s="62">
        <f t="shared" si="8"/>
        <v>666.24631500478608</v>
      </c>
      <c r="BI52" s="62">
        <f ca="1">AVERAGE(OFFSET($BH$3,0,0,'Données projet'!$E$11+1,1))-AVERAGE(OFFSET($H$3,0,0,'Données projet'!$E$11+1,1))</f>
        <v>290.85271051443431</v>
      </c>
      <c r="BJ52" s="62">
        <f t="shared" si="38"/>
        <v>318.66958823451142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3.8</v>
      </c>
      <c r="BY52" s="13">
        <f>IF('Données projet'!$A$114&gt;35,BY51+BX52-CG51,IF(A52&lt;'Données projet'!$A$114,$BV$205^A52,IF(A52='Données projet'!$A$114,'Données projet'!$B$114,BY51+BX52-CG51)))</f>
        <v>91.199999999999974</v>
      </c>
      <c r="BZ52" s="14">
        <f>BY52*VLOOKUP('Données projet'!$B$12,Paramètres!$A$1:$I$89,3,0)*VLOOKUP('Données projet'!$B$12,Paramètres!$A$1:$I$89,5,0)</f>
        <v>88.208639999999974</v>
      </c>
      <c r="CA52" s="14">
        <f t="shared" si="39"/>
        <v>24.132687878829255</v>
      </c>
      <c r="CB52" s="22">
        <f t="shared" si="10"/>
        <v>195.66114605562757</v>
      </c>
      <c r="CC52" s="62">
        <f t="shared" si="11"/>
        <v>488.99447938896088</v>
      </c>
      <c r="CD52" s="62">
        <f ca="1">AVERAGE(OFFSET($CC$3,0,0,'Données projet'!$E$12+1,1))-AVERAGE(OFFSET($H$3,0,0,'Données projet'!$E$12+1,1))</f>
        <v>255.59755832175625</v>
      </c>
      <c r="CE52" s="62">
        <f t="shared" si="40"/>
        <v>154.0840647586964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2">
        <f t="shared" si="14"/>
        <v>699.22611533947588</v>
      </c>
      <c r="CY52" s="62">
        <f ca="1">AVERAGE(OFFSET($CX$3,0,0,'Données projet'!$E$13+1,1))-AVERAGE(OFFSET($H$3,0,0,'Données projet'!$E$13+1,1))</f>
        <v>292.57482726862594</v>
      </c>
      <c r="CZ52" s="62">
        <f t="shared" si="42"/>
        <v>283.48738729114024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2">
        <f t="shared" si="0"/>
        <v>685.88700323711032</v>
      </c>
      <c r="S53" s="62">
        <f ca="1">AVERAGE(OFFSET($R$3,0,0,'Données projet'!$E$9+1,1))-AVERAGE(OFFSET($H$3,0,0,'Données projet'!$E$9+1,1))</f>
        <v>428.8489304403459</v>
      </c>
      <c r="T53" s="62">
        <f t="shared" si="34"/>
        <v>247.01165577562966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2">
        <f t="shared" si="5"/>
        <v>732.09830739641802</v>
      </c>
      <c r="AN53" s="62">
        <f ca="1">AVERAGE(OFFSET($AM$3,0,0,'Données projet'!$E$10+1,1))-AVERAGE(OFFSET($H$3,0,0,'Données projet'!$E$10+1,1))</f>
        <v>475.47920969424894</v>
      </c>
      <c r="AO53" s="62">
        <f t="shared" si="36"/>
        <v>271.73544012419364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239.99999999999983</v>
      </c>
      <c r="BE53" s="14">
        <f>BD53*VLOOKUP('Données projet'!$B$11,Paramètres!$A$1:$I$89,3,0)*VLOOKUP('Données projet'!$B$11,Paramètres!$A$1:$I$89,5,0)</f>
        <v>175.96799999999988</v>
      </c>
      <c r="BF53" s="14">
        <f t="shared" si="37"/>
        <v>44.423961125650585</v>
      </c>
      <c r="BG53" s="22">
        <f t="shared" si="7"/>
        <v>383.8493322938412</v>
      </c>
      <c r="BH53" s="62">
        <f t="shared" si="8"/>
        <v>677.18266562717452</v>
      </c>
      <c r="BI53" s="62">
        <f ca="1">AVERAGE(OFFSET($BH$3,0,0,'Données projet'!$E$11+1,1))-AVERAGE(OFFSET($H$3,0,0,'Données projet'!$E$11+1,1))</f>
        <v>290.85271051443431</v>
      </c>
      <c r="BJ53" s="62">
        <f t="shared" si="38"/>
        <v>318.66958823451142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95</v>
      </c>
      <c r="BW53" s="13">
        <f>VLOOKUP(A53,'Données projet'!$A$113:$I$133,9,0)</f>
        <v>3.8</v>
      </c>
      <c r="BX53" s="13">
        <f t="array" ref="BX53">INDEX(BW:BW,MIN(IF(ISNUMBER(BW53:BW249),ROW(BW53:BW249),"")))</f>
        <v>3.8</v>
      </c>
      <c r="BY53" s="13">
        <f>IF('Données projet'!$A$114&gt;35,BY52+BX53-CG52,IF(A53&lt;'Données projet'!$A$114,$BV$205^A53,IF(A53='Données projet'!$A$114,'Données projet'!$B$114,BY52+BX53-CG52)))</f>
        <v>94.999999999999972</v>
      </c>
      <c r="BZ53" s="14">
        <f>BY53*VLOOKUP('Données projet'!$B$12,Paramètres!$A$1:$I$89,3,0)*VLOOKUP('Données projet'!$B$12,Paramètres!$A$1:$I$89,5,0)</f>
        <v>91.883999999999972</v>
      </c>
      <c r="CA53" s="14">
        <f t="shared" si="39"/>
        <v>25.019051117801563</v>
      </c>
      <c r="CB53" s="22">
        <f t="shared" si="10"/>
        <v>203.60614736350433</v>
      </c>
      <c r="CC53" s="62">
        <f t="shared" si="11"/>
        <v>496.93948069683768</v>
      </c>
      <c r="CD53" s="62">
        <f ca="1">AVERAGE(OFFSET($CC$3,0,0,'Données projet'!$E$12+1,1))-AVERAGE(OFFSET($H$3,0,0,'Données projet'!$E$12+1,1))</f>
        <v>255.59755832175625</v>
      </c>
      <c r="CE53" s="62">
        <f t="shared" si="40"/>
        <v>154.0840647586964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2">
        <f t="shared" si="14"/>
        <v>716.43596015612616</v>
      </c>
      <c r="CY53" s="62">
        <f ca="1">AVERAGE(OFFSET($CX$3,0,0,'Données projet'!$E$13+1,1))-AVERAGE(OFFSET($H$3,0,0,'Données projet'!$E$13+1,1))</f>
        <v>292.57482726862594</v>
      </c>
      <c r="CZ53" s="62">
        <f t="shared" si="42"/>
        <v>283.48738729114024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428.8489304403459</v>
      </c>
      <c r="T54" s="62">
        <f t="shared" si="34"/>
        <v>247.01165577562966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475.47920969424894</v>
      </c>
      <c r="AO54" s="62">
        <f t="shared" si="36"/>
        <v>271.73544012419364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6.4</v>
      </c>
      <c r="BD54" s="13">
        <f>IF('Données projet'!$A$88&gt;35,BD53+BC54-BL53,IF(A54&lt;'Données projet'!$A$88,$BA$205^A54,IF(A54='Données projet'!$A$88,'Données projet'!$B$88,BD53+BC54-BL53)))</f>
        <v>207.39999999999984</v>
      </c>
      <c r="BE54" s="14">
        <f>BD54*VLOOKUP('Données projet'!$B$11,Paramètres!$A$1:$I$89,3,0)*VLOOKUP('Données projet'!$B$11,Paramètres!$A$1:$I$89,5,0)</f>
        <v>152.06567999999987</v>
      </c>
      <c r="BF54" s="14">
        <f t="shared" si="37"/>
        <v>39.047644484359502</v>
      </c>
      <c r="BG54" s="22">
        <f t="shared" si="7"/>
        <v>332.85570681025916</v>
      </c>
      <c r="BH54" s="62">
        <f t="shared" si="8"/>
        <v>626.18904014359248</v>
      </c>
      <c r="BI54" s="62">
        <f ca="1">AVERAGE(OFFSET($BH$3,0,0,'Données projet'!$E$11+1,1))-AVERAGE(OFFSET($H$3,0,0,'Données projet'!$E$11+1,1))</f>
        <v>290.85271051443431</v>
      </c>
      <c r="BJ54" s="62">
        <f t="shared" si="38"/>
        <v>318.66958823451142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</v>
      </c>
      <c r="BY54" s="13">
        <f>IF('Données projet'!$A$114&gt;35,BY53+BX54-CG53,IF(A54&lt;'Données projet'!$A$114,$BV$205^A54,IF(A54='Données projet'!$A$114,'Données projet'!$B$114,BY53+BX54-CG53)))</f>
        <v>98.999999999999972</v>
      </c>
      <c r="BZ54" s="14">
        <f>BY54*VLOOKUP('Données projet'!$B$12,Paramètres!$A$1:$I$89,3,0)*VLOOKUP('Données projet'!$B$12,Paramètres!$A$1:$I$89,5,0)</f>
        <v>95.752799999999979</v>
      </c>
      <c r="CA54" s="14">
        <f t="shared" si="39"/>
        <v>25.94761914276048</v>
      </c>
      <c r="CB54" s="22">
        <f t="shared" si="10"/>
        <v>211.96156334030783</v>
      </c>
      <c r="CC54" s="62">
        <f t="shared" si="11"/>
        <v>505.29489667364112</v>
      </c>
      <c r="CD54" s="62">
        <f ca="1">AVERAGE(OFFSET($CC$3,0,0,'Données projet'!$E$12+1,1))-AVERAGE(OFFSET($H$3,0,0,'Données projet'!$E$12+1,1))</f>
        <v>255.59755832175625</v>
      </c>
      <c r="CE54" s="62">
        <f t="shared" si="40"/>
        <v>154.0840647586964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2">
        <f t="shared" si="14"/>
        <v>733.63074231750591</v>
      </c>
      <c r="CY54" s="62">
        <f ca="1">AVERAGE(OFFSET($CX$3,0,0,'Données projet'!$E$13+1,1))-AVERAGE(OFFSET($H$3,0,0,'Données projet'!$E$13+1,1))</f>
        <v>292.57482726862594</v>
      </c>
      <c r="CZ54" s="62">
        <f t="shared" si="42"/>
        <v>283.48738729114024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428.8489304403459</v>
      </c>
      <c r="T55" s="62">
        <f t="shared" si="34"/>
        <v>247.01165577562966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475.47920969424894</v>
      </c>
      <c r="AO55" s="62">
        <f t="shared" si="36"/>
        <v>271.73544012419364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6.4</v>
      </c>
      <c r="BD55" s="13">
        <f>IF('Données projet'!$A$88&gt;35,BD54+BC55-BL54,IF(A55&lt;'Données projet'!$A$88,$BA$205^A55,IF(A55='Données projet'!$A$88,'Données projet'!$B$88,BD54+BC55-BL54)))</f>
        <v>213.79999999999984</v>
      </c>
      <c r="BE55" s="14">
        <f>BD55*VLOOKUP('Données projet'!$B$11,Paramètres!$A$1:$I$89,3,0)*VLOOKUP('Données projet'!$B$11,Paramètres!$A$1:$I$89,5,0)</f>
        <v>156.75815999999989</v>
      </c>
      <c r="BF55" s="14">
        <f t="shared" si="37"/>
        <v>40.110440521385584</v>
      </c>
      <c r="BG55" s="22">
        <f t="shared" si="7"/>
        <v>342.87947924141304</v>
      </c>
      <c r="BH55" s="62">
        <f t="shared" si="8"/>
        <v>636.21281257474629</v>
      </c>
      <c r="BI55" s="62">
        <f ca="1">AVERAGE(OFFSET($BH$3,0,0,'Données projet'!$E$11+1,1))-AVERAGE(OFFSET($H$3,0,0,'Données projet'!$E$11+1,1))</f>
        <v>290.85271051443431</v>
      </c>
      <c r="BJ55" s="62">
        <f t="shared" si="38"/>
        <v>318.66958823451142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</v>
      </c>
      <c r="BY55" s="13">
        <f>IF('Données projet'!$A$114&gt;35,BY54+BX55-CG54,IF(A55&lt;'Données projet'!$A$114,$BV$205^A55,IF(A55='Données projet'!$A$114,'Données projet'!$B$114,BY54+BX55-CG54)))</f>
        <v>102.99999999999997</v>
      </c>
      <c r="BZ55" s="14">
        <f>BY55*VLOOKUP('Données projet'!$B$12,Paramètres!$A$1:$I$89,3,0)*VLOOKUP('Données projet'!$B$12,Paramètres!$A$1:$I$89,5,0)</f>
        <v>99.621599999999987</v>
      </c>
      <c r="CA55" s="14">
        <f t="shared" si="39"/>
        <v>26.871829085032747</v>
      </c>
      <c r="CB55" s="22">
        <f t="shared" si="10"/>
        <v>220.30938898976532</v>
      </c>
      <c r="CC55" s="62">
        <f t="shared" si="11"/>
        <v>513.64272232309861</v>
      </c>
      <c r="CD55" s="62">
        <f ca="1">AVERAGE(OFFSET($CC$3,0,0,'Données projet'!$E$12+1,1))-AVERAGE(OFFSET($H$3,0,0,'Données projet'!$E$12+1,1))</f>
        <v>255.59755832175625</v>
      </c>
      <c r="CE55" s="62">
        <f t="shared" si="40"/>
        <v>154.0840647586964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2">
        <f t="shared" si="14"/>
        <v>750.81113261719929</v>
      </c>
      <c r="CY55" s="62">
        <f ca="1">AVERAGE(OFFSET($CX$3,0,0,'Données projet'!$E$13+1,1))-AVERAGE(OFFSET($H$3,0,0,'Données projet'!$E$13+1,1))</f>
        <v>292.57482726862594</v>
      </c>
      <c r="CZ55" s="62">
        <f t="shared" si="42"/>
        <v>283.48738729114024</v>
      </c>
      <c r="DA55" s="16">
        <f>IF(ISNA(VLOOKUP(A55,'Données projet'!$A$139:$I$159,3,0)),0,VLOOKUP(A55,'Données projet'!$A$139:$I$159,3,0))</f>
        <v>5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428.8489304403459</v>
      </c>
      <c r="T56" s="62">
        <f t="shared" si="34"/>
        <v>247.01165577562966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475.47920969424894</v>
      </c>
      <c r="AO56" s="62">
        <f t="shared" si="36"/>
        <v>271.73544012419364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6.4</v>
      </c>
      <c r="BD56" s="13">
        <f>IF('Données projet'!$A$88&gt;35,BD55+BC56-BL55,IF(A56&lt;'Données projet'!$A$88,$BA$205^A56,IF(A56='Données projet'!$A$88,'Données projet'!$B$88,BD55+BC56-BL55)))</f>
        <v>220.19999999999985</v>
      </c>
      <c r="BE56" s="14">
        <f>BD56*VLOOKUP('Données projet'!$B$11,Paramètres!$A$1:$I$89,3,0)*VLOOKUP('Données projet'!$B$11,Paramètres!$A$1:$I$89,5,0)</f>
        <v>161.45063999999991</v>
      </c>
      <c r="BF56" s="14">
        <f t="shared" si="37"/>
        <v>41.169539236094941</v>
      </c>
      <c r="BG56" s="22">
        <f t="shared" si="7"/>
        <v>352.89681216953187</v>
      </c>
      <c r="BH56" s="62">
        <f t="shared" si="8"/>
        <v>646.23014550286518</v>
      </c>
      <c r="BI56" s="62">
        <f ca="1">AVERAGE(OFFSET($BH$3,0,0,'Données projet'!$E$11+1,1))-AVERAGE(OFFSET($H$3,0,0,'Données projet'!$E$11+1,1))</f>
        <v>290.85271051443431</v>
      </c>
      <c r="BJ56" s="62">
        <f t="shared" si="38"/>
        <v>318.66958823451142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</v>
      </c>
      <c r="BY56" s="13">
        <f>IF('Données projet'!$A$114&gt;35,BY55+BX56-CG55,IF(A56&lt;'Données projet'!$A$114,$BV$205^A56,IF(A56='Données projet'!$A$114,'Données projet'!$B$114,BY55+BX56-CG55)))</f>
        <v>106.99999999999997</v>
      </c>
      <c r="BZ56" s="14">
        <f>BY56*VLOOKUP('Données projet'!$B$12,Paramètres!$A$1:$I$89,3,0)*VLOOKUP('Données projet'!$B$12,Paramètres!$A$1:$I$89,5,0)</f>
        <v>103.49039999999997</v>
      </c>
      <c r="CA56" s="14">
        <f t="shared" si="39"/>
        <v>27.791869560921153</v>
      </c>
      <c r="CB56" s="22">
        <f t="shared" si="10"/>
        <v>228.64995281860425</v>
      </c>
      <c r="CC56" s="62">
        <f t="shared" si="11"/>
        <v>521.98328615193759</v>
      </c>
      <c r="CD56" s="62">
        <f ca="1">AVERAGE(OFFSET($CC$3,0,0,'Données projet'!$E$12+1,1))-AVERAGE(OFFSET($H$3,0,0,'Données projet'!$E$12+1,1))</f>
        <v>255.59755832175625</v>
      </c>
      <c r="CE56" s="62">
        <f t="shared" si="40"/>
        <v>154.0840647586964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2">
        <f t="shared" si="14"/>
        <v>686.77547222807584</v>
      </c>
      <c r="CY56" s="62">
        <f ca="1">AVERAGE(OFFSET($CX$3,0,0,'Données projet'!$E$13+1,1))-AVERAGE(OFFSET($H$3,0,0,'Données projet'!$E$13+1,1))</f>
        <v>292.57482726862594</v>
      </c>
      <c r="CZ56" s="62">
        <f t="shared" si="42"/>
        <v>283.48738729114024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428.8489304403459</v>
      </c>
      <c r="T57" s="62">
        <f t="shared" si="34"/>
        <v>247.01165577562966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475.47920969424894</v>
      </c>
      <c r="AO57" s="62">
        <f t="shared" si="36"/>
        <v>271.73544012419364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6.4</v>
      </c>
      <c r="BD57" s="13">
        <f>IF('Données projet'!$A$88&gt;35,BD56+BC57-BL56,IF(A57&lt;'Données projet'!$A$88,$BA$205^A57,IF(A57='Données projet'!$A$88,'Données projet'!$B$88,BD56+BC57-BL56)))</f>
        <v>226.59999999999985</v>
      </c>
      <c r="BE57" s="14">
        <f>BD57*VLOOKUP('Données projet'!$B$11,Paramètres!$A$1:$I$89,3,0)*VLOOKUP('Données projet'!$B$11,Paramètres!$A$1:$I$89,5,0)</f>
        <v>166.1431199999999</v>
      </c>
      <c r="BF57" s="14">
        <f t="shared" si="37"/>
        <v>42.225060429180445</v>
      </c>
      <c r="BG57" s="22">
        <f t="shared" si="7"/>
        <v>362.90791424748909</v>
      </c>
      <c r="BH57" s="62">
        <f t="shared" si="8"/>
        <v>656.24124758082235</v>
      </c>
      <c r="BI57" s="62">
        <f ca="1">AVERAGE(OFFSET($BH$3,0,0,'Données projet'!$E$11+1,1))-AVERAGE(OFFSET($H$3,0,0,'Données projet'!$E$11+1,1))</f>
        <v>290.85271051443431</v>
      </c>
      <c r="BJ57" s="62">
        <f t="shared" si="38"/>
        <v>318.66958823451142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</v>
      </c>
      <c r="BY57" s="13">
        <f>IF('Données projet'!$A$114&gt;35,BY56+BX57-CG56,IF(A57&lt;'Données projet'!$A$114,$BV$205^A57,IF(A57='Données projet'!$A$114,'Données projet'!$B$114,BY56+BX57-CG56)))</f>
        <v>110.99999999999997</v>
      </c>
      <c r="BZ57" s="14">
        <f>BY57*VLOOKUP('Données projet'!$B$12,Paramètres!$A$1:$I$89,3,0)*VLOOKUP('Données projet'!$B$12,Paramètres!$A$1:$I$89,5,0)</f>
        <v>107.35919999999997</v>
      </c>
      <c r="CA57" s="14">
        <f t="shared" si="39"/>
        <v>28.707914285651373</v>
      </c>
      <c r="CB57" s="22">
        <f t="shared" si="10"/>
        <v>236.98355738084277</v>
      </c>
      <c r="CC57" s="62">
        <f t="shared" si="11"/>
        <v>530.31689071417611</v>
      </c>
      <c r="CD57" s="62">
        <f ca="1">AVERAGE(OFFSET($CC$3,0,0,'Données projet'!$E$12+1,1))-AVERAGE(OFFSET($H$3,0,0,'Données projet'!$E$12+1,1))</f>
        <v>255.59755832175625</v>
      </c>
      <c r="CE57" s="62">
        <f t="shared" si="40"/>
        <v>154.0840647586964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2">
        <f t="shared" si="14"/>
        <v>702.33747537368492</v>
      </c>
      <c r="CY57" s="62">
        <f ca="1">AVERAGE(OFFSET($CX$3,0,0,'Données projet'!$E$13+1,1))-AVERAGE(OFFSET($H$3,0,0,'Données projet'!$E$13+1,1))</f>
        <v>292.57482726862594</v>
      </c>
      <c r="CZ57" s="62">
        <f t="shared" si="42"/>
        <v>283.48738729114024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428.8489304403459</v>
      </c>
      <c r="T58" s="62">
        <f t="shared" si="34"/>
        <v>247.01165577562966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475.47920969424894</v>
      </c>
      <c r="AO58" s="62">
        <f t="shared" si="36"/>
        <v>271.73544012419364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233</v>
      </c>
      <c r="BB58" s="13">
        <f>VLOOKUP(A58,'Données projet'!$A$87:$I$107,9,0)</f>
        <v>6.4</v>
      </c>
      <c r="BC58" s="13">
        <f t="array" ref="BC58">INDEX(BB:BB,MIN(IF(ISNUMBER(BB58:BB254),ROW(BB58:BB254),"")))</f>
        <v>6.4</v>
      </c>
      <c r="BD58" s="13">
        <f>IF('Données projet'!$A$88&gt;35,BD57+BC58-BL57,IF(A58&lt;'Données projet'!$A$88,$BA$205^A58,IF(A58='Données projet'!$A$88,'Données projet'!$B$88,BD57+BC58-BL57)))</f>
        <v>232.99999999999986</v>
      </c>
      <c r="BE58" s="14">
        <f>BD58*VLOOKUP('Données projet'!$B$11,Paramètres!$A$1:$I$89,3,0)*VLOOKUP('Données projet'!$B$11,Paramètres!$A$1:$I$89,5,0)</f>
        <v>170.83559999999991</v>
      </c>
      <c r="BF58" s="14">
        <f t="shared" si="37"/>
        <v>43.277116749159646</v>
      </c>
      <c r="BG58" s="22">
        <f t="shared" si="7"/>
        <v>372.91298167145288</v>
      </c>
      <c r="BH58" s="62">
        <f t="shared" si="8"/>
        <v>666.2463150047862</v>
      </c>
      <c r="BI58" s="62">
        <f ca="1">AVERAGE(OFFSET($BH$3,0,0,'Données projet'!$E$11+1,1))-AVERAGE(OFFSET($H$3,0,0,'Données projet'!$E$11+1,1))</f>
        <v>290.85271051443431</v>
      </c>
      <c r="BJ58" s="62">
        <f t="shared" si="38"/>
        <v>318.66958823451142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115</v>
      </c>
      <c r="BW58" s="13">
        <f>VLOOKUP(A58,'Données projet'!$A$113:$I$133,9,0)</f>
        <v>4</v>
      </c>
      <c r="BX58" s="13">
        <f t="array" ref="BX58">INDEX(BW:BW,MIN(IF(ISNUMBER(BW58:BW254),ROW(BW58:BW254),"")))</f>
        <v>4</v>
      </c>
      <c r="BY58" s="13">
        <f>IF('Données projet'!$A$114&gt;35,BY57+BX58-CG57,IF(A58&lt;'Données projet'!$A$114,$BV$205^A58,IF(A58='Données projet'!$A$114,'Données projet'!$B$114,BY57+BX58-CG57)))</f>
        <v>114.99999999999997</v>
      </c>
      <c r="BZ58" s="14">
        <f>BY58*VLOOKUP('Données projet'!$B$12,Paramètres!$A$1:$I$89,3,0)*VLOOKUP('Données projet'!$B$12,Paramètres!$A$1:$I$89,5,0)</f>
        <v>111.22799999999998</v>
      </c>
      <c r="CA58" s="14">
        <f t="shared" si="39"/>
        <v>29.620123744783804</v>
      </c>
      <c r="CB58" s="22">
        <f t="shared" si="10"/>
        <v>245.31048218883168</v>
      </c>
      <c r="CC58" s="62">
        <f t="shared" si="11"/>
        <v>538.64381552216503</v>
      </c>
      <c r="CD58" s="62">
        <f ca="1">AVERAGE(OFFSET($CC$3,0,0,'Données projet'!$E$12+1,1))-AVERAGE(OFFSET($H$3,0,0,'Données projet'!$E$12+1,1))</f>
        <v>255.59755832175625</v>
      </c>
      <c r="CE58" s="62">
        <f t="shared" si="40"/>
        <v>154.0840647586964</v>
      </c>
      <c r="CF58" s="16">
        <f>IF(ISNA(VLOOKUP(A58,'Données projet'!$A$113:$I$133,3,0)),0,VLOOKUP(A58,'Données projet'!$A$113:$I$133,3,0))</f>
        <v>3</v>
      </c>
      <c r="CG58" s="16">
        <f>IF(ISNA(VLOOKUP(A58,'Données projet'!$A$113:$I$133,4,0)),0,VLOOKUP(A58,'Données projet'!$A$113:$I$133,4,0))</f>
        <v>19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2">
        <f t="shared" si="14"/>
        <v>717.88669435757902</v>
      </c>
      <c r="CY58" s="62">
        <f ca="1">AVERAGE(OFFSET($CX$3,0,0,'Données projet'!$E$13+1,1))-AVERAGE(OFFSET($H$3,0,0,'Données projet'!$E$13+1,1))</f>
        <v>292.57482726862594</v>
      </c>
      <c r="CZ58" s="62">
        <f t="shared" si="42"/>
        <v>283.48738729114024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2">
        <f t="shared" si="0"/>
        <v>696.67192586439194</v>
      </c>
      <c r="S59" s="62">
        <f ca="1">AVERAGE(OFFSET($R$3,0,0,'Données projet'!$E$9+1,1))-AVERAGE(OFFSET($H$3,0,0,'Données projet'!$E$9+1,1))</f>
        <v>428.8489304403459</v>
      </c>
      <c r="T59" s="62">
        <f t="shared" si="34"/>
        <v>247.01165577562966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2">
        <f t="shared" si="5"/>
        <v>744.15591627769948</v>
      </c>
      <c r="AN59" s="62">
        <f ca="1">AVERAGE(OFFSET($AM$3,0,0,'Données projet'!$E$10+1,1))-AVERAGE(OFFSET($H$3,0,0,'Données projet'!$E$10+1,1))</f>
        <v>475.47920969424894</v>
      </c>
      <c r="AO59" s="62">
        <f t="shared" si="36"/>
        <v>271.73544012419364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</v>
      </c>
      <c r="BD59" s="13">
        <f>IF('Données projet'!$A$88&gt;35,BD58+BC59-BL58,IF(A59&lt;'Données projet'!$A$88,$BA$205^A59,IF(A59='Données projet'!$A$88,'Données projet'!$B$88,BD58+BC59-BL58)))</f>
        <v>237.99999999999986</v>
      </c>
      <c r="BE59" s="14">
        <f>BD59*VLOOKUP('Données projet'!$B$11,Paramètres!$A$1:$I$89,3,0)*VLOOKUP('Données projet'!$B$11,Paramètres!$A$1:$I$89,5,0)</f>
        <v>174.50159999999988</v>
      </c>
      <c r="BF59" s="14">
        <f t="shared" si="37"/>
        <v>44.096693550140635</v>
      </c>
      <c r="BG59" s="22">
        <f t="shared" si="7"/>
        <v>380.7253612664947</v>
      </c>
      <c r="BH59" s="62">
        <f t="shared" si="8"/>
        <v>674.05869459982796</v>
      </c>
      <c r="BI59" s="62">
        <f ca="1">AVERAGE(OFFSET($BH$3,0,0,'Données projet'!$E$11+1,1))-AVERAGE(OFFSET($H$3,0,0,'Données projet'!$E$11+1,1))</f>
        <v>290.85271051443431</v>
      </c>
      <c r="BJ59" s="62">
        <f t="shared" si="38"/>
        <v>318.66958823451142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3.8</v>
      </c>
      <c r="BY59" s="13">
        <f>IF('Données projet'!$A$114&gt;35,BY58+BX59-CG58,IF(A59&lt;'Données projet'!$A$114,$BV$205^A59,IF(A59='Données projet'!$A$114,'Données projet'!$B$114,BY58+BX59-CG58)))</f>
        <v>99.799999999999969</v>
      </c>
      <c r="BZ59" s="14">
        <f>BY59*VLOOKUP('Données projet'!$B$12,Paramètres!$A$1:$I$89,3,0)*VLOOKUP('Données projet'!$B$12,Paramètres!$A$1:$I$89,5,0)</f>
        <v>96.526559999999975</v>
      </c>
      <c r="CA59" s="14">
        <f t="shared" si="39"/>
        <v>26.132803512664371</v>
      </c>
      <c r="CB59" s="22">
        <f t="shared" si="10"/>
        <v>213.63172478455704</v>
      </c>
      <c r="CC59" s="62">
        <f t="shared" si="11"/>
        <v>506.96505811789035</v>
      </c>
      <c r="CD59" s="62">
        <f ca="1">AVERAGE(OFFSET($CC$3,0,0,'Données projet'!$E$12+1,1))-AVERAGE(OFFSET($H$3,0,0,'Données projet'!$E$12+1,1))</f>
        <v>255.59755832175625</v>
      </c>
      <c r="CE59" s="62">
        <f t="shared" si="40"/>
        <v>154.0840647586964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2">
        <f t="shared" si="14"/>
        <v>733.42366321047757</v>
      </c>
      <c r="CY59" s="62">
        <f ca="1">AVERAGE(OFFSET($CX$3,0,0,'Données projet'!$E$13+1,1))-AVERAGE(OFFSET($H$3,0,0,'Données projet'!$E$13+1,1))</f>
        <v>292.57482726862594</v>
      </c>
      <c r="CZ59" s="62">
        <f t="shared" si="42"/>
        <v>283.48738729114024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2">
        <f t="shared" si="0"/>
        <v>711.29866832489597</v>
      </c>
      <c r="S60" s="62">
        <f ca="1">AVERAGE(OFFSET($R$3,0,0,'Données projet'!$E$9+1,1))-AVERAGE(OFFSET($H$3,0,0,'Données projet'!$E$9+1,1))</f>
        <v>428.8489304403459</v>
      </c>
      <c r="T60" s="62">
        <f t="shared" si="34"/>
        <v>247.01165577562966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2">
        <f t="shared" si="5"/>
        <v>760.50882309863516</v>
      </c>
      <c r="AN60" s="62">
        <f ca="1">AVERAGE(OFFSET($AM$3,0,0,'Données projet'!$E$10+1,1))-AVERAGE(OFFSET($H$3,0,0,'Données projet'!$E$10+1,1))</f>
        <v>475.47920969424894</v>
      </c>
      <c r="AO60" s="62">
        <f t="shared" si="36"/>
        <v>271.73544012419364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</v>
      </c>
      <c r="BD60" s="13">
        <f>IF('Données projet'!$A$88&gt;35,BD59+BC60-BL59,IF(A60&lt;'Données projet'!$A$88,$BA$205^A60,IF(A60='Données projet'!$A$88,'Données projet'!$B$88,BD59+BC60-BL59)))</f>
        <v>242.99999999999986</v>
      </c>
      <c r="BE60" s="14">
        <f>BD60*VLOOKUP('Données projet'!$B$11,Paramètres!$A$1:$I$89,3,0)*VLOOKUP('Données projet'!$B$11,Paramètres!$A$1:$I$89,5,0)</f>
        <v>178.16759999999988</v>
      </c>
      <c r="BF60" s="14">
        <f t="shared" si="37"/>
        <v>44.91426846875347</v>
      </c>
      <c r="BG60" s="22">
        <f t="shared" si="7"/>
        <v>388.5342542497454</v>
      </c>
      <c r="BH60" s="62">
        <f t="shared" si="8"/>
        <v>681.86758758307872</v>
      </c>
      <c r="BI60" s="62">
        <f ca="1">AVERAGE(OFFSET($BH$3,0,0,'Données projet'!$E$11+1,1))-AVERAGE(OFFSET($H$3,0,0,'Données projet'!$E$11+1,1))</f>
        <v>290.85271051443431</v>
      </c>
      <c r="BJ60" s="62">
        <f t="shared" si="38"/>
        <v>318.66958823451142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3.8</v>
      </c>
      <c r="BY60" s="13">
        <f>IF('Données projet'!$A$114&gt;35,BY59+BX60-CG59,IF(A60&lt;'Données projet'!$A$114,$BV$205^A60,IF(A60='Données projet'!$A$114,'Données projet'!$B$114,BY59+BX60-CG59)))</f>
        <v>103.59999999999997</v>
      </c>
      <c r="BZ60" s="14">
        <f>BY60*VLOOKUP('Données projet'!$B$12,Paramètres!$A$1:$I$89,3,0)*VLOOKUP('Données projet'!$B$12,Paramètres!$A$1:$I$89,5,0)</f>
        <v>100.20191999999999</v>
      </c>
      <c r="CA60" s="14">
        <f t="shared" si="39"/>
        <v>27.010096555049586</v>
      </c>
      <c r="CB60" s="22">
        <f t="shared" si="10"/>
        <v>221.56092883337803</v>
      </c>
      <c r="CC60" s="62">
        <f t="shared" si="11"/>
        <v>514.89426216671131</v>
      </c>
      <c r="CD60" s="62">
        <f ca="1">AVERAGE(OFFSET($CC$3,0,0,'Données projet'!$E$12+1,1))-AVERAGE(OFFSET($H$3,0,0,'Données projet'!$E$12+1,1))</f>
        <v>255.59755832175625</v>
      </c>
      <c r="CE60" s="62">
        <f t="shared" si="40"/>
        <v>154.0840647586964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2">
        <f t="shared" si="14"/>
        <v>748.94887519004146</v>
      </c>
      <c r="CY60" s="62">
        <f ca="1">AVERAGE(OFFSET($CX$3,0,0,'Données projet'!$E$13+1,1))-AVERAGE(OFFSET($H$3,0,0,'Données projet'!$E$13+1,1))</f>
        <v>292.57482726862594</v>
      </c>
      <c r="CZ60" s="62">
        <f t="shared" si="42"/>
        <v>283.48738729114024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2">
        <f t="shared" si="0"/>
        <v>725.91438285442098</v>
      </c>
      <c r="S61" s="62">
        <f ca="1">AVERAGE(OFFSET($R$3,0,0,'Données projet'!$E$9+1,1))-AVERAGE(OFFSET($H$3,0,0,'Données projet'!$E$9+1,1))</f>
        <v>428.8489304403459</v>
      </c>
      <c r="T61" s="62">
        <f t="shared" si="34"/>
        <v>247.01165577562966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2">
        <f t="shared" si="5"/>
        <v>776.84953386648317</v>
      </c>
      <c r="AN61" s="62">
        <f ca="1">AVERAGE(OFFSET($AM$3,0,0,'Données projet'!$E$10+1,1))-AVERAGE(OFFSET($H$3,0,0,'Données projet'!$E$10+1,1))</f>
        <v>475.47920969424894</v>
      </c>
      <c r="AO61" s="62">
        <f t="shared" si="36"/>
        <v>271.73544012419364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</v>
      </c>
      <c r="BD61" s="13">
        <f>IF('Données projet'!$A$88&gt;35,BD60+BC61-BL60,IF(A61&lt;'Données projet'!$A$88,$BA$205^A61,IF(A61='Données projet'!$A$88,'Données projet'!$B$88,BD60+BC61-BL60)))</f>
        <v>247.99999999999986</v>
      </c>
      <c r="BE61" s="14">
        <f>BD61*VLOOKUP('Données projet'!$B$11,Paramètres!$A$1:$I$89,3,0)*VLOOKUP('Données projet'!$B$11,Paramètres!$A$1:$I$89,5,0)</f>
        <v>181.8335999999999</v>
      </c>
      <c r="BF61" s="14">
        <f t="shared" si="37"/>
        <v>45.729887442143784</v>
      </c>
      <c r="BG61" s="22">
        <f t="shared" si="7"/>
        <v>396.33974062840025</v>
      </c>
      <c r="BH61" s="62">
        <f t="shared" si="8"/>
        <v>689.67307396173351</v>
      </c>
      <c r="BI61" s="62">
        <f ca="1">AVERAGE(OFFSET($BH$3,0,0,'Données projet'!$E$11+1,1))-AVERAGE(OFFSET($H$3,0,0,'Données projet'!$E$11+1,1))</f>
        <v>290.85271051443431</v>
      </c>
      <c r="BJ61" s="62">
        <f t="shared" si="38"/>
        <v>318.66958823451142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3.8</v>
      </c>
      <c r="BY61" s="13">
        <f>IF('Données projet'!$A$114&gt;35,BY60+BX61-CG60,IF(A61&lt;'Données projet'!$A$114,$BV$205^A61,IF(A61='Données projet'!$A$114,'Données projet'!$B$114,BY60+BX61-CG60)))</f>
        <v>107.39999999999996</v>
      </c>
      <c r="BZ61" s="14">
        <f>BY61*VLOOKUP('Données projet'!$B$12,Paramètres!$A$1:$I$89,3,0)*VLOOKUP('Données projet'!$B$12,Paramètres!$A$1:$I$89,5,0)</f>
        <v>103.87727999999997</v>
      </c>
      <c r="CA61" s="14">
        <f t="shared" si="39"/>
        <v>27.883651095560136</v>
      </c>
      <c r="CB61" s="22">
        <f t="shared" si="10"/>
        <v>229.48362165810047</v>
      </c>
      <c r="CC61" s="62">
        <f t="shared" si="11"/>
        <v>522.81695499143382</v>
      </c>
      <c r="CD61" s="62">
        <f ca="1">AVERAGE(OFFSET($CC$3,0,0,'Données projet'!$E$12+1,1))-AVERAGE(OFFSET($H$3,0,0,'Données projet'!$E$12+1,1))</f>
        <v>255.59755832175625</v>
      </c>
      <c r="CE61" s="62">
        <f t="shared" si="40"/>
        <v>154.0840647586964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2">
        <f t="shared" si="14"/>
        <v>764.46278720601333</v>
      </c>
      <c r="CY61" s="62">
        <f ca="1">AVERAGE(OFFSET($CX$3,0,0,'Données projet'!$E$13+1,1))-AVERAGE(OFFSET($H$3,0,0,'Données projet'!$E$13+1,1))</f>
        <v>292.57482726862594</v>
      </c>
      <c r="CZ61" s="62">
        <f t="shared" si="42"/>
        <v>283.48738729114024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2">
        <f t="shared" si="0"/>
        <v>740.51949446577237</v>
      </c>
      <c r="S62" s="62">
        <f ca="1">AVERAGE(OFFSET($R$3,0,0,'Données projet'!$E$9+1,1))-AVERAGE(OFFSET($H$3,0,0,'Données projet'!$E$9+1,1))</f>
        <v>428.8489304403459</v>
      </c>
      <c r="T62" s="62">
        <f t="shared" si="34"/>
        <v>247.01165577562966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2">
        <f t="shared" si="5"/>
        <v>793.17851861308782</v>
      </c>
      <c r="AN62" s="62">
        <f ca="1">AVERAGE(OFFSET($AM$3,0,0,'Données projet'!$E$10+1,1))-AVERAGE(OFFSET($H$3,0,0,'Données projet'!$E$10+1,1))</f>
        <v>475.47920969424894</v>
      </c>
      <c r="AO62" s="62">
        <f t="shared" si="36"/>
        <v>271.73544012419364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</v>
      </c>
      <c r="BD62" s="13">
        <f>IF('Données projet'!$A$88&gt;35,BD61+BC62-BL61,IF(A62&lt;'Données projet'!$A$88,$BA$205^A62,IF(A62='Données projet'!$A$88,'Données projet'!$B$88,BD61+BC62-BL61)))</f>
        <v>252.99999999999986</v>
      </c>
      <c r="BE62" s="14">
        <f>BD62*VLOOKUP('Données projet'!$B$11,Paramètres!$A$1:$I$89,3,0)*VLOOKUP('Données projet'!$B$11,Paramètres!$A$1:$I$89,5,0)</f>
        <v>185.4995999999999</v>
      </c>
      <c r="BF62" s="14">
        <f t="shared" si="37"/>
        <v>46.543594449249014</v>
      </c>
      <c r="BG62" s="22">
        <f t="shared" si="7"/>
        <v>404.1418969991085</v>
      </c>
      <c r="BH62" s="62">
        <f t="shared" si="8"/>
        <v>697.47523033244181</v>
      </c>
      <c r="BI62" s="62">
        <f ca="1">AVERAGE(OFFSET($BH$3,0,0,'Données projet'!$E$11+1,1))-AVERAGE(OFFSET($H$3,0,0,'Données projet'!$E$11+1,1))</f>
        <v>290.85271051443431</v>
      </c>
      <c r="BJ62" s="62">
        <f t="shared" si="38"/>
        <v>318.66958823451142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3.8</v>
      </c>
      <c r="BY62" s="13">
        <f>IF('Données projet'!$A$114&gt;35,BY61+BX62-CG61,IF(A62&lt;'Données projet'!$A$114,$BV$205^A62,IF(A62='Données projet'!$A$114,'Données projet'!$B$114,BY61+BX62-CG61)))</f>
        <v>111.19999999999996</v>
      </c>
      <c r="BZ62" s="14">
        <f>BY62*VLOOKUP('Données projet'!$B$12,Paramètres!$A$1:$I$89,3,0)*VLOOKUP('Données projet'!$B$12,Paramètres!$A$1:$I$89,5,0)</f>
        <v>107.55263999999997</v>
      </c>
      <c r="CA62" s="14">
        <f t="shared" si="39"/>
        <v>28.753614564587743</v>
      </c>
      <c r="CB62" s="22">
        <f t="shared" si="10"/>
        <v>237.40006003332357</v>
      </c>
      <c r="CC62" s="62">
        <f t="shared" si="11"/>
        <v>530.73339336665686</v>
      </c>
      <c r="CD62" s="62">
        <f ca="1">AVERAGE(OFFSET($CC$3,0,0,'Données projet'!$E$12+1,1))-AVERAGE(OFFSET($H$3,0,0,'Données projet'!$E$12+1,1))</f>
        <v>255.59755832175625</v>
      </c>
      <c r="CE62" s="62">
        <f t="shared" si="40"/>
        <v>154.0840647586964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2">
        <f t="shared" si="14"/>
        <v>779.96582363222683</v>
      </c>
      <c r="CY62" s="62">
        <f ca="1">AVERAGE(OFFSET($CX$3,0,0,'Données projet'!$E$13+1,1))-AVERAGE(OFFSET($H$3,0,0,'Données projet'!$E$13+1,1))</f>
        <v>292.57482726862594</v>
      </c>
      <c r="CZ62" s="62">
        <f t="shared" si="42"/>
        <v>283.48738729114024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2">
        <f t="shared" si="0"/>
        <v>755.11439815081053</v>
      </c>
      <c r="S63" s="62">
        <f ca="1">AVERAGE(OFFSET($R$3,0,0,'Données projet'!$E$9+1,1))-AVERAGE(OFFSET($H$3,0,0,'Données projet'!$E$9+1,1))</f>
        <v>428.8489304403459</v>
      </c>
      <c r="T63" s="62">
        <f t="shared" si="34"/>
        <v>247.01165577562966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2">
        <f t="shared" si="5"/>
        <v>809.49621416941091</v>
      </c>
      <c r="AN63" s="62">
        <f ca="1">AVERAGE(OFFSET($AM$3,0,0,'Données projet'!$E$10+1,1))-AVERAGE(OFFSET($H$3,0,0,'Données projet'!$E$10+1,1))</f>
        <v>475.47920969424894</v>
      </c>
      <c r="AO63" s="62">
        <f t="shared" si="36"/>
        <v>271.73544012419364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</v>
      </c>
      <c r="BB63" s="13">
        <f>VLOOKUP(A63,'Données projet'!$A$87:$I$107,9,0)</f>
        <v>5</v>
      </c>
      <c r="BC63" s="13">
        <f t="array" ref="BC63">INDEX(BB:BB,MIN(IF(ISNUMBER(BB63:BB259),ROW(BB63:BB259),"")))</f>
        <v>5</v>
      </c>
      <c r="BD63" s="13">
        <f>IF('Données projet'!$A$88&gt;35,BD62+BC63-BL62,IF(A63&lt;'Données projet'!$A$88,$BA$205^A63,IF(A63='Données projet'!$A$88,'Données projet'!$B$88,BD62+BC63-BL62)))</f>
        <v>257.99999999999989</v>
      </c>
      <c r="BE63" s="14">
        <f>BD63*VLOOKUP('Données projet'!$B$11,Paramètres!$A$1:$I$89,3,0)*VLOOKUP('Données projet'!$B$11,Paramètres!$A$1:$I$89,5,0)</f>
        <v>189.1655999999999</v>
      </c>
      <c r="BF63" s="14">
        <f t="shared" si="37"/>
        <v>47.355431631295275</v>
      </c>
      <c r="BG63" s="22">
        <f t="shared" si="7"/>
        <v>411.94079675783905</v>
      </c>
      <c r="BH63" s="62">
        <f t="shared" si="8"/>
        <v>705.27413009117231</v>
      </c>
      <c r="BI63" s="62">
        <f ca="1">AVERAGE(OFFSET($BH$3,0,0,'Données projet'!$E$11+1,1))-AVERAGE(OFFSET($H$3,0,0,'Données projet'!$E$11+1,1))</f>
        <v>290.85271051443431</v>
      </c>
      <c r="BJ63" s="62">
        <f t="shared" si="38"/>
        <v>318.66958823451142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115</v>
      </c>
      <c r="BW63" s="13">
        <f>VLOOKUP(A63,'Données projet'!$A$113:$I$133,9,0)</f>
        <v>3.8</v>
      </c>
      <c r="BX63" s="13">
        <f t="array" ref="BX63">INDEX(BW:BW,MIN(IF(ISNUMBER(BW63:BW259),ROW(BW63:BW259),"")))</f>
        <v>3.8</v>
      </c>
      <c r="BY63" s="13">
        <f>IF('Données projet'!$A$114&gt;35,BY62+BX63-CG62,IF(A63&lt;'Données projet'!$A$114,$BV$205^A63,IF(A63='Données projet'!$A$114,'Données projet'!$B$114,BY62+BX63-CG62)))</f>
        <v>114.99999999999996</v>
      </c>
      <c r="BZ63" s="14">
        <f>BY63*VLOOKUP('Données projet'!$B$12,Paramètres!$A$1:$I$89,3,0)*VLOOKUP('Données projet'!$B$12,Paramètres!$A$1:$I$89,5,0)</f>
        <v>111.22799999999995</v>
      </c>
      <c r="CA63" s="14">
        <f t="shared" si="39"/>
        <v>29.620123744783804</v>
      </c>
      <c r="CB63" s="22">
        <f t="shared" si="10"/>
        <v>245.31048218883168</v>
      </c>
      <c r="CC63" s="62">
        <f t="shared" si="11"/>
        <v>538.64381552216503</v>
      </c>
      <c r="CD63" s="62">
        <f ca="1">AVERAGE(OFFSET($CC$3,0,0,'Données projet'!$E$12+1,1))-AVERAGE(OFFSET($H$3,0,0,'Données projet'!$E$12+1,1))</f>
        <v>255.59755832175625</v>
      </c>
      <c r="CE63" s="62">
        <f t="shared" si="40"/>
        <v>154.0840647586964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2">
        <f t="shared" si="14"/>
        <v>795.45837960764743</v>
      </c>
      <c r="CY63" s="62">
        <f ca="1">AVERAGE(OFFSET($CX$3,0,0,'Données projet'!$E$13+1,1))-AVERAGE(OFFSET($H$3,0,0,'Données projet'!$E$13+1,1))</f>
        <v>292.57482726862594</v>
      </c>
      <c r="CZ63" s="62">
        <f t="shared" si="42"/>
        <v>283.48738729114024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428.8489304403459</v>
      </c>
      <c r="T64" s="62">
        <f t="shared" si="34"/>
        <v>247.01165577562966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475.47920969424894</v>
      </c>
      <c r="AO64" s="62">
        <f t="shared" si="36"/>
        <v>271.73544012419364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4.4000000000000004</v>
      </c>
      <c r="BD64" s="13">
        <f>IF('Données projet'!$A$88&gt;35,BD63+BC64-BL63,IF(A64&lt;'Données projet'!$A$88,$BA$205^A64,IF(A64='Données projet'!$A$88,'Données projet'!$B$88,BD63+BC64-BL63)))</f>
        <v>237.39999999999986</v>
      </c>
      <c r="BE64" s="14">
        <f>BD64*VLOOKUP('Données projet'!$B$11,Paramètres!$A$1:$I$89,3,0)*VLOOKUP('Données projet'!$B$11,Paramètres!$A$1:$I$89,5,0)</f>
        <v>174.06167999999991</v>
      </c>
      <c r="BF64" s="14">
        <f t="shared" si="37"/>
        <v>43.998450960214953</v>
      </c>
      <c r="BG64" s="22">
        <f t="shared" si="7"/>
        <v>379.78806142237414</v>
      </c>
      <c r="BH64" s="62">
        <f t="shared" si="8"/>
        <v>673.12139475570746</v>
      </c>
      <c r="BI64" s="62">
        <f ca="1">AVERAGE(OFFSET($BH$3,0,0,'Données projet'!$E$11+1,1))-AVERAGE(OFFSET($H$3,0,0,'Données projet'!$E$11+1,1))</f>
        <v>290.85271051443431</v>
      </c>
      <c r="BJ64" s="62">
        <f t="shared" si="38"/>
        <v>318.66958823451142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3.8</v>
      </c>
      <c r="BY64" s="13">
        <f>IF('Données projet'!$A$114&gt;35,BY63+BX64-CG63,IF(A64&lt;'Données projet'!$A$114,$BV$205^A64,IF(A64='Données projet'!$A$114,'Données projet'!$B$114,BY63+BX64-CG63)))</f>
        <v>118.79999999999995</v>
      </c>
      <c r="BZ64" s="14">
        <f>BY64*VLOOKUP('Données projet'!$B$12,Paramètres!$A$1:$I$89,3,0)*VLOOKUP('Données projet'!$B$12,Paramètres!$A$1:$I$89,5,0)</f>
        <v>114.90335999999996</v>
      </c>
      <c r="CA64" s="14">
        <f t="shared" si="39"/>
        <v>30.483305866236858</v>
      </c>
      <c r="CB64" s="22">
        <f t="shared" si="10"/>
        <v>253.21510971702909</v>
      </c>
      <c r="CC64" s="62">
        <f t="shared" si="11"/>
        <v>546.54844305036238</v>
      </c>
      <c r="CD64" s="62">
        <f ca="1">AVERAGE(OFFSET($CC$3,0,0,'Données projet'!$E$12+1,1))-AVERAGE(OFFSET($H$3,0,0,'Données projet'!$E$12+1,1))</f>
        <v>255.59755832175625</v>
      </c>
      <c r="CE64" s="62">
        <f t="shared" si="40"/>
        <v>154.0840647586964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2">
        <f t="shared" si="14"/>
        <v>732.04308237573878</v>
      </c>
      <c r="CY64" s="62">
        <f ca="1">AVERAGE(OFFSET($CX$3,0,0,'Données projet'!$E$13+1,1))-AVERAGE(OFFSET($H$3,0,0,'Données projet'!$E$13+1,1))</f>
        <v>292.57482726862594</v>
      </c>
      <c r="CZ64" s="62">
        <f t="shared" si="42"/>
        <v>283.48738729114024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428.8489304403459</v>
      </c>
      <c r="T65" s="62">
        <f t="shared" si="34"/>
        <v>247.01165577562966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475.47920969424894</v>
      </c>
      <c r="AO65" s="62">
        <f t="shared" si="36"/>
        <v>271.73544012419364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4.4000000000000004</v>
      </c>
      <c r="BD65" s="13">
        <f>IF('Données projet'!$A$88&gt;35,BD64+BC65-BL64,IF(A65&lt;'Données projet'!$A$88,$BA$205^A65,IF(A65='Données projet'!$A$88,'Données projet'!$B$88,BD64+BC65-BL64)))</f>
        <v>241.79999999999987</v>
      </c>
      <c r="BE65" s="14">
        <f>BD65*VLOOKUP('Données projet'!$B$11,Paramètres!$A$1:$I$89,3,0)*VLOOKUP('Données projet'!$B$11,Paramètres!$A$1:$I$89,5,0)</f>
        <v>177.28775999999991</v>
      </c>
      <c r="BF65" s="14">
        <f t="shared" si="37"/>
        <v>44.718230568721658</v>
      </c>
      <c r="BG65" s="22">
        <f t="shared" si="7"/>
        <v>386.66043357385666</v>
      </c>
      <c r="BH65" s="62">
        <f t="shared" si="8"/>
        <v>679.99376690718998</v>
      </c>
      <c r="BI65" s="62">
        <f ca="1">AVERAGE(OFFSET($BH$3,0,0,'Données projet'!$E$11+1,1))-AVERAGE(OFFSET($H$3,0,0,'Données projet'!$E$11+1,1))</f>
        <v>290.85271051443431</v>
      </c>
      <c r="BJ65" s="62">
        <f t="shared" si="38"/>
        <v>318.66958823451142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3.8</v>
      </c>
      <c r="BY65" s="13">
        <f>IF('Données projet'!$A$114&gt;35,BY64+BX65-CG64,IF(A65&lt;'Données projet'!$A$114,$BV$205^A65,IF(A65='Données projet'!$A$114,'Données projet'!$B$114,BY64+BX65-CG64)))</f>
        <v>122.59999999999995</v>
      </c>
      <c r="BZ65" s="14">
        <f>BY65*VLOOKUP('Données projet'!$B$12,Paramètres!$A$1:$I$89,3,0)*VLOOKUP('Données projet'!$B$12,Paramètres!$A$1:$I$89,5,0)</f>
        <v>118.57871999999996</v>
      </c>
      <c r="CA65" s="14">
        <f t="shared" si="39"/>
        <v>31.343279557590108</v>
      </c>
      <c r="CB65" s="22">
        <f t="shared" si="10"/>
        <v>261.11414922946938</v>
      </c>
      <c r="CC65" s="62">
        <f t="shared" si="11"/>
        <v>554.44748256280263</v>
      </c>
      <c r="CD65" s="62">
        <f ca="1">AVERAGE(OFFSET($CC$3,0,0,'Données projet'!$E$12+1,1))-AVERAGE(OFFSET($H$3,0,0,'Données projet'!$E$12+1,1))</f>
        <v>255.59755832175625</v>
      </c>
      <c r="CE65" s="62">
        <f t="shared" si="40"/>
        <v>154.0840647586964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2">
        <f t="shared" si="14"/>
        <v>746.39662841975462</v>
      </c>
      <c r="CY65" s="62">
        <f ca="1">AVERAGE(OFFSET($CX$3,0,0,'Données projet'!$E$13+1,1))-AVERAGE(OFFSET($H$3,0,0,'Données projet'!$E$13+1,1))</f>
        <v>292.57482726862594</v>
      </c>
      <c r="CZ65" s="62">
        <f t="shared" si="42"/>
        <v>283.48738729114024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428.8489304403459</v>
      </c>
      <c r="T66" s="62">
        <f t="shared" si="34"/>
        <v>247.01165577562966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475.47920969424894</v>
      </c>
      <c r="AO66" s="62">
        <f t="shared" si="36"/>
        <v>271.73544012419364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4.4000000000000004</v>
      </c>
      <c r="BD66" s="13">
        <f>IF('Données projet'!$A$88&gt;35,BD65+BC66-BL65,IF(A66&lt;'Données projet'!$A$88,$BA$205^A66,IF(A66='Données projet'!$A$88,'Données projet'!$B$88,BD65+BC66-BL65)))</f>
        <v>246.19999999999987</v>
      </c>
      <c r="BE66" s="14">
        <f>BD66*VLOOKUP('Données projet'!$B$11,Paramètres!$A$1:$I$89,3,0)*VLOOKUP('Données projet'!$B$11,Paramètres!$A$1:$I$89,5,0)</f>
        <v>180.5138399999999</v>
      </c>
      <c r="BF66" s="14">
        <f t="shared" si="37"/>
        <v>45.43648712647358</v>
      </c>
      <c r="BG66" s="22">
        <f t="shared" si="7"/>
        <v>393.53015307860801</v>
      </c>
      <c r="BH66" s="62">
        <f t="shared" si="8"/>
        <v>686.86348641194127</v>
      </c>
      <c r="BI66" s="62">
        <f ca="1">AVERAGE(OFFSET($BH$3,0,0,'Données projet'!$E$11+1,1))-AVERAGE(OFFSET($H$3,0,0,'Données projet'!$E$11+1,1))</f>
        <v>290.85271051443431</v>
      </c>
      <c r="BJ66" s="62">
        <f t="shared" si="38"/>
        <v>318.66958823451142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3.8</v>
      </c>
      <c r="BY66" s="13">
        <f>IF('Données projet'!$A$114&gt;35,BY65+BX66-CG65,IF(A66&lt;'Données projet'!$A$114,$BV$205^A66,IF(A66='Données projet'!$A$114,'Données projet'!$B$114,BY65+BX66-CG65)))</f>
        <v>126.39999999999995</v>
      </c>
      <c r="BZ66" s="14">
        <f>BY66*VLOOKUP('Données projet'!$B$12,Paramètres!$A$1:$I$89,3,0)*VLOOKUP('Données projet'!$B$12,Paramètres!$A$1:$I$89,5,0)</f>
        <v>122.25407999999995</v>
      </c>
      <c r="CA66" s="14">
        <f t="shared" si="39"/>
        <v>32.20015567592624</v>
      </c>
      <c r="CB66" s="22">
        <f t="shared" si="10"/>
        <v>269.0077938022381</v>
      </c>
      <c r="CC66" s="62">
        <f t="shared" si="11"/>
        <v>562.34112713557147</v>
      </c>
      <c r="CD66" s="62">
        <f ca="1">AVERAGE(OFFSET($CC$3,0,0,'Données projet'!$E$12+1,1))-AVERAGE(OFFSET($H$3,0,0,'Données projet'!$E$12+1,1))</f>
        <v>255.59755832175625</v>
      </c>
      <c r="CE66" s="62">
        <f t="shared" si="40"/>
        <v>154.0840647586964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760.74045566531913</v>
      </c>
      <c r="CY66" s="62">
        <f ca="1">AVERAGE(OFFSET($CX$3,0,0,'Données projet'!$E$13+1,1))-AVERAGE(OFFSET($H$3,0,0,'Données projet'!$E$13+1,1))</f>
        <v>292.57482726862594</v>
      </c>
      <c r="CZ66" s="62">
        <f t="shared" si="42"/>
        <v>283.48738729114024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428.8489304403459</v>
      </c>
      <c r="T67" s="62">
        <f t="shared" si="34"/>
        <v>247.01165577562966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475.47920969424894</v>
      </c>
      <c r="AO67" s="62">
        <f t="shared" si="36"/>
        <v>271.73544012419364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4.4000000000000004</v>
      </c>
      <c r="BD67" s="13">
        <f>IF('Données projet'!$A$88&gt;35,BD66+BC67-BL66,IF(A67&lt;'Données projet'!$A$88,$BA$205^A67,IF(A67='Données projet'!$A$88,'Données projet'!$B$88,BD66+BC67-BL66)))</f>
        <v>250.59999999999988</v>
      </c>
      <c r="BE67" s="14">
        <f>BD67*VLOOKUP('Données projet'!$B$11,Paramètres!$A$1:$I$89,3,0)*VLOOKUP('Données projet'!$B$11,Paramètres!$A$1:$I$89,5,0)</f>
        <v>183.7399199999999</v>
      </c>
      <c r="BF67" s="14">
        <f t="shared" si="37"/>
        <v>46.153250992914103</v>
      </c>
      <c r="BG67" s="22">
        <f t="shared" si="7"/>
        <v>400.39727281265851</v>
      </c>
      <c r="BH67" s="62">
        <f t="shared" si="8"/>
        <v>693.73060614599183</v>
      </c>
      <c r="BI67" s="62">
        <f ca="1">AVERAGE(OFFSET($BH$3,0,0,'Données projet'!$E$11+1,1))-AVERAGE(OFFSET($H$3,0,0,'Données projet'!$E$11+1,1))</f>
        <v>290.85271051443431</v>
      </c>
      <c r="BJ67" s="62">
        <f t="shared" si="38"/>
        <v>318.66958823451142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3.8</v>
      </c>
      <c r="BY67" s="13">
        <f>IF('Données projet'!$A$114&gt;35,BY66+BX67-CG66,IF(A67&lt;'Données projet'!$A$114,$BV$205^A67,IF(A67='Données projet'!$A$114,'Données projet'!$B$114,BY66+BX67-CG66)))</f>
        <v>130.19999999999996</v>
      </c>
      <c r="BZ67" s="14">
        <f>BY67*VLOOKUP('Données projet'!$B$12,Paramètres!$A$1:$I$89,3,0)*VLOOKUP('Données projet'!$B$12,Paramètres!$A$1:$I$89,5,0)</f>
        <v>125.92943999999997</v>
      </c>
      <c r="CA67" s="14">
        <f t="shared" si="39"/>
        <v>33.054038034052049</v>
      </c>
      <c r="CB67" s="22">
        <f t="shared" si="10"/>
        <v>276.89622424264059</v>
      </c>
      <c r="CC67" s="62">
        <f t="shared" si="11"/>
        <v>570.2295575759739</v>
      </c>
      <c r="CD67" s="62">
        <f ca="1">AVERAGE(OFFSET($CC$3,0,0,'Données projet'!$E$12+1,1))-AVERAGE(OFFSET($H$3,0,0,'Données projet'!$E$12+1,1))</f>
        <v>255.59755832175625</v>
      </c>
      <c r="CE67" s="62">
        <f t="shared" si="40"/>
        <v>154.0840647586964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2">
        <f t="shared" si="14"/>
        <v>775.07490430656617</v>
      </c>
      <c r="CY67" s="62">
        <f ca="1">AVERAGE(OFFSET($CX$3,0,0,'Données projet'!$E$13+1,1))-AVERAGE(OFFSET($H$3,0,0,'Données projet'!$E$13+1,1))</f>
        <v>292.57482726862594</v>
      </c>
      <c r="CZ67" s="62">
        <f t="shared" si="42"/>
        <v>283.48738729114024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428.8489304403459</v>
      </c>
      <c r="T68" s="62">
        <f t="shared" si="34"/>
        <v>247.01165577562966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475.47920969424894</v>
      </c>
      <c r="AO68" s="62">
        <f t="shared" si="36"/>
        <v>271.73544012419364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255</v>
      </c>
      <c r="BB68" s="13">
        <f>VLOOKUP(A68,'Données projet'!$A$87:$I$107,9,0)</f>
        <v>4.4000000000000004</v>
      </c>
      <c r="BC68" s="13">
        <f t="array" ref="BC68">INDEX(BB:BB,MIN(IF(ISNUMBER(BB68:BB264),ROW(BB68:BB264),"")))</f>
        <v>4.4000000000000004</v>
      </c>
      <c r="BD68" s="13">
        <f>IF('Données projet'!$A$88&gt;35,BD67+BC68-BL67,IF(A68&lt;'Données projet'!$A$88,$BA$205^A68,IF(A68='Données projet'!$A$88,'Données projet'!$B$88,BD67+BC68-BL67)))</f>
        <v>254.99999999999989</v>
      </c>
      <c r="BE68" s="14">
        <f>BD68*VLOOKUP('Données projet'!$B$11,Paramètres!$A$1:$I$89,3,0)*VLOOKUP('Données projet'!$B$11,Paramètres!$A$1:$I$89,5,0)</f>
        <v>186.96599999999992</v>
      </c>
      <c r="BF68" s="14">
        <f t="shared" si="37"/>
        <v>46.868551400324606</v>
      </c>
      <c r="BG68" s="22">
        <f t="shared" ref="BG68:BG131" si="61">(BE68+BF68)*0.475*44/12</f>
        <v>407.26184368889852</v>
      </c>
      <c r="BH68" s="62">
        <f t="shared" ref="BH68:BH131" si="62">BG68+(AY68+AZ68)*44/12</f>
        <v>700.59517702223184</v>
      </c>
      <c r="BI68" s="62">
        <f ca="1">AVERAGE(OFFSET($BH$3,0,0,'Données projet'!$E$11+1,1))-AVERAGE(OFFSET($H$3,0,0,'Données projet'!$E$11+1,1))</f>
        <v>290.85271051443431</v>
      </c>
      <c r="BJ68" s="62">
        <f t="shared" si="38"/>
        <v>318.66958823451142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134</v>
      </c>
      <c r="BW68" s="13">
        <f>VLOOKUP(A68,'Données projet'!$A$113:$I$133,9,0)</f>
        <v>3.8</v>
      </c>
      <c r="BX68" s="13">
        <f t="array" ref="BX68">INDEX(BW:BW,MIN(IF(ISNUMBER(BW68:BW264),ROW(BW68:BW264),"")))</f>
        <v>3.8</v>
      </c>
      <c r="BY68" s="13">
        <f>IF('Données projet'!$A$114&gt;35,BY67+BX68-CG67,IF(A68&lt;'Données projet'!$A$114,$BV$205^A68,IF(A68='Données projet'!$A$114,'Données projet'!$B$114,BY67+BX68-CG67)))</f>
        <v>133.99999999999997</v>
      </c>
      <c r="BZ68" s="14">
        <f>BY68*VLOOKUP('Données projet'!$B$12,Paramètres!$A$1:$I$89,3,0)*VLOOKUP('Données projet'!$B$12,Paramètres!$A$1:$I$89,5,0)</f>
        <v>129.60479999999998</v>
      </c>
      <c r="CA68" s="14">
        <f t="shared" si="39"/>
        <v>33.905024040491121</v>
      </c>
      <c r="CB68" s="22">
        <f t="shared" ref="CB68:CB131" si="64">(BZ68+CA68)*0.475*44/12</f>
        <v>284.77961020385533</v>
      </c>
      <c r="CC68" s="62">
        <f t="shared" ref="CC68:CC131" si="65">CB68+(BT68+BU68)*44/12</f>
        <v>578.11294353718858</v>
      </c>
      <c r="CD68" s="62">
        <f ca="1">AVERAGE(OFFSET($CC$3,0,0,'Données projet'!$E$12+1,1))-AVERAGE(OFFSET($H$3,0,0,'Données projet'!$E$12+1,1))</f>
        <v>255.59755832175625</v>
      </c>
      <c r="CE68" s="62">
        <f t="shared" si="40"/>
        <v>154.0840647586964</v>
      </c>
      <c r="CF68" s="16">
        <f>IF(ISNA(VLOOKUP(A68,'Données projet'!$A$113:$I$133,3,0)),0,VLOOKUP(A68,'Données projet'!$A$113:$I$133,3,0))</f>
        <v>4</v>
      </c>
      <c r="CG68" s="16">
        <f>IF(ISNA(VLOOKUP(A68,'Données projet'!$A$113:$I$133,4,0)),0,VLOOKUP(A68,'Données projet'!$A$113:$I$133,4,0))</f>
        <v>20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2">
        <f t="shared" ref="CX68:CX131" si="68">CW68+(CO68+CP68)*44/12</f>
        <v>789.40029264619625</v>
      </c>
      <c r="CY68" s="62">
        <f ca="1">AVERAGE(OFFSET($CX$3,0,0,'Données projet'!$E$13+1,1))-AVERAGE(OFFSET($H$3,0,0,'Données projet'!$E$13+1,1))</f>
        <v>292.57482726862594</v>
      </c>
      <c r="CZ68" s="62">
        <f t="shared" si="42"/>
        <v>283.48738729114024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2">
        <f t="shared" si="55"/>
        <v>756.65012524226813</v>
      </c>
      <c r="S69" s="62">
        <f ca="1">AVERAGE(OFFSET($R$3,0,0,'Données projet'!$E$9+1,1))-AVERAGE(OFFSET($H$3,0,0,'Données projet'!$E$9+1,1))</f>
        <v>428.8489304403459</v>
      </c>
      <c r="T69" s="62">
        <f t="shared" ref="T69:T132" si="88">$T$3</f>
        <v>247.01165577562966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2">
        <f t="shared" si="59"/>
        <v>811.21322649031208</v>
      </c>
      <c r="AN69" s="62">
        <f ca="1">AVERAGE(OFFSET($AM$3,0,0,'Données projet'!$E$10+1,1))-AVERAGE(OFFSET($H$3,0,0,'Données projet'!$E$10+1,1))</f>
        <v>475.47920969424894</v>
      </c>
      <c r="AO69" s="62">
        <f t="shared" ref="AO69:AO132" si="90">$AO$3</f>
        <v>271.73544012419364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258.7999999999999</v>
      </c>
      <c r="BE69" s="14">
        <f>BD69*VLOOKUP('Données projet'!$B$11,Paramètres!$A$1:$I$89,3,0)*VLOOKUP('Données projet'!$B$11,Paramètres!$A$1:$I$89,5,0)</f>
        <v>189.75215999999992</v>
      </c>
      <c r="BF69" s="14">
        <f t="shared" ref="BF69:BF132" si="91">EXP(-1.0587+0.8836*LN(BE69)+0.284)</f>
        <v>47.48515478428709</v>
      </c>
      <c r="BG69" s="22">
        <f t="shared" si="61"/>
        <v>413.18832324929986</v>
      </c>
      <c r="BH69" s="62">
        <f t="shared" si="62"/>
        <v>706.52165658263311</v>
      </c>
      <c r="BI69" s="62">
        <f ca="1">AVERAGE(OFFSET($BH$3,0,0,'Données projet'!$E$11+1,1))-AVERAGE(OFFSET($H$3,0,0,'Données projet'!$E$11+1,1))</f>
        <v>290.85271051443431</v>
      </c>
      <c r="BJ69" s="62">
        <f t="shared" ref="BJ69:BJ132" si="92">$BJ$3</f>
        <v>318.66958823451142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3.6</v>
      </c>
      <c r="BY69" s="13">
        <f>IF('Données projet'!$A$114&gt;35,BY68+BX69-CG68,IF(A69&lt;'Données projet'!$A$114,$BV$205^A69,IF(A69='Données projet'!$A$114,'Données projet'!$B$114,BY68+BX69-CG68)))</f>
        <v>117.59999999999997</v>
      </c>
      <c r="BZ69" s="14">
        <f>BY69*VLOOKUP('Données projet'!$B$12,Paramètres!$A$1:$I$89,3,0)*VLOOKUP('Données projet'!$B$12,Paramètres!$A$1:$I$89,5,0)</f>
        <v>113.74271999999996</v>
      </c>
      <c r="CA69" s="14">
        <f t="shared" ref="CA69:CA132" si="93">EXP(-1.0587+0.8836*LN(BZ69)+0.284)</f>
        <v>30.211074114233345</v>
      </c>
      <c r="CB69" s="22">
        <f t="shared" si="64"/>
        <v>250.71952474895636</v>
      </c>
      <c r="CC69" s="62">
        <f t="shared" si="65"/>
        <v>544.05285808228973</v>
      </c>
      <c r="CD69" s="62">
        <f ca="1">AVERAGE(OFFSET($CC$3,0,0,'Données projet'!$E$12+1,1))-AVERAGE(OFFSET($H$3,0,0,'Données projet'!$E$12+1,1))</f>
        <v>255.59755832175625</v>
      </c>
      <c r="CE69" s="62">
        <f t="shared" ref="CE69:CE132" si="94">$CE$3</f>
        <v>154.0840647586964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2">
        <f t="shared" si="68"/>
        <v>803.71691910886818</v>
      </c>
      <c r="CY69" s="62">
        <f ca="1">AVERAGE(OFFSET($CX$3,0,0,'Données projet'!$E$13+1,1))-AVERAGE(OFFSET($H$3,0,0,'Données projet'!$E$13+1,1))</f>
        <v>292.57482726862594</v>
      </c>
      <c r="CZ69" s="62">
        <f t="shared" ref="CZ69:CZ132" si="96">$CZ$3</f>
        <v>283.48738729114024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2">
        <f t="shared" si="55"/>
        <v>769.69946190259475</v>
      </c>
      <c r="S70" s="62">
        <f ca="1">AVERAGE(OFFSET($R$3,0,0,'Données projet'!$E$9+1,1))-AVERAGE(OFFSET($H$3,0,0,'Données projet'!$E$9+1,1))</f>
        <v>428.8489304403459</v>
      </c>
      <c r="T70" s="62">
        <f t="shared" si="88"/>
        <v>247.01165577562966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2">
        <f t="shared" si="59"/>
        <v>825.80302750779379</v>
      </c>
      <c r="AN70" s="62">
        <f ca="1">AVERAGE(OFFSET($AM$3,0,0,'Données projet'!$E$10+1,1))-AVERAGE(OFFSET($H$3,0,0,'Données projet'!$E$10+1,1))</f>
        <v>475.47920969424894</v>
      </c>
      <c r="AO70" s="62">
        <f t="shared" si="90"/>
        <v>271.73544012419364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262.59999999999991</v>
      </c>
      <c r="BE70" s="14">
        <f>BD70*VLOOKUP('Données projet'!$B$11,Paramètres!$A$1:$I$89,3,0)*VLOOKUP('Données projet'!$B$11,Paramètres!$A$1:$I$89,5,0)</f>
        <v>192.53831999999994</v>
      </c>
      <c r="BF70" s="14">
        <f t="shared" si="91"/>
        <v>48.100705179740942</v>
      </c>
      <c r="BG70" s="22">
        <f t="shared" si="61"/>
        <v>419.11296885471535</v>
      </c>
      <c r="BH70" s="62">
        <f t="shared" si="62"/>
        <v>712.44630218804866</v>
      </c>
      <c r="BI70" s="62">
        <f ca="1">AVERAGE(OFFSET($BH$3,0,0,'Données projet'!$E$11+1,1))-AVERAGE(OFFSET($H$3,0,0,'Données projet'!$E$11+1,1))</f>
        <v>290.85271051443431</v>
      </c>
      <c r="BJ70" s="62">
        <f t="shared" si="92"/>
        <v>318.66958823451142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3.6</v>
      </c>
      <c r="BY70" s="13">
        <f>IF('Données projet'!$A$114&gt;35,BY69+BX70-CG69,IF(A70&lt;'Données projet'!$A$114,$BV$205^A70,IF(A70='Données projet'!$A$114,'Données projet'!$B$114,BY69+BX70-CG69)))</f>
        <v>121.19999999999996</v>
      </c>
      <c r="BZ70" s="14">
        <f>BY70*VLOOKUP('Données projet'!$B$12,Paramètres!$A$1:$I$89,3,0)*VLOOKUP('Données projet'!$B$12,Paramètres!$A$1:$I$89,5,0)</f>
        <v>117.22463999999997</v>
      </c>
      <c r="CA70" s="14">
        <f t="shared" si="93"/>
        <v>31.026813250993953</v>
      </c>
      <c r="CB70" s="22">
        <f t="shared" si="64"/>
        <v>258.20461441214769</v>
      </c>
      <c r="CC70" s="62">
        <f t="shared" si="65"/>
        <v>551.53794774548101</v>
      </c>
      <c r="CD70" s="62">
        <f ca="1">AVERAGE(OFFSET($CC$3,0,0,'Données projet'!$E$12+1,1))-AVERAGE(OFFSET($H$3,0,0,'Données projet'!$E$12+1,1))</f>
        <v>255.59755832175625</v>
      </c>
      <c r="CE70" s="62">
        <f t="shared" si="94"/>
        <v>154.0840647586964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2">
        <f t="shared" si="68"/>
        <v>818.02506401697747</v>
      </c>
      <c r="CY70" s="62">
        <f ca="1">AVERAGE(OFFSET($CX$3,0,0,'Données projet'!$E$13+1,1))-AVERAGE(OFFSET($H$3,0,0,'Données projet'!$E$13+1,1))</f>
        <v>292.57482726862594</v>
      </c>
      <c r="CZ70" s="62">
        <f t="shared" si="96"/>
        <v>283.48738729114024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2">
        <f t="shared" si="55"/>
        <v>782.74119655001107</v>
      </c>
      <c r="S71" s="62">
        <f ca="1">AVERAGE(OFFSET($R$3,0,0,'Données projet'!$E$9+1,1))-AVERAGE(OFFSET($H$3,0,0,'Données projet'!$E$9+1,1))</f>
        <v>428.8489304403459</v>
      </c>
      <c r="T71" s="62">
        <f t="shared" si="88"/>
        <v>247.01165577562966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2">
        <f t="shared" si="59"/>
        <v>840.38442127706139</v>
      </c>
      <c r="AN71" s="62">
        <f ca="1">AVERAGE(OFFSET($AM$3,0,0,'Données projet'!$E$10+1,1))-AVERAGE(OFFSET($H$3,0,0,'Données projet'!$E$10+1,1))</f>
        <v>475.47920969424894</v>
      </c>
      <c r="AO71" s="62">
        <f t="shared" si="90"/>
        <v>271.73544012419364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266.39999999999992</v>
      </c>
      <c r="BE71" s="14">
        <f>BD71*VLOOKUP('Données projet'!$B$11,Paramètres!$A$1:$I$89,3,0)*VLOOKUP('Données projet'!$B$11,Paramètres!$A$1:$I$89,5,0)</f>
        <v>195.32447999999994</v>
      </c>
      <c r="BF71" s="14">
        <f t="shared" si="91"/>
        <v>48.715219584659224</v>
      </c>
      <c r="BG71" s="22">
        <f t="shared" si="61"/>
        <v>425.03581010994799</v>
      </c>
      <c r="BH71" s="62">
        <f t="shared" si="62"/>
        <v>718.36914344328125</v>
      </c>
      <c r="BI71" s="62">
        <f ca="1">AVERAGE(OFFSET($BH$3,0,0,'Données projet'!$E$11+1,1))-AVERAGE(OFFSET($H$3,0,0,'Données projet'!$E$11+1,1))</f>
        <v>290.85271051443431</v>
      </c>
      <c r="BJ71" s="62">
        <f t="shared" si="92"/>
        <v>318.66958823451142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3.6</v>
      </c>
      <c r="BY71" s="13">
        <f>IF('Données projet'!$A$114&gt;35,BY70+BX71-CG70,IF(A71&lt;'Données projet'!$A$114,$BV$205^A71,IF(A71='Données projet'!$A$114,'Données projet'!$B$114,BY70+BX71-CG70)))</f>
        <v>124.79999999999995</v>
      </c>
      <c r="BZ71" s="14">
        <f>BY71*VLOOKUP('Données projet'!$B$12,Paramètres!$A$1:$I$89,3,0)*VLOOKUP('Données projet'!$B$12,Paramètres!$A$1:$I$89,5,0)</f>
        <v>120.70655999999997</v>
      </c>
      <c r="CA71" s="14">
        <f t="shared" si="93"/>
        <v>31.839736462736809</v>
      </c>
      <c r="CB71" s="22">
        <f t="shared" si="64"/>
        <v>265.68479967259987</v>
      </c>
      <c r="CC71" s="62">
        <f t="shared" si="65"/>
        <v>559.01813300593312</v>
      </c>
      <c r="CD71" s="62">
        <f ca="1">AVERAGE(OFFSET($CC$3,0,0,'Données projet'!$E$12+1,1))-AVERAGE(OFFSET($H$3,0,0,'Données projet'!$E$12+1,1))</f>
        <v>255.59755832175625</v>
      </c>
      <c r="CE71" s="62">
        <f t="shared" si="94"/>
        <v>154.0840647586964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832.3249911627081</v>
      </c>
      <c r="CY71" s="62">
        <f ca="1">AVERAGE(OFFSET($CX$3,0,0,'Données projet'!$E$13+1,1))-AVERAGE(OFFSET($H$3,0,0,'Données projet'!$E$13+1,1))</f>
        <v>292.57482726862594</v>
      </c>
      <c r="CZ71" s="62">
        <f t="shared" si="96"/>
        <v>283.48738729114024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2">
        <f t="shared" si="55"/>
        <v>795.77556027438573</v>
      </c>
      <c r="S72" s="62">
        <f ca="1">AVERAGE(OFFSET($R$3,0,0,'Données projet'!$E$9+1,1))-AVERAGE(OFFSET($H$3,0,0,'Données projet'!$E$9+1,1))</f>
        <v>428.8489304403459</v>
      </c>
      <c r="T72" s="62">
        <f t="shared" si="88"/>
        <v>247.01165577562966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2">
        <f t="shared" si="59"/>
        <v>854.95766336593738</v>
      </c>
      <c r="AN72" s="62">
        <f ca="1">AVERAGE(OFFSET($AM$3,0,0,'Données projet'!$E$10+1,1))-AVERAGE(OFFSET($H$3,0,0,'Données projet'!$E$10+1,1))</f>
        <v>475.47920969424894</v>
      </c>
      <c r="AO72" s="62">
        <f t="shared" si="90"/>
        <v>271.73544012419364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270.19999999999993</v>
      </c>
      <c r="BE72" s="14">
        <f>BD72*VLOOKUP('Données projet'!$B$11,Paramètres!$A$1:$I$89,3,0)*VLOOKUP('Données projet'!$B$11,Paramètres!$A$1:$I$89,5,0)</f>
        <v>198.11063999999993</v>
      </c>
      <c r="BF72" s="14">
        <f t="shared" si="91"/>
        <v>49.328714484239143</v>
      </c>
      <c r="BG72" s="22">
        <f t="shared" si="61"/>
        <v>430.95687572671636</v>
      </c>
      <c r="BH72" s="62">
        <f t="shared" si="62"/>
        <v>724.29020906004962</v>
      </c>
      <c r="BI72" s="62">
        <f ca="1">AVERAGE(OFFSET($BH$3,0,0,'Données projet'!$E$11+1,1))-AVERAGE(OFFSET($H$3,0,0,'Données projet'!$E$11+1,1))</f>
        <v>290.85271051443431</v>
      </c>
      <c r="BJ72" s="62">
        <f t="shared" si="92"/>
        <v>318.66958823451142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3.6</v>
      </c>
      <c r="BY72" s="13">
        <f>IF('Données projet'!$A$114&gt;35,BY71+BX72-CG71,IF(A72&lt;'Données projet'!$A$114,$BV$205^A72,IF(A72='Données projet'!$A$114,'Données projet'!$B$114,BY71+BX72-CG71)))</f>
        <v>128.39999999999995</v>
      </c>
      <c r="BZ72" s="14">
        <f>BY72*VLOOKUP('Données projet'!$B$12,Paramètres!$A$1:$I$89,3,0)*VLOOKUP('Données projet'!$B$12,Paramètres!$A$1:$I$89,5,0)</f>
        <v>124.18847999999994</v>
      </c>
      <c r="CA72" s="14">
        <f t="shared" si="93"/>
        <v>32.64993430645783</v>
      </c>
      <c r="CB72" s="22">
        <f t="shared" si="64"/>
        <v>273.16023825041395</v>
      </c>
      <c r="CC72" s="62">
        <f t="shared" si="65"/>
        <v>566.49357158374733</v>
      </c>
      <c r="CD72" s="62">
        <f ca="1">AVERAGE(OFFSET($CC$3,0,0,'Données projet'!$E$12+1,1))-AVERAGE(OFFSET($H$3,0,0,'Données projet'!$E$12+1,1))</f>
        <v>255.59755832175625</v>
      </c>
      <c r="CE72" s="62">
        <f t="shared" si="94"/>
        <v>154.0840647586964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2">
        <f t="shared" si="68"/>
        <v>846.61694920462401</v>
      </c>
      <c r="CY72" s="62">
        <f ca="1">AVERAGE(OFFSET($CX$3,0,0,'Données projet'!$E$13+1,1))-AVERAGE(OFFSET($H$3,0,0,'Données projet'!$E$13+1,1))</f>
        <v>292.57482726862594</v>
      </c>
      <c r="CZ72" s="62">
        <f t="shared" si="96"/>
        <v>283.48738729114024</v>
      </c>
      <c r="DA72" s="16">
        <f>IF(ISNA(VLOOKUP(A72,'Données projet'!$A$139:$I$159,3,0)),0,VLOOKUP(A72,'Données projet'!$A$139:$I$159,3,0))</f>
        <v>7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2">
        <f t="shared" si="55"/>
        <v>808.80277120001347</v>
      </c>
      <c r="S73" s="62">
        <f ca="1">AVERAGE(OFFSET($R$3,0,0,'Données projet'!$E$9+1,1))-AVERAGE(OFFSET($H$3,0,0,'Données projet'!$E$9+1,1))</f>
        <v>428.8489304403459</v>
      </c>
      <c r="T73" s="62">
        <f t="shared" si="88"/>
        <v>247.01165577562966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2">
        <f t="shared" si="59"/>
        <v>869.52299500330537</v>
      </c>
      <c r="AN73" s="62">
        <f ca="1">AVERAGE(OFFSET($AM$3,0,0,'Données projet'!$E$10+1,1))-AVERAGE(OFFSET($H$3,0,0,'Données projet'!$E$10+1,1))</f>
        <v>475.47920969424894</v>
      </c>
      <c r="AO73" s="62">
        <f t="shared" si="90"/>
        <v>271.73544012419364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274</v>
      </c>
      <c r="BB73" s="13">
        <f>VLOOKUP(A73,'Données projet'!$A$87:$I$107,9,0)</f>
        <v>3.8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273.99999999999994</v>
      </c>
      <c r="BE73" s="14">
        <f>BD73*VLOOKUP('Données projet'!$B$11,Paramètres!$A$1:$I$89,3,0)*VLOOKUP('Données projet'!$B$11,Paramètres!$A$1:$I$89,5,0)</f>
        <v>200.89679999999996</v>
      </c>
      <c r="BF73" s="14">
        <f t="shared" si="91"/>
        <v>49.941205873360218</v>
      </c>
      <c r="BG73" s="22">
        <f t="shared" si="61"/>
        <v>436.87619356276895</v>
      </c>
      <c r="BH73" s="62">
        <f t="shared" si="62"/>
        <v>730.20952689610226</v>
      </c>
      <c r="BI73" s="62">
        <f ca="1">AVERAGE(OFFSET($BH$3,0,0,'Données projet'!$E$11+1,1))-AVERAGE(OFFSET($H$3,0,0,'Données projet'!$E$11+1,1))</f>
        <v>290.85271051443431</v>
      </c>
      <c r="BJ73" s="62">
        <f t="shared" si="92"/>
        <v>318.66958823451142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132</v>
      </c>
      <c r="BW73" s="13">
        <f>VLOOKUP(A73,'Données projet'!$A$113:$I$133,9,0)</f>
        <v>3.6</v>
      </c>
      <c r="BX73" s="13">
        <f t="array" ref="BX73">INDEX(BW:BW,MIN(IF(ISNUMBER(BW73:BW269),ROW(BW73:BW269),"")))</f>
        <v>3.6</v>
      </c>
      <c r="BY73" s="13">
        <f>IF('Données projet'!$A$114&gt;35,BY72+BX73-CG72,IF(A73&lt;'Données projet'!$A$114,$BV$205^A73,IF(A73='Données projet'!$A$114,'Données projet'!$B$114,BY72+BX73-CG72)))</f>
        <v>131.99999999999994</v>
      </c>
      <c r="BZ73" s="14">
        <f>BY73*VLOOKUP('Données projet'!$B$12,Paramètres!$A$1:$I$89,3,0)*VLOOKUP('Données projet'!$B$12,Paramètres!$A$1:$I$89,5,0)</f>
        <v>127.67039999999994</v>
      </c>
      <c r="CA73" s="14">
        <f t="shared" si="93"/>
        <v>33.457491972285482</v>
      </c>
      <c r="CB73" s="22">
        <f t="shared" si="64"/>
        <v>280.63107851839709</v>
      </c>
      <c r="CC73" s="62">
        <f t="shared" si="65"/>
        <v>573.96441185173035</v>
      </c>
      <c r="CD73" s="62">
        <f ca="1">AVERAGE(OFFSET($CC$3,0,0,'Données projet'!$E$12+1,1))-AVERAGE(OFFSET($H$3,0,0,'Données projet'!$E$12+1,1))</f>
        <v>255.59755832175625</v>
      </c>
      <c r="CE73" s="62">
        <f t="shared" si="94"/>
        <v>154.0840647586964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2">
        <f t="shared" si="68"/>
        <v>293.33333333333582</v>
      </c>
      <c r="CY73" s="62">
        <f ca="1">AVERAGE(OFFSET($CX$3,0,0,'Données projet'!$E$13+1,1))-AVERAGE(OFFSET($H$3,0,0,'Données projet'!$E$13+1,1))</f>
        <v>292.57482726862594</v>
      </c>
      <c r="CZ73" s="62">
        <f t="shared" si="96"/>
        <v>283.48738729114024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428.8489304403459</v>
      </c>
      <c r="T74" s="62">
        <f t="shared" si="88"/>
        <v>247.01165577562966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475.47920969424894</v>
      </c>
      <c r="AO74" s="62">
        <f t="shared" si="90"/>
        <v>271.73544012419364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</v>
      </c>
      <c r="BD74" s="13">
        <f>IF('Données projet'!$A$88&gt;35,BD73+BC74-BL73,IF(A74&lt;'Données projet'!$A$88,$BA$205^A74,IF(A74='Données projet'!$A$88,'Données projet'!$B$88,BD73+BC74-BL73)))</f>
        <v>256.39999999999992</v>
      </c>
      <c r="BE74" s="14">
        <f>BD74*VLOOKUP('Données projet'!$B$11,Paramètres!$A$1:$I$89,3,0)*VLOOKUP('Données projet'!$B$11,Paramètres!$A$1:$I$89,5,0)</f>
        <v>187.99247999999994</v>
      </c>
      <c r="BF74" s="14">
        <f t="shared" si="91"/>
        <v>47.095844674053957</v>
      </c>
      <c r="BG74" s="22">
        <f t="shared" si="61"/>
        <v>409.44549880731051</v>
      </c>
      <c r="BH74" s="62">
        <f t="shared" si="62"/>
        <v>702.77883214064377</v>
      </c>
      <c r="BI74" s="62">
        <f ca="1">AVERAGE(OFFSET($BH$3,0,0,'Données projet'!$E$11+1,1))-AVERAGE(OFFSET($H$3,0,0,'Données projet'!$E$11+1,1))</f>
        <v>290.85271051443431</v>
      </c>
      <c r="BJ74" s="62">
        <f t="shared" si="92"/>
        <v>318.66958823451142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135.39999999999995</v>
      </c>
      <c r="BZ74" s="14">
        <f>BY74*VLOOKUP('Données projet'!$B$12,Paramètres!$A$1:$I$89,3,0)*VLOOKUP('Données projet'!$B$12,Paramètres!$A$1:$I$89,5,0)</f>
        <v>130.95887999999994</v>
      </c>
      <c r="CA74" s="14">
        <f t="shared" si="93"/>
        <v>34.217833491149499</v>
      </c>
      <c r="CB74" s="22">
        <f t="shared" si="64"/>
        <v>287.68277599708523</v>
      </c>
      <c r="CC74" s="62">
        <f t="shared" si="65"/>
        <v>581.01610933041854</v>
      </c>
      <c r="CD74" s="62">
        <f ca="1">AVERAGE(OFFSET($CC$3,0,0,'Données projet'!$E$12+1,1))-AVERAGE(OFFSET($H$3,0,0,'Données projet'!$E$12+1,1))</f>
        <v>255.59755832175625</v>
      </c>
      <c r="CE74" s="62">
        <f t="shared" si="94"/>
        <v>154.0840647586964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2">
        <f t="shared" si="68"/>
        <v>293.33333333333582</v>
      </c>
      <c r="CY74" s="62">
        <f ca="1">AVERAGE(OFFSET($CX$3,0,0,'Données projet'!$E$13+1,1))-AVERAGE(OFFSET($H$3,0,0,'Données projet'!$E$13+1,1))</f>
        <v>292.57482726862594</v>
      </c>
      <c r="CZ74" s="62">
        <f t="shared" si="96"/>
        <v>283.48738729114024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428.8489304403459</v>
      </c>
      <c r="T75" s="62">
        <f t="shared" si="88"/>
        <v>247.01165577562966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475.47920969424894</v>
      </c>
      <c r="AO75" s="62">
        <f t="shared" si="90"/>
        <v>271.73544012419364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</v>
      </c>
      <c r="BD75" s="13">
        <f>IF('Données projet'!$A$88&gt;35,BD74+BC75-BL74,IF(A75&lt;'Données projet'!$A$88,$BA$205^A75,IF(A75='Données projet'!$A$88,'Données projet'!$B$88,BD74+BC75-BL74)))</f>
        <v>259.7999999999999</v>
      </c>
      <c r="BE75" s="14">
        <f>BD75*VLOOKUP('Données projet'!$B$11,Paramètres!$A$1:$I$89,3,0)*VLOOKUP('Données projet'!$B$11,Paramètres!$A$1:$I$89,5,0)</f>
        <v>190.48535999999993</v>
      </c>
      <c r="BF75" s="14">
        <f t="shared" si="91"/>
        <v>47.647243117546594</v>
      </c>
      <c r="BG75" s="22">
        <f t="shared" si="61"/>
        <v>414.74761709639353</v>
      </c>
      <c r="BH75" s="62">
        <f t="shared" si="62"/>
        <v>708.08095042972684</v>
      </c>
      <c r="BI75" s="62">
        <f ca="1">AVERAGE(OFFSET($BH$3,0,0,'Données projet'!$E$11+1,1))-AVERAGE(OFFSET($H$3,0,0,'Données projet'!$E$11+1,1))</f>
        <v>290.85271051443431</v>
      </c>
      <c r="BJ75" s="62">
        <f t="shared" si="92"/>
        <v>318.66958823451142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138.79999999999995</v>
      </c>
      <c r="BZ75" s="14">
        <f>BY75*VLOOKUP('Données projet'!$B$12,Paramètres!$A$1:$I$89,3,0)*VLOOKUP('Données projet'!$B$12,Paramètres!$A$1:$I$89,5,0)</f>
        <v>134.24735999999996</v>
      </c>
      <c r="CA75" s="14">
        <f t="shared" si="93"/>
        <v>34.975955609758309</v>
      </c>
      <c r="CB75" s="22">
        <f t="shared" si="64"/>
        <v>294.73060802032893</v>
      </c>
      <c r="CC75" s="62">
        <f t="shared" si="65"/>
        <v>588.06394135366224</v>
      </c>
      <c r="CD75" s="62">
        <f ca="1">AVERAGE(OFFSET($CC$3,0,0,'Données projet'!$E$12+1,1))-AVERAGE(OFFSET($H$3,0,0,'Données projet'!$E$12+1,1))</f>
        <v>255.59755832175625</v>
      </c>
      <c r="CE75" s="62">
        <f t="shared" si="94"/>
        <v>154.0840647586964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2">
        <f t="shared" si="68"/>
        <v>293.33333333333582</v>
      </c>
      <c r="CY75" s="62">
        <f ca="1">AVERAGE(OFFSET($CX$3,0,0,'Données projet'!$E$13+1,1))-AVERAGE(OFFSET($H$3,0,0,'Données projet'!$E$13+1,1))</f>
        <v>292.57482726862594</v>
      </c>
      <c r="CZ75" s="62">
        <f t="shared" si="96"/>
        <v>283.48738729114024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2">
        <f t="shared" si="55"/>
        <v>763.94335289202195</v>
      </c>
      <c r="S76" s="62">
        <f ca="1">AVERAGE(OFFSET($R$3,0,0,'Données projet'!$E$9+1,1))-AVERAGE(OFFSET($H$3,0,0,'Données projet'!$E$9+1,1))</f>
        <v>428.8489304403459</v>
      </c>
      <c r="T76" s="62">
        <f t="shared" si="88"/>
        <v>247.01165577562966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475.47920969424894</v>
      </c>
      <c r="AO76" s="62">
        <f t="shared" si="90"/>
        <v>271.73544012419364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</v>
      </c>
      <c r="BD76" s="13">
        <f>IF('Données projet'!$A$88&gt;35,BD75+BC76-BL75,IF(A76&lt;'Données projet'!$A$88,$BA$205^A76,IF(A76='Données projet'!$A$88,'Données projet'!$B$88,BD75+BC76-BL75)))</f>
        <v>263.19999999999987</v>
      </c>
      <c r="BE76" s="14">
        <f>BD76*VLOOKUP('Données projet'!$B$11,Paramètres!$A$1:$I$89,3,0)*VLOOKUP('Données projet'!$B$11,Paramètres!$A$1:$I$89,5,0)</f>
        <v>192.97823999999991</v>
      </c>
      <c r="BF76" s="14">
        <f t="shared" si="91"/>
        <v>48.197802215761044</v>
      </c>
      <c r="BG76" s="22">
        <f t="shared" si="61"/>
        <v>420.0482735257836</v>
      </c>
      <c r="BH76" s="62">
        <f t="shared" si="62"/>
        <v>713.38160685911691</v>
      </c>
      <c r="BI76" s="62">
        <f ca="1">AVERAGE(OFFSET($BH$3,0,0,'Données projet'!$E$11+1,1))-AVERAGE(OFFSET($H$3,0,0,'Données projet'!$E$11+1,1))</f>
        <v>290.85271051443431</v>
      </c>
      <c r="BJ76" s="62">
        <f t="shared" si="92"/>
        <v>318.66958823451142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142.19999999999996</v>
      </c>
      <c r="BZ76" s="14">
        <f>BY76*VLOOKUP('Données projet'!$B$12,Paramètres!$A$1:$I$89,3,0)*VLOOKUP('Données projet'!$B$12,Paramètres!$A$1:$I$89,5,0)</f>
        <v>137.53583999999995</v>
      </c>
      <c r="CA76" s="14">
        <f t="shared" si="93"/>
        <v>35.731918947808438</v>
      </c>
      <c r="CB76" s="22">
        <f t="shared" si="64"/>
        <v>301.7746801674329</v>
      </c>
      <c r="CC76" s="62">
        <f t="shared" si="65"/>
        <v>595.10801350076622</v>
      </c>
      <c r="CD76" s="62">
        <f ca="1">AVERAGE(OFFSET($CC$3,0,0,'Données projet'!$E$12+1,1))-AVERAGE(OFFSET($H$3,0,0,'Données projet'!$E$12+1,1))</f>
        <v>255.59755832175625</v>
      </c>
      <c r="CE76" s="62">
        <f t="shared" si="94"/>
        <v>154.0840647586964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2">
        <f t="shared" si="68"/>
        <v>293.33333333333582</v>
      </c>
      <c r="CY76" s="62">
        <f ca="1">AVERAGE(OFFSET($CX$3,0,0,'Données projet'!$E$13+1,1))-AVERAGE(OFFSET($H$3,0,0,'Données projet'!$E$13+1,1))</f>
        <v>292.57482726862594</v>
      </c>
      <c r="CZ76" s="62">
        <f t="shared" si="96"/>
        <v>283.48738729114024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428.8489304403459</v>
      </c>
      <c r="T77" s="62">
        <f t="shared" si="88"/>
        <v>247.01165577562966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475.47920969424894</v>
      </c>
      <c r="AO77" s="62">
        <f t="shared" si="90"/>
        <v>271.73544012419364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</v>
      </c>
      <c r="BD77" s="13">
        <f>IF('Données projet'!$A$88&gt;35,BD76+BC77-BL76,IF(A77&lt;'Données projet'!$A$88,$BA$205^A77,IF(A77='Données projet'!$A$88,'Données projet'!$B$88,BD76+BC77-BL76)))</f>
        <v>266.59999999999985</v>
      </c>
      <c r="BE77" s="14">
        <f>BD77*VLOOKUP('Données projet'!$B$11,Paramètres!$A$1:$I$89,3,0)*VLOOKUP('Données projet'!$B$11,Paramètres!$A$1:$I$89,5,0)</f>
        <v>195.47111999999987</v>
      </c>
      <c r="BF77" s="14">
        <f t="shared" si="91"/>
        <v>48.747534064963503</v>
      </c>
      <c r="BG77" s="22">
        <f t="shared" si="61"/>
        <v>425.34748916314453</v>
      </c>
      <c r="BH77" s="62">
        <f t="shared" si="62"/>
        <v>718.68082249647784</v>
      </c>
      <c r="BI77" s="62">
        <f ca="1">AVERAGE(OFFSET($BH$3,0,0,'Données projet'!$E$11+1,1))-AVERAGE(OFFSET($H$3,0,0,'Données projet'!$E$11+1,1))</f>
        <v>290.85271051443431</v>
      </c>
      <c r="BJ77" s="62">
        <f t="shared" si="92"/>
        <v>318.66958823451142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145.59999999999997</v>
      </c>
      <c r="BZ77" s="14">
        <f>BY77*VLOOKUP('Données projet'!$B$12,Paramètres!$A$1:$I$89,3,0)*VLOOKUP('Données projet'!$B$12,Paramètres!$A$1:$I$89,5,0)</f>
        <v>140.82431999999997</v>
      </c>
      <c r="CA77" s="14">
        <f t="shared" si="93"/>
        <v>36.485781060837802</v>
      </c>
      <c r="CB77" s="22">
        <f t="shared" si="64"/>
        <v>308.81509268095914</v>
      </c>
      <c r="CC77" s="62">
        <f t="shared" si="65"/>
        <v>602.14842601429245</v>
      </c>
      <c r="CD77" s="62">
        <f ca="1">AVERAGE(OFFSET($CC$3,0,0,'Données projet'!$E$12+1,1))-AVERAGE(OFFSET($H$3,0,0,'Données projet'!$E$12+1,1))</f>
        <v>255.59755832175625</v>
      </c>
      <c r="CE77" s="62">
        <f t="shared" si="94"/>
        <v>154.0840647586964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2">
        <f t="shared" si="68"/>
        <v>293.33333333333582</v>
      </c>
      <c r="CY77" s="62">
        <f ca="1">AVERAGE(OFFSET($CX$3,0,0,'Données projet'!$E$13+1,1))-AVERAGE(OFFSET($H$3,0,0,'Données projet'!$E$13+1,1))</f>
        <v>292.57482726862594</v>
      </c>
      <c r="CZ77" s="62">
        <f t="shared" si="96"/>
        <v>283.48738729114024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2">
        <f t="shared" si="55"/>
        <v>787.72578207012918</v>
      </c>
      <c r="S78" s="62">
        <f ca="1">AVERAGE(OFFSET($R$3,0,0,'Données projet'!$E$9+1,1))-AVERAGE(OFFSET($H$3,0,0,'Données projet'!$E$9+1,1))</f>
        <v>428.8489304403459</v>
      </c>
      <c r="T78" s="62">
        <f t="shared" si="88"/>
        <v>247.01165577562966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475.47920969424894</v>
      </c>
      <c r="AO78" s="62">
        <f t="shared" si="90"/>
        <v>271.73544012419364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270</v>
      </c>
      <c r="BB78" s="13">
        <f>VLOOKUP(A78,'Données projet'!$A$87:$I$107,9,0)</f>
        <v>3.4</v>
      </c>
      <c r="BC78" s="13">
        <f t="array" ref="BC78">INDEX(BB:BB,MIN(IF(ISNUMBER(BB78:BB274),ROW(BB78:BB274),"")))</f>
        <v>3.4</v>
      </c>
      <c r="BD78" s="13">
        <f>IF('Données projet'!$A$88&gt;35,BD77+BC78-BL77,IF(A78&lt;'Données projet'!$A$88,$BA$205^A78,IF(A78='Données projet'!$A$88,'Données projet'!$B$88,BD77+BC78-BL77)))</f>
        <v>269.99999999999983</v>
      </c>
      <c r="BE78" s="14">
        <f>BD78*VLOOKUP('Données projet'!$B$11,Paramètres!$A$1:$I$89,3,0)*VLOOKUP('Données projet'!$B$11,Paramètres!$A$1:$I$89,5,0)</f>
        <v>197.96399999999986</v>
      </c>
      <c r="BF78" s="14">
        <f t="shared" si="91"/>
        <v>49.296450435147719</v>
      </c>
      <c r="BG78" s="22">
        <f t="shared" si="61"/>
        <v>430.64528450788202</v>
      </c>
      <c r="BH78" s="62">
        <f t="shared" si="62"/>
        <v>723.97861784121528</v>
      </c>
      <c r="BI78" s="62">
        <f ca="1">AVERAGE(OFFSET($BH$3,0,0,'Données projet'!$E$11+1,1))-AVERAGE(OFFSET($H$3,0,0,'Données projet'!$E$11+1,1))</f>
        <v>290.85271051443431</v>
      </c>
      <c r="BJ78" s="62">
        <f t="shared" si="92"/>
        <v>318.66958823451142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149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148.99999999999997</v>
      </c>
      <c r="BZ78" s="14">
        <f>BY78*VLOOKUP('Données projet'!$B$12,Paramètres!$A$1:$I$89,3,0)*VLOOKUP('Données projet'!$B$12,Paramètres!$A$1:$I$89,5,0)</f>
        <v>144.11279999999996</v>
      </c>
      <c r="CA78" s="14">
        <f t="shared" si="93"/>
        <v>37.237596662992466</v>
      </c>
      <c r="CB78" s="22">
        <f t="shared" si="64"/>
        <v>315.85194085471181</v>
      </c>
      <c r="CC78" s="62">
        <f t="shared" si="65"/>
        <v>609.18527418804513</v>
      </c>
      <c r="CD78" s="62">
        <f ca="1">AVERAGE(OFFSET($CC$3,0,0,'Données projet'!$E$12+1,1))-AVERAGE(OFFSET($H$3,0,0,'Données projet'!$E$12+1,1))</f>
        <v>255.59755832175625</v>
      </c>
      <c r="CE78" s="62">
        <f t="shared" si="94"/>
        <v>154.0840647586964</v>
      </c>
      <c r="CF78" s="16">
        <f>IF(ISNA(VLOOKUP(A78,'Données projet'!$A$113:$I$133,3,0)),0,VLOOKUP(A78,'Données projet'!$A$113:$I$133,3,0))</f>
        <v>5</v>
      </c>
      <c r="CG78" s="16">
        <f>IF(ISNA(VLOOKUP(A78,'Données projet'!$A$113:$I$133,4,0)),0,VLOOKUP(A78,'Données projet'!$A$113:$I$133,4,0))</f>
        <v>20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2">
        <f t="shared" si="68"/>
        <v>293.33333333333582</v>
      </c>
      <c r="CY78" s="62">
        <f ca="1">AVERAGE(OFFSET($CX$3,0,0,'Données projet'!$E$13+1,1))-AVERAGE(OFFSET($H$3,0,0,'Données projet'!$E$13+1,1))</f>
        <v>292.57482726862594</v>
      </c>
      <c r="CZ78" s="62">
        <f t="shared" si="96"/>
        <v>283.48738729114024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2">
        <f t="shared" si="55"/>
        <v>799.22462707153909</v>
      </c>
      <c r="S79" s="62">
        <f ca="1">AVERAGE(OFFSET($R$3,0,0,'Données projet'!$E$9+1,1))-AVERAGE(OFFSET($H$3,0,0,'Données projet'!$E$9+1,1))</f>
        <v>428.8489304403459</v>
      </c>
      <c r="T79" s="62">
        <f t="shared" si="88"/>
        <v>247.01165577562966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2">
        <f t="shared" si="59"/>
        <v>858.81395257903955</v>
      </c>
      <c r="AN79" s="62">
        <f ca="1">AVERAGE(OFFSET($AM$3,0,0,'Données projet'!$E$10+1,1))-AVERAGE(OFFSET($H$3,0,0,'Données projet'!$E$10+1,1))</f>
        <v>475.47920969424894</v>
      </c>
      <c r="AO79" s="62">
        <f t="shared" si="90"/>
        <v>271.73544012419364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272.99999999999983</v>
      </c>
      <c r="BE79" s="14">
        <f>BD79*VLOOKUP('Données projet'!$B$11,Paramètres!$A$1:$I$89,3,0)*VLOOKUP('Données projet'!$B$11,Paramètres!$A$1:$I$89,5,0)</f>
        <v>200.16359999999989</v>
      </c>
      <c r="BF79" s="14">
        <f t="shared" si="91"/>
        <v>49.78012034252523</v>
      </c>
      <c r="BG79" s="22">
        <f t="shared" si="61"/>
        <v>435.31864626323119</v>
      </c>
      <c r="BH79" s="62">
        <f t="shared" si="62"/>
        <v>728.6519795965645</v>
      </c>
      <c r="BI79" s="62">
        <f ca="1">AVERAGE(OFFSET($BH$3,0,0,'Données projet'!$E$11+1,1))-AVERAGE(OFFSET($H$3,0,0,'Données projet'!$E$11+1,1))</f>
        <v>290.85271051443431</v>
      </c>
      <c r="BJ79" s="62">
        <f t="shared" si="92"/>
        <v>318.66958823451142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3.4</v>
      </c>
      <c r="BY79" s="13">
        <f>IF('Données projet'!$A$114&gt;35,BY78+BX79-CG78,IF(A79&lt;'Données projet'!$A$114,$BV$205^A79,IF(A79='Données projet'!$A$114,'Données projet'!$B$114,BY78+BX79-CG78)))</f>
        <v>132.39999999999998</v>
      </c>
      <c r="BZ79" s="14">
        <f>BY79*VLOOKUP('Données projet'!$B$12,Paramètres!$A$1:$I$89,3,0)*VLOOKUP('Données projet'!$B$12,Paramètres!$A$1:$I$89,5,0)</f>
        <v>128.05727999999996</v>
      </c>
      <c r="CA79" s="14">
        <f t="shared" si="93"/>
        <v>33.54706115995706</v>
      </c>
      <c r="CB79" s="22">
        <f t="shared" si="64"/>
        <v>281.46089418692515</v>
      </c>
      <c r="CC79" s="62">
        <f t="shared" si="65"/>
        <v>574.79422752025846</v>
      </c>
      <c r="CD79" s="62">
        <f ca="1">AVERAGE(OFFSET($CC$3,0,0,'Données projet'!$E$12+1,1))-AVERAGE(OFFSET($H$3,0,0,'Données projet'!$E$12+1,1))</f>
        <v>255.59755832175625</v>
      </c>
      <c r="CE79" s="62">
        <f t="shared" si="94"/>
        <v>154.0840647586964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2">
        <f t="shared" si="68"/>
        <v>293.33333333333582</v>
      </c>
      <c r="CY79" s="62">
        <f ca="1">AVERAGE(OFFSET($CX$3,0,0,'Données projet'!$E$13+1,1))-AVERAGE(OFFSET($H$3,0,0,'Données projet'!$E$13+1,1))</f>
        <v>292.57482726862594</v>
      </c>
      <c r="CZ79" s="62">
        <f t="shared" si="96"/>
        <v>283.48738729114024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2">
        <f t="shared" si="55"/>
        <v>810.71794681982283</v>
      </c>
      <c r="S80" s="62">
        <f ca="1">AVERAGE(OFFSET($R$3,0,0,'Données projet'!$E$9+1,1))-AVERAGE(OFFSET($H$3,0,0,'Données projet'!$E$9+1,1))</f>
        <v>428.8489304403459</v>
      </c>
      <c r="T80" s="62">
        <f t="shared" si="88"/>
        <v>247.01165577562966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2">
        <f t="shared" si="59"/>
        <v>871.66430227691103</v>
      </c>
      <c r="AN80" s="62">
        <f ca="1">AVERAGE(OFFSET($AM$3,0,0,'Données projet'!$E$10+1,1))-AVERAGE(OFFSET($H$3,0,0,'Données projet'!$E$10+1,1))</f>
        <v>475.47920969424894</v>
      </c>
      <c r="AO80" s="62">
        <f t="shared" si="90"/>
        <v>271.73544012419364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275.99999999999983</v>
      </c>
      <c r="BE80" s="14">
        <f>BD80*VLOOKUP('Données projet'!$B$11,Paramètres!$A$1:$I$89,3,0)*VLOOKUP('Données projet'!$B$11,Paramètres!$A$1:$I$89,5,0)</f>
        <v>202.36319999999986</v>
      </c>
      <c r="BF80" s="14">
        <f t="shared" si="91"/>
        <v>50.263171959975132</v>
      </c>
      <c r="BG80" s="22">
        <f t="shared" si="61"/>
        <v>439.99093116362309</v>
      </c>
      <c r="BH80" s="62">
        <f t="shared" si="62"/>
        <v>733.3242644969564</v>
      </c>
      <c r="BI80" s="62">
        <f ca="1">AVERAGE(OFFSET($BH$3,0,0,'Données projet'!$E$11+1,1))-AVERAGE(OFFSET($H$3,0,0,'Données projet'!$E$11+1,1))</f>
        <v>290.85271051443431</v>
      </c>
      <c r="BJ80" s="62">
        <f t="shared" si="92"/>
        <v>318.66958823451142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3.4</v>
      </c>
      <c r="BY80" s="13">
        <f>IF('Données projet'!$A$114&gt;35,BY79+BX80-CG79,IF(A80&lt;'Données projet'!$A$114,$BV$205^A80,IF(A80='Données projet'!$A$114,'Données projet'!$B$114,BY79+BX80-CG79)))</f>
        <v>135.79999999999998</v>
      </c>
      <c r="BZ80" s="14">
        <f>BY80*VLOOKUP('Données projet'!$B$12,Paramètres!$A$1:$I$89,3,0)*VLOOKUP('Données projet'!$B$12,Paramètres!$A$1:$I$89,5,0)</f>
        <v>131.34575999999998</v>
      </c>
      <c r="CA80" s="14">
        <f t="shared" si="93"/>
        <v>34.30713832111968</v>
      </c>
      <c r="CB80" s="22">
        <f t="shared" si="64"/>
        <v>288.5121312426167</v>
      </c>
      <c r="CC80" s="62">
        <f t="shared" si="65"/>
        <v>581.84546457595002</v>
      </c>
      <c r="CD80" s="62">
        <f ca="1">AVERAGE(OFFSET($CC$3,0,0,'Données projet'!$E$12+1,1))-AVERAGE(OFFSET($H$3,0,0,'Données projet'!$E$12+1,1))</f>
        <v>255.59755832175625</v>
      </c>
      <c r="CE80" s="62">
        <f t="shared" si="94"/>
        <v>154.0840647586964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2">
        <f t="shared" si="68"/>
        <v>293.33333333333582</v>
      </c>
      <c r="CY80" s="62">
        <f ca="1">AVERAGE(OFFSET($CX$3,0,0,'Données projet'!$E$13+1,1))-AVERAGE(OFFSET($H$3,0,0,'Données projet'!$E$13+1,1))</f>
        <v>292.57482726862594</v>
      </c>
      <c r="CZ80" s="62">
        <f t="shared" si="96"/>
        <v>283.48738729114024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2">
        <f t="shared" si="55"/>
        <v>822.20588134481159</v>
      </c>
      <c r="S81" s="62">
        <f ca="1">AVERAGE(OFFSET($R$3,0,0,'Données projet'!$E$9+1,1))-AVERAGE(OFFSET($H$3,0,0,'Données projet'!$E$9+1,1))</f>
        <v>428.8489304403459</v>
      </c>
      <c r="T81" s="62">
        <f t="shared" si="88"/>
        <v>247.01165577562966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2">
        <f t="shared" si="59"/>
        <v>884.50869632731633</v>
      </c>
      <c r="AN81" s="62">
        <f ca="1">AVERAGE(OFFSET($AM$3,0,0,'Données projet'!$E$10+1,1))-AVERAGE(OFFSET($H$3,0,0,'Données projet'!$E$10+1,1))</f>
        <v>475.47920969424894</v>
      </c>
      <c r="AO81" s="62">
        <f t="shared" si="90"/>
        <v>271.73544012419364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278.99999999999983</v>
      </c>
      <c r="BE81" s="14">
        <f>BD81*VLOOKUP('Données projet'!$B$11,Paramètres!$A$1:$I$89,3,0)*VLOOKUP('Données projet'!$B$11,Paramètres!$A$1:$I$89,5,0)</f>
        <v>204.56279999999987</v>
      </c>
      <c r="BF81" s="14">
        <f t="shared" si="91"/>
        <v>50.74561278586372</v>
      </c>
      <c r="BG81" s="22">
        <f t="shared" si="61"/>
        <v>444.66215226871242</v>
      </c>
      <c r="BH81" s="62">
        <f t="shared" si="62"/>
        <v>737.99548560204573</v>
      </c>
      <c r="BI81" s="62">
        <f ca="1">AVERAGE(OFFSET($BH$3,0,0,'Données projet'!$E$11+1,1))-AVERAGE(OFFSET($H$3,0,0,'Données projet'!$E$11+1,1))</f>
        <v>290.85271051443431</v>
      </c>
      <c r="BJ81" s="62">
        <f t="shared" si="92"/>
        <v>318.66958823451142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3.4</v>
      </c>
      <c r="BY81" s="13">
        <f>IF('Données projet'!$A$114&gt;35,BY80+BX81-CG80,IF(A81&lt;'Données projet'!$A$114,$BV$205^A81,IF(A81='Données projet'!$A$114,'Données projet'!$B$114,BY80+BX81-CG80)))</f>
        <v>139.19999999999999</v>
      </c>
      <c r="BZ81" s="14">
        <f>BY81*VLOOKUP('Données projet'!$B$12,Paramètres!$A$1:$I$89,3,0)*VLOOKUP('Données projet'!$B$12,Paramètres!$A$1:$I$89,5,0)</f>
        <v>134.63423999999998</v>
      </c>
      <c r="CA81" s="14">
        <f t="shared" si="93"/>
        <v>35.065003380589694</v>
      </c>
      <c r="CB81" s="22">
        <f t="shared" si="64"/>
        <v>295.55951555452697</v>
      </c>
      <c r="CC81" s="62">
        <f t="shared" si="65"/>
        <v>588.89284888786028</v>
      </c>
      <c r="CD81" s="62">
        <f ca="1">AVERAGE(OFFSET($CC$3,0,0,'Données projet'!$E$12+1,1))-AVERAGE(OFFSET($H$3,0,0,'Données projet'!$E$12+1,1))</f>
        <v>255.59755832175625</v>
      </c>
      <c r="CE81" s="62">
        <f t="shared" si="94"/>
        <v>154.0840647586964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2">
        <f t="shared" si="68"/>
        <v>293.33333333333582</v>
      </c>
      <c r="CY81" s="62">
        <f ca="1">AVERAGE(OFFSET($CX$3,0,0,'Données projet'!$E$13+1,1))-AVERAGE(OFFSET($H$3,0,0,'Données projet'!$E$13+1,1))</f>
        <v>292.57482726862594</v>
      </c>
      <c r="CZ81" s="62">
        <f t="shared" si="96"/>
        <v>283.48738729114024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2">
        <f t="shared" si="55"/>
        <v>833.68856409746058</v>
      </c>
      <c r="S82" s="62">
        <f ca="1">AVERAGE(OFFSET($R$3,0,0,'Données projet'!$E$9+1,1))-AVERAGE(OFFSET($H$3,0,0,'Données projet'!$E$9+1,1))</f>
        <v>428.8489304403459</v>
      </c>
      <c r="T82" s="62">
        <f t="shared" si="88"/>
        <v>247.01165577562966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2">
        <f t="shared" si="59"/>
        <v>897.34728231686381</v>
      </c>
      <c r="AN82" s="62">
        <f ca="1">AVERAGE(OFFSET($AM$3,0,0,'Données projet'!$E$10+1,1))-AVERAGE(OFFSET($H$3,0,0,'Données projet'!$E$10+1,1))</f>
        <v>475.47920969424894</v>
      </c>
      <c r="AO82" s="62">
        <f t="shared" si="90"/>
        <v>271.73544012419364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281.99999999999983</v>
      </c>
      <c r="BE82" s="14">
        <f>BD82*VLOOKUP('Données projet'!$B$11,Paramètres!$A$1:$I$89,3,0)*VLOOKUP('Données projet'!$B$11,Paramètres!$A$1:$I$89,5,0)</f>
        <v>206.76239999999987</v>
      </c>
      <c r="BF82" s="14">
        <f t="shared" si="91"/>
        <v>51.227450148013851</v>
      </c>
      <c r="BG82" s="22">
        <f t="shared" si="61"/>
        <v>449.33232234112387</v>
      </c>
      <c r="BH82" s="62">
        <f t="shared" si="62"/>
        <v>742.66565567445718</v>
      </c>
      <c r="BI82" s="62">
        <f ca="1">AVERAGE(OFFSET($BH$3,0,0,'Données projet'!$E$11+1,1))-AVERAGE(OFFSET($H$3,0,0,'Données projet'!$E$11+1,1))</f>
        <v>290.85271051443431</v>
      </c>
      <c r="BJ82" s="62">
        <f t="shared" si="92"/>
        <v>318.66958823451142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3.4</v>
      </c>
      <c r="BY82" s="13">
        <f>IF('Données projet'!$A$114&gt;35,BY81+BX82-CG81,IF(A82&lt;'Données projet'!$A$114,$BV$205^A82,IF(A82='Données projet'!$A$114,'Données projet'!$B$114,BY81+BX82-CG81)))</f>
        <v>142.6</v>
      </c>
      <c r="BZ82" s="14">
        <f>BY82*VLOOKUP('Données projet'!$B$12,Paramètres!$A$1:$I$89,3,0)*VLOOKUP('Données projet'!$B$12,Paramètres!$A$1:$I$89,5,0)</f>
        <v>137.92272</v>
      </c>
      <c r="CA82" s="14">
        <f t="shared" si="93"/>
        <v>35.82071658526872</v>
      </c>
      <c r="CB82" s="22">
        <f t="shared" si="64"/>
        <v>302.60315205267631</v>
      </c>
      <c r="CC82" s="62">
        <f t="shared" si="65"/>
        <v>595.93648538600962</v>
      </c>
      <c r="CD82" s="62">
        <f ca="1">AVERAGE(OFFSET($CC$3,0,0,'Données projet'!$E$12+1,1))-AVERAGE(OFFSET($H$3,0,0,'Données projet'!$E$12+1,1))</f>
        <v>255.59755832175625</v>
      </c>
      <c r="CE82" s="62">
        <f t="shared" si="94"/>
        <v>154.0840647586964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2">
        <f t="shared" si="68"/>
        <v>293.33333333333582</v>
      </c>
      <c r="CY82" s="62">
        <f ca="1">AVERAGE(OFFSET($CX$3,0,0,'Données projet'!$E$13+1,1))-AVERAGE(OFFSET($H$3,0,0,'Données projet'!$E$13+1,1))</f>
        <v>292.57482726862594</v>
      </c>
      <c r="CZ82" s="62">
        <f t="shared" si="96"/>
        <v>283.48738729114024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2">
        <f t="shared" si="55"/>
        <v>845.16612239513029</v>
      </c>
      <c r="S83" s="62">
        <f ca="1">AVERAGE(OFFSET($R$3,0,0,'Données projet'!$E$9+1,1))-AVERAGE(OFFSET($H$3,0,0,'Données projet'!$E$9+1,1))</f>
        <v>428.8489304403459</v>
      </c>
      <c r="T83" s="62">
        <f t="shared" si="88"/>
        <v>247.01165577562966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2">
        <f t="shared" si="59"/>
        <v>910.18020104887296</v>
      </c>
      <c r="AN83" s="62">
        <f ca="1">AVERAGE(OFFSET($AM$3,0,0,'Données projet'!$E$10+1,1))-AVERAGE(OFFSET($H$3,0,0,'Données projet'!$E$10+1,1))</f>
        <v>475.47920969424894</v>
      </c>
      <c r="AO83" s="62">
        <f t="shared" si="90"/>
        <v>271.73544012419364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285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284.99999999999983</v>
      </c>
      <c r="BE83" s="14">
        <f>BD83*VLOOKUP('Données projet'!$B$11,Paramètres!$A$1:$I$89,3,0)*VLOOKUP('Données projet'!$B$11,Paramètres!$A$1:$I$89,5,0)</f>
        <v>208.96199999999985</v>
      </c>
      <c r="BF83" s="14">
        <f t="shared" si="91"/>
        <v>51.708691209356381</v>
      </c>
      <c r="BG83" s="22">
        <f t="shared" si="61"/>
        <v>454.00145385629543</v>
      </c>
      <c r="BH83" s="62">
        <f t="shared" si="62"/>
        <v>747.33478718962874</v>
      </c>
      <c r="BI83" s="62">
        <f ca="1">AVERAGE(OFFSET($BH$3,0,0,'Données projet'!$E$11+1,1))-AVERAGE(OFFSET($H$3,0,0,'Données projet'!$E$11+1,1))</f>
        <v>290.85271051443431</v>
      </c>
      <c r="BJ83" s="62">
        <f t="shared" si="92"/>
        <v>318.66958823451142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285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146</v>
      </c>
      <c r="BW83" s="13">
        <f>VLOOKUP(A83,'Données projet'!$A$113:$I$133,9,0)</f>
        <v>3.4</v>
      </c>
      <c r="BX83" s="13">
        <f t="array" ref="BX83">INDEX(BW:BW,MIN(IF(ISNUMBER(BW83:BW279),ROW(BW83:BW279),"")))</f>
        <v>3.4</v>
      </c>
      <c r="BY83" s="13">
        <f>IF('Données projet'!$A$114&gt;35,BY82+BX83-CG82,IF(A83&lt;'Données projet'!$A$114,$BV$205^A83,IF(A83='Données projet'!$A$114,'Données projet'!$B$114,BY82+BX83-CG82)))</f>
        <v>146</v>
      </c>
      <c r="BZ83" s="14">
        <f>BY83*VLOOKUP('Données projet'!$B$12,Paramètres!$A$1:$I$89,3,0)*VLOOKUP('Données projet'!$B$12,Paramètres!$A$1:$I$89,5,0)</f>
        <v>141.21119999999999</v>
      </c>
      <c r="CA83" s="14">
        <f t="shared" si="93"/>
        <v>36.574335145278738</v>
      </c>
      <c r="CB83" s="22">
        <f t="shared" si="64"/>
        <v>309.64314037802711</v>
      </c>
      <c r="CC83" s="62">
        <f t="shared" si="65"/>
        <v>602.97647371136043</v>
      </c>
      <c r="CD83" s="62">
        <f ca="1">AVERAGE(OFFSET($CC$3,0,0,'Données projet'!$E$12+1,1))-AVERAGE(OFFSET($H$3,0,0,'Données projet'!$E$12+1,1))</f>
        <v>255.59755832175625</v>
      </c>
      <c r="CE83" s="62">
        <f t="shared" si="94"/>
        <v>154.0840647586964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2">
        <f t="shared" si="68"/>
        <v>293.33333333333582</v>
      </c>
      <c r="CY83" s="62">
        <f ca="1">AVERAGE(OFFSET($CX$3,0,0,'Données projet'!$E$13+1,1))-AVERAGE(OFFSET($H$3,0,0,'Données projet'!$E$13+1,1))</f>
        <v>292.57482726862594</v>
      </c>
      <c r="CZ83" s="62">
        <f t="shared" si="96"/>
        <v>283.48738729114024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2">
        <f t="shared" si="55"/>
        <v>775.45409146701161</v>
      </c>
      <c r="S84" s="62">
        <f ca="1">AVERAGE(OFFSET($R$3,0,0,'Données projet'!$E$9+1,1))-AVERAGE(OFFSET($H$3,0,0,'Données projet'!$E$9+1,1))</f>
        <v>428.8489304403459</v>
      </c>
      <c r="T84" s="62">
        <f t="shared" si="88"/>
        <v>247.01165577562966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2">
        <f t="shared" si="59"/>
        <v>832.2370162281502</v>
      </c>
      <c r="AN84" s="62">
        <f ca="1">AVERAGE(OFFSET($AM$3,0,0,'Données projet'!$E$10+1,1))-AVERAGE(OFFSET($H$3,0,0,'Données projet'!$E$10+1,1))</f>
        <v>475.47920969424894</v>
      </c>
      <c r="AO84" s="62">
        <f t="shared" si="90"/>
        <v>271.73544012419364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-1.7053025658242404E-13</v>
      </c>
      <c r="BE84" s="14">
        <f>BD84*VLOOKUP('Données projet'!$B$11,Paramètres!$A$1:$I$89,3,0)*VLOOKUP('Données projet'!$B$11,Paramètres!$A$1:$I$89,5,0)</f>
        <v>-1.250327841262333E-13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290.85271051443431</v>
      </c>
      <c r="BJ84" s="62">
        <f t="shared" si="92"/>
        <v>318.66958823451142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</v>
      </c>
      <c r="BY84" s="13">
        <f>IF('Données projet'!$A$114&gt;35,BY83+BX84-CG83,IF(A84&lt;'Données projet'!$A$114,$BV$205^A84,IF(A84='Données projet'!$A$114,'Données projet'!$B$114,BY83+BX84-CG83)))</f>
        <v>149</v>
      </c>
      <c r="BZ84" s="14">
        <f>BY84*VLOOKUP('Données projet'!$B$12,Paramètres!$A$1:$I$89,3,0)*VLOOKUP('Données projet'!$B$12,Paramètres!$A$1:$I$89,5,0)</f>
        <v>144.11279999999999</v>
      </c>
      <c r="CA84" s="14">
        <f t="shared" si="93"/>
        <v>37.237596662992502</v>
      </c>
      <c r="CB84" s="22">
        <f t="shared" si="64"/>
        <v>315.85194085471193</v>
      </c>
      <c r="CC84" s="62">
        <f t="shared" si="65"/>
        <v>609.18527418804524</v>
      </c>
      <c r="CD84" s="62">
        <f ca="1">AVERAGE(OFFSET($CC$3,0,0,'Données projet'!$E$12+1,1))-AVERAGE(OFFSET($H$3,0,0,'Données projet'!$E$12+1,1))</f>
        <v>255.59755832175625</v>
      </c>
      <c r="CE84" s="62">
        <f t="shared" si="94"/>
        <v>154.0840647586964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2">
        <f t="shared" si="68"/>
        <v>293.33333333333582</v>
      </c>
      <c r="CY84" s="62">
        <f ca="1">AVERAGE(OFFSET($CX$3,0,0,'Données projet'!$E$13+1,1))-AVERAGE(OFFSET($H$3,0,0,'Données projet'!$E$13+1,1))</f>
        <v>292.57482726862594</v>
      </c>
      <c r="CZ84" s="62">
        <f t="shared" si="96"/>
        <v>283.48738729114024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2">
        <f t="shared" si="55"/>
        <v>786.19217745579931</v>
      </c>
      <c r="S85" s="62">
        <f ca="1">AVERAGE(OFFSET($R$3,0,0,'Données projet'!$E$9+1,1))-AVERAGE(OFFSET($H$3,0,0,'Données projet'!$E$9+1,1))</f>
        <v>428.8489304403459</v>
      </c>
      <c r="T85" s="62">
        <f t="shared" si="88"/>
        <v>247.01165577562966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2">
        <f t="shared" si="59"/>
        <v>844.24282734876306</v>
      </c>
      <c r="AN85" s="62">
        <f ca="1">AVERAGE(OFFSET($AM$3,0,0,'Données projet'!$E$10+1,1))-AVERAGE(OFFSET($H$3,0,0,'Données projet'!$E$10+1,1))</f>
        <v>475.47920969424894</v>
      </c>
      <c r="AO85" s="62">
        <f t="shared" si="90"/>
        <v>271.73544012419364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-1.7053025658242404E-13</v>
      </c>
      <c r="BE85" s="14">
        <f>BD85*VLOOKUP('Données projet'!$B$11,Paramètres!$A$1:$I$89,3,0)*VLOOKUP('Données projet'!$B$11,Paramètres!$A$1:$I$89,5,0)</f>
        <v>-1.250327841262333E-13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290.85271051443431</v>
      </c>
      <c r="BJ85" s="62">
        <f t="shared" si="92"/>
        <v>318.66958823451142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</v>
      </c>
      <c r="BY85" s="13">
        <f>IF('Données projet'!$A$114&gt;35,BY84+BX85-CG84,IF(A85&lt;'Données projet'!$A$114,$BV$205^A85,IF(A85='Données projet'!$A$114,'Données projet'!$B$114,BY84+BX85-CG84)))</f>
        <v>152</v>
      </c>
      <c r="BZ85" s="14">
        <f>BY85*VLOOKUP('Données projet'!$B$12,Paramètres!$A$1:$I$89,3,0)*VLOOKUP('Données projet'!$B$12,Paramètres!$A$1:$I$89,5,0)</f>
        <v>147.01439999999999</v>
      </c>
      <c r="CA85" s="14">
        <f t="shared" si="93"/>
        <v>37.899305454176826</v>
      </c>
      <c r="CB85" s="22">
        <f t="shared" si="64"/>
        <v>322.05803699935797</v>
      </c>
      <c r="CC85" s="62">
        <f t="shared" si="65"/>
        <v>615.39137033269128</v>
      </c>
      <c r="CD85" s="62">
        <f ca="1">AVERAGE(OFFSET($CC$3,0,0,'Données projet'!$E$12+1,1))-AVERAGE(OFFSET($H$3,0,0,'Données projet'!$E$12+1,1))</f>
        <v>255.59755832175625</v>
      </c>
      <c r="CE85" s="62">
        <f t="shared" si="94"/>
        <v>154.0840647586964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2">
        <f t="shared" si="68"/>
        <v>293.33333333333582</v>
      </c>
      <c r="CY85" s="62">
        <f ca="1">AVERAGE(OFFSET($CX$3,0,0,'Données projet'!$E$13+1,1))-AVERAGE(OFFSET($H$3,0,0,'Données projet'!$E$13+1,1))</f>
        <v>292.57482726862594</v>
      </c>
      <c r="CZ85" s="62">
        <f t="shared" si="96"/>
        <v>283.48738729114024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2">
        <f t="shared" si="55"/>
        <v>796.92530469359974</v>
      </c>
      <c r="S86" s="62">
        <f ca="1">AVERAGE(OFFSET($R$3,0,0,'Données projet'!$E$9+1,1))-AVERAGE(OFFSET($H$3,0,0,'Données projet'!$E$9+1,1))</f>
        <v>428.8489304403459</v>
      </c>
      <c r="T86" s="62">
        <f t="shared" si="88"/>
        <v>247.01165577562966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2">
        <f t="shared" si="59"/>
        <v>856.24315446785226</v>
      </c>
      <c r="AN86" s="62">
        <f ca="1">AVERAGE(OFFSET($AM$3,0,0,'Données projet'!$E$10+1,1))-AVERAGE(OFFSET($H$3,0,0,'Données projet'!$E$10+1,1))</f>
        <v>475.47920969424894</v>
      </c>
      <c r="AO86" s="62">
        <f t="shared" si="90"/>
        <v>271.73544012419364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-1.7053025658242404E-13</v>
      </c>
      <c r="BE86" s="14">
        <f>BD86*VLOOKUP('Données projet'!$B$11,Paramètres!$A$1:$I$89,3,0)*VLOOKUP('Données projet'!$B$11,Paramètres!$A$1:$I$89,5,0)</f>
        <v>-1.250327841262333E-13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290.85271051443431</v>
      </c>
      <c r="BJ86" s="62">
        <f t="shared" si="92"/>
        <v>318.66958823451142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</v>
      </c>
      <c r="BY86" s="13">
        <f>IF('Données projet'!$A$114&gt;35,BY85+BX86-CG85,IF(A86&lt;'Données projet'!$A$114,$BV$205^A86,IF(A86='Données projet'!$A$114,'Données projet'!$B$114,BY85+BX86-CG85)))</f>
        <v>155</v>
      </c>
      <c r="BZ86" s="14">
        <f>BY86*VLOOKUP('Données projet'!$B$12,Paramètres!$A$1:$I$89,3,0)*VLOOKUP('Données projet'!$B$12,Paramètres!$A$1:$I$89,5,0)</f>
        <v>149.916</v>
      </c>
      <c r="CA86" s="14">
        <f t="shared" si="93"/>
        <v>38.559495697142914</v>
      </c>
      <c r="CB86" s="22">
        <f t="shared" si="64"/>
        <v>328.26148833919052</v>
      </c>
      <c r="CC86" s="62">
        <f t="shared" si="65"/>
        <v>621.59482167252384</v>
      </c>
      <c r="CD86" s="62">
        <f ca="1">AVERAGE(OFFSET($CC$3,0,0,'Données projet'!$E$12+1,1))-AVERAGE(OFFSET($H$3,0,0,'Données projet'!$E$12+1,1))</f>
        <v>255.59755832175625</v>
      </c>
      <c r="CE86" s="62">
        <f t="shared" si="94"/>
        <v>154.0840647586964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2">
        <f t="shared" si="68"/>
        <v>293.33333333333582</v>
      </c>
      <c r="CY86" s="62">
        <f ca="1">AVERAGE(OFFSET($CX$3,0,0,'Données projet'!$E$13+1,1))-AVERAGE(OFFSET($H$3,0,0,'Données projet'!$E$13+1,1))</f>
        <v>292.57482726862594</v>
      </c>
      <c r="CZ86" s="62">
        <f t="shared" si="96"/>
        <v>283.48738729114024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2">
        <f t="shared" si="55"/>
        <v>807.65359376827541</v>
      </c>
      <c r="S87" s="62">
        <f ca="1">AVERAGE(OFFSET($R$3,0,0,'Données projet'!$E$9+1,1))-AVERAGE(OFFSET($H$3,0,0,'Données projet'!$E$9+1,1))</f>
        <v>428.8489304403459</v>
      </c>
      <c r="T87" s="62">
        <f t="shared" si="88"/>
        <v>247.01165577562966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2">
        <f t="shared" si="59"/>
        <v>868.23813094642423</v>
      </c>
      <c r="AN87" s="62">
        <f ca="1">AVERAGE(OFFSET($AM$3,0,0,'Données projet'!$E$10+1,1))-AVERAGE(OFFSET($H$3,0,0,'Données projet'!$E$10+1,1))</f>
        <v>475.47920969424894</v>
      </c>
      <c r="AO87" s="62">
        <f t="shared" si="90"/>
        <v>271.73544012419364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-1.7053025658242404E-13</v>
      </c>
      <c r="BE87" s="14">
        <f>BD87*VLOOKUP('Données projet'!$B$11,Paramètres!$A$1:$I$89,3,0)*VLOOKUP('Données projet'!$B$11,Paramètres!$A$1:$I$89,5,0)</f>
        <v>-1.250327841262333E-13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290.85271051443431</v>
      </c>
      <c r="BJ87" s="62">
        <f t="shared" si="92"/>
        <v>318.66958823451142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</v>
      </c>
      <c r="BY87" s="13">
        <f>IF('Données projet'!$A$114&gt;35,BY86+BX87-CG86,IF(A87&lt;'Données projet'!$A$114,$BV$205^A87,IF(A87='Données projet'!$A$114,'Données projet'!$B$114,BY86+BX87-CG86)))</f>
        <v>158</v>
      </c>
      <c r="BZ87" s="14">
        <f>BY87*VLOOKUP('Données projet'!$B$12,Paramètres!$A$1:$I$89,3,0)*VLOOKUP('Données projet'!$B$12,Paramètres!$A$1:$I$89,5,0)</f>
        <v>152.8176</v>
      </c>
      <c r="CA87" s="14">
        <f t="shared" si="93"/>
        <v>39.218200171484227</v>
      </c>
      <c r="CB87" s="22">
        <f t="shared" si="64"/>
        <v>334.46235196533502</v>
      </c>
      <c r="CC87" s="62">
        <f t="shared" si="65"/>
        <v>627.79568529866833</v>
      </c>
      <c r="CD87" s="62">
        <f ca="1">AVERAGE(OFFSET($CC$3,0,0,'Données projet'!$E$12+1,1))-AVERAGE(OFFSET($H$3,0,0,'Données projet'!$E$12+1,1))</f>
        <v>255.59755832175625</v>
      </c>
      <c r="CE87" s="62">
        <f t="shared" si="94"/>
        <v>154.0840647586964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2">
        <f t="shared" si="68"/>
        <v>293.33333333333582</v>
      </c>
      <c r="CY87" s="62">
        <f ca="1">AVERAGE(OFFSET($CX$3,0,0,'Données projet'!$E$13+1,1))-AVERAGE(OFFSET($H$3,0,0,'Données projet'!$E$13+1,1))</f>
        <v>292.57482726862594</v>
      </c>
      <c r="CZ87" s="62">
        <f t="shared" si="96"/>
        <v>283.48738729114024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2">
        <f t="shared" si="55"/>
        <v>818.37715982660688</v>
      </c>
      <c r="S88" s="62">
        <f ca="1">AVERAGE(OFFSET($R$3,0,0,'Données projet'!$E$9+1,1))-AVERAGE(OFFSET($H$3,0,0,'Données projet'!$E$9+1,1))</f>
        <v>428.8489304403459</v>
      </c>
      <c r="T88" s="62">
        <f t="shared" si="88"/>
        <v>247.01165577562966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2">
        <f t="shared" si="59"/>
        <v>880.22788412806244</v>
      </c>
      <c r="AN88" s="62">
        <f ca="1">AVERAGE(OFFSET($AM$3,0,0,'Données projet'!$E$10+1,1))-AVERAGE(OFFSET($H$3,0,0,'Données projet'!$E$10+1,1))</f>
        <v>475.47920969424894</v>
      </c>
      <c r="AO88" s="62">
        <f t="shared" si="90"/>
        <v>271.73544012419364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-1.7053025658242404E-13</v>
      </c>
      <c r="BE88" s="14">
        <f>BD88*VLOOKUP('Données projet'!$B$11,Paramètres!$A$1:$I$89,3,0)*VLOOKUP('Données projet'!$B$11,Paramètres!$A$1:$I$89,5,0)</f>
        <v>-1.250327841262333E-13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290.85271051443431</v>
      </c>
      <c r="BJ88" s="62">
        <f t="shared" si="92"/>
        <v>318.66958823451142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161</v>
      </c>
      <c r="BW88" s="13">
        <f>VLOOKUP(A88,'Données projet'!$A$113:$I$133,9,0)</f>
        <v>3</v>
      </c>
      <c r="BX88" s="13">
        <f t="array" ref="BX88">INDEX(BW:BW,MIN(IF(ISNUMBER(BW88:BW284),ROW(BW88:BW284),"")))</f>
        <v>3</v>
      </c>
      <c r="BY88" s="13">
        <f>IF('Données projet'!$A$114&gt;35,BY87+BX88-CG87,IF(A88&lt;'Données projet'!$A$114,$BV$205^A88,IF(A88='Données projet'!$A$114,'Données projet'!$B$114,BY87+BX88-CG87)))</f>
        <v>161</v>
      </c>
      <c r="BZ88" s="14">
        <f>BY88*VLOOKUP('Données projet'!$B$12,Paramètres!$A$1:$I$89,3,0)*VLOOKUP('Données projet'!$B$12,Paramètres!$A$1:$I$89,5,0)</f>
        <v>155.7192</v>
      </c>
      <c r="CA88" s="14">
        <f t="shared" si="93"/>
        <v>39.875450340770094</v>
      </c>
      <c r="CB88" s="22">
        <f t="shared" si="64"/>
        <v>340.66068267684119</v>
      </c>
      <c r="CC88" s="62">
        <f t="shared" si="65"/>
        <v>633.99401601017451</v>
      </c>
      <c r="CD88" s="62">
        <f ca="1">AVERAGE(OFFSET($CC$3,0,0,'Données projet'!$E$12+1,1))-AVERAGE(OFFSET($H$3,0,0,'Données projet'!$E$12+1,1))</f>
        <v>255.59755832175625</v>
      </c>
      <c r="CE88" s="62">
        <f t="shared" si="94"/>
        <v>154.0840647586964</v>
      </c>
      <c r="CF88" s="16">
        <f>IF(ISNA(VLOOKUP(A88,'Données projet'!$A$113:$I$133,3,0)),0,VLOOKUP(A88,'Données projet'!$A$113:$I$133,3,0))</f>
        <v>6</v>
      </c>
      <c r="CG88" s="16">
        <f>IF(ISNA(VLOOKUP(A88,'Données projet'!$A$113:$I$133,4,0)),0,VLOOKUP(A88,'Données projet'!$A$113:$I$133,4,0))</f>
        <v>18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2">
        <f t="shared" si="68"/>
        <v>293.33333333333582</v>
      </c>
      <c r="CY88" s="62">
        <f ca="1">AVERAGE(OFFSET($CX$3,0,0,'Données projet'!$E$13+1,1))-AVERAGE(OFFSET($H$3,0,0,'Données projet'!$E$13+1,1))</f>
        <v>292.57482726862594</v>
      </c>
      <c r="CZ88" s="62">
        <f t="shared" si="96"/>
        <v>283.48738729114024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2">
        <f t="shared" si="55"/>
        <v>829.09611292828231</v>
      </c>
      <c r="S89" s="62">
        <f ca="1">AVERAGE(OFFSET($R$3,0,0,'Données projet'!$E$9+1,1))-AVERAGE(OFFSET($H$3,0,0,'Données projet'!$E$9+1,1))</f>
        <v>428.8489304403459</v>
      </c>
      <c r="T89" s="62">
        <f t="shared" si="88"/>
        <v>247.01165577562966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2">
        <f t="shared" si="59"/>
        <v>892.21253573041304</v>
      </c>
      <c r="AN89" s="62">
        <f ca="1">AVERAGE(OFFSET($AM$3,0,0,'Données projet'!$E$10+1,1))-AVERAGE(OFFSET($H$3,0,0,'Données projet'!$E$10+1,1))</f>
        <v>475.47920969424894</v>
      </c>
      <c r="AO89" s="62">
        <f t="shared" si="90"/>
        <v>271.73544012419364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-1.7053025658242404E-13</v>
      </c>
      <c r="BE89" s="14">
        <f>BD89*VLOOKUP('Données projet'!$B$11,Paramètres!$A$1:$I$89,3,0)*VLOOKUP('Données projet'!$B$11,Paramètres!$A$1:$I$89,5,0)</f>
        <v>-1.250327841262333E-13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290.85271051443431</v>
      </c>
      <c r="BJ89" s="62">
        <f t="shared" si="92"/>
        <v>318.66958823451142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3.2</v>
      </c>
      <c r="BY89" s="13">
        <f>IF('Données projet'!$A$114&gt;35,BY88+BX89-CG88,IF(A89&lt;'Données projet'!$A$114,$BV$205^A89,IF(A89='Données projet'!$A$114,'Données projet'!$B$114,BY88+BX89-CG88)))</f>
        <v>146.19999999999999</v>
      </c>
      <c r="BZ89" s="14">
        <f>BY89*VLOOKUP('Données projet'!$B$12,Paramètres!$A$1:$I$89,3,0)*VLOOKUP('Données projet'!$B$12,Paramètres!$A$1:$I$89,5,0)</f>
        <v>141.40464</v>
      </c>
      <c r="CA89" s="14">
        <f t="shared" si="93"/>
        <v>36.618601593681802</v>
      </c>
      <c r="CB89" s="22">
        <f t="shared" si="64"/>
        <v>310.05714577566249</v>
      </c>
      <c r="CC89" s="62">
        <f t="shared" si="65"/>
        <v>603.39047910899581</v>
      </c>
      <c r="CD89" s="62">
        <f ca="1">AVERAGE(OFFSET($CC$3,0,0,'Données projet'!$E$12+1,1))-AVERAGE(OFFSET($H$3,0,0,'Données projet'!$E$12+1,1))</f>
        <v>255.59755832175625</v>
      </c>
      <c r="CE89" s="62">
        <f t="shared" si="94"/>
        <v>154.0840647586964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2">
        <f t="shared" si="68"/>
        <v>293.33333333333582</v>
      </c>
      <c r="CY89" s="62">
        <f ca="1">AVERAGE(OFFSET($CX$3,0,0,'Données projet'!$E$13+1,1))-AVERAGE(OFFSET($H$3,0,0,'Données projet'!$E$13+1,1))</f>
        <v>292.57482726862594</v>
      </c>
      <c r="CZ89" s="62">
        <f t="shared" si="96"/>
        <v>283.48738729114024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2">
        <f t="shared" si="55"/>
        <v>839.81055837008694</v>
      </c>
      <c r="S90" s="62">
        <f ca="1">AVERAGE(OFFSET($R$3,0,0,'Données projet'!$E$9+1,1))-AVERAGE(OFFSET($H$3,0,0,'Données projet'!$E$9+1,1))</f>
        <v>428.8489304403459</v>
      </c>
      <c r="T90" s="62">
        <f t="shared" si="88"/>
        <v>247.01165577562966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2">
        <f t="shared" si="59"/>
        <v>904.19220220371358</v>
      </c>
      <c r="AN90" s="62">
        <f ca="1">AVERAGE(OFFSET($AM$3,0,0,'Données projet'!$E$10+1,1))-AVERAGE(OFFSET($H$3,0,0,'Données projet'!$E$10+1,1))</f>
        <v>475.47920969424894</v>
      </c>
      <c r="AO90" s="62">
        <f t="shared" si="90"/>
        <v>271.73544012419364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-1.7053025658242404E-13</v>
      </c>
      <c r="BE90" s="14">
        <f>BD90*VLOOKUP('Données projet'!$B$11,Paramètres!$A$1:$I$89,3,0)*VLOOKUP('Données projet'!$B$11,Paramètres!$A$1:$I$89,5,0)</f>
        <v>-1.250327841262333E-13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290.85271051443431</v>
      </c>
      <c r="BJ90" s="62">
        <f t="shared" si="92"/>
        <v>318.66958823451142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3.2</v>
      </c>
      <c r="BY90" s="13">
        <f>IF('Données projet'!$A$114&gt;35,BY89+BX90-CG89,IF(A90&lt;'Données projet'!$A$114,$BV$205^A90,IF(A90='Données projet'!$A$114,'Données projet'!$B$114,BY89+BX90-CG89)))</f>
        <v>149.39999999999998</v>
      </c>
      <c r="BZ90" s="14">
        <f>BY90*VLOOKUP('Données projet'!$B$12,Paramètres!$A$1:$I$89,3,0)*VLOOKUP('Données projet'!$B$12,Paramètres!$A$1:$I$89,5,0)</f>
        <v>144.49967999999998</v>
      </c>
      <c r="CA90" s="14">
        <f t="shared" si="93"/>
        <v>37.325913454134138</v>
      </c>
      <c r="CB90" s="22">
        <f t="shared" si="64"/>
        <v>316.67957526595023</v>
      </c>
      <c r="CC90" s="62">
        <f t="shared" si="65"/>
        <v>610.01290859928349</v>
      </c>
      <c r="CD90" s="62">
        <f ca="1">AVERAGE(OFFSET($CC$3,0,0,'Données projet'!$E$12+1,1))-AVERAGE(OFFSET($H$3,0,0,'Données projet'!$E$12+1,1))</f>
        <v>255.59755832175625</v>
      </c>
      <c r="CE90" s="62">
        <f t="shared" si="94"/>
        <v>154.0840647586964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2">
        <f t="shared" si="68"/>
        <v>293.33333333333582</v>
      </c>
      <c r="CY90" s="62">
        <f ca="1">AVERAGE(OFFSET($CX$3,0,0,'Données projet'!$E$13+1,1))-AVERAGE(OFFSET($H$3,0,0,'Données projet'!$E$13+1,1))</f>
        <v>292.57482726862594</v>
      </c>
      <c r="CZ90" s="62">
        <f t="shared" si="96"/>
        <v>283.48738729114024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2">
        <f t="shared" si="55"/>
        <v>850.52059698334892</v>
      </c>
      <c r="S91" s="62">
        <f ca="1">AVERAGE(OFFSET($R$3,0,0,'Données projet'!$E$9+1,1))-AVERAGE(OFFSET($H$3,0,0,'Données projet'!$E$9+1,1))</f>
        <v>428.8489304403459</v>
      </c>
      <c r="T91" s="62">
        <f t="shared" si="88"/>
        <v>247.01165577562966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2">
        <f t="shared" si="59"/>
        <v>916.16699505974566</v>
      </c>
      <c r="AN91" s="62">
        <f ca="1">AVERAGE(OFFSET($AM$3,0,0,'Données projet'!$E$10+1,1))-AVERAGE(OFFSET($H$3,0,0,'Données projet'!$E$10+1,1))</f>
        <v>475.47920969424894</v>
      </c>
      <c r="AO91" s="62">
        <f t="shared" si="90"/>
        <v>271.73544012419364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-1.7053025658242404E-13</v>
      </c>
      <c r="BE91" s="14">
        <f>BD91*VLOOKUP('Données projet'!$B$11,Paramètres!$A$1:$I$89,3,0)*VLOOKUP('Données projet'!$B$11,Paramètres!$A$1:$I$89,5,0)</f>
        <v>-1.250327841262333E-13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290.85271051443431</v>
      </c>
      <c r="BJ91" s="62">
        <f t="shared" si="92"/>
        <v>318.66958823451142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3.2</v>
      </c>
      <c r="BY91" s="13">
        <f>IF('Données projet'!$A$114&gt;35,BY90+BX91-CG90,IF(A91&lt;'Données projet'!$A$114,$BV$205^A91,IF(A91='Données projet'!$A$114,'Données projet'!$B$114,BY90+BX91-CG90)))</f>
        <v>152.59999999999997</v>
      </c>
      <c r="BZ91" s="14">
        <f>BY91*VLOOKUP('Données projet'!$B$12,Paramètres!$A$1:$I$89,3,0)*VLOOKUP('Données projet'!$B$12,Paramètres!$A$1:$I$89,5,0)</f>
        <v>147.59471999999997</v>
      </c>
      <c r="CA91" s="14">
        <f t="shared" si="93"/>
        <v>38.031463918082679</v>
      </c>
      <c r="CB91" s="22">
        <f t="shared" si="64"/>
        <v>323.29893699066059</v>
      </c>
      <c r="CC91" s="62">
        <f t="shared" si="65"/>
        <v>616.63227032399391</v>
      </c>
      <c r="CD91" s="62">
        <f ca="1">AVERAGE(OFFSET($CC$3,0,0,'Données projet'!$E$12+1,1))-AVERAGE(OFFSET($H$3,0,0,'Données projet'!$E$12+1,1))</f>
        <v>255.59755832175625</v>
      </c>
      <c r="CE91" s="62">
        <f t="shared" si="94"/>
        <v>154.0840647586964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2">
        <f t="shared" si="68"/>
        <v>293.33333333333582</v>
      </c>
      <c r="CY91" s="62">
        <f ca="1">AVERAGE(OFFSET($CX$3,0,0,'Données projet'!$E$13+1,1))-AVERAGE(OFFSET($H$3,0,0,'Données projet'!$E$13+1,1))</f>
        <v>292.57482726862594</v>
      </c>
      <c r="CZ91" s="62">
        <f t="shared" si="96"/>
        <v>283.48738729114024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2">
        <f t="shared" si="55"/>
        <v>861.22632540732775</v>
      </c>
      <c r="S92" s="62">
        <f ca="1">AVERAGE(OFFSET($R$3,0,0,'Données projet'!$E$9+1,1))-AVERAGE(OFFSET($H$3,0,0,'Données projet'!$E$9+1,1))</f>
        <v>428.8489304403459</v>
      </c>
      <c r="T92" s="62">
        <f t="shared" si="88"/>
        <v>247.01165577562966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2">
        <f t="shared" si="59"/>
        <v>928.13702117418165</v>
      </c>
      <c r="AN92" s="62">
        <f ca="1">AVERAGE(OFFSET($AM$3,0,0,'Données projet'!$E$10+1,1))-AVERAGE(OFFSET($H$3,0,0,'Données projet'!$E$10+1,1))</f>
        <v>475.47920969424894</v>
      </c>
      <c r="AO92" s="62">
        <f t="shared" si="90"/>
        <v>271.73544012419364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-1.7053025658242404E-13</v>
      </c>
      <c r="BE92" s="14">
        <f>BD92*VLOOKUP('Données projet'!$B$11,Paramètres!$A$1:$I$89,3,0)*VLOOKUP('Données projet'!$B$11,Paramètres!$A$1:$I$89,5,0)</f>
        <v>-1.250327841262333E-13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290.85271051443431</v>
      </c>
      <c r="BJ92" s="62">
        <f t="shared" si="92"/>
        <v>318.66958823451142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3.2</v>
      </c>
      <c r="BY92" s="13">
        <f>IF('Données projet'!$A$114&gt;35,BY91+BX92-CG91,IF(A92&lt;'Données projet'!$A$114,$BV$205^A92,IF(A92='Données projet'!$A$114,'Données projet'!$B$114,BY91+BX92-CG91)))</f>
        <v>155.79999999999995</v>
      </c>
      <c r="BZ92" s="14">
        <f>BY92*VLOOKUP('Données projet'!$B$12,Paramètres!$A$1:$I$89,3,0)*VLOOKUP('Données projet'!$B$12,Paramètres!$A$1:$I$89,5,0)</f>
        <v>150.68975999999998</v>
      </c>
      <c r="CA92" s="14">
        <f t="shared" si="93"/>
        <v>38.735294176946205</v>
      </c>
      <c r="CB92" s="22">
        <f t="shared" si="64"/>
        <v>329.91530269151457</v>
      </c>
      <c r="CC92" s="62">
        <f t="shared" si="65"/>
        <v>623.24863602484788</v>
      </c>
      <c r="CD92" s="62">
        <f ca="1">AVERAGE(OFFSET($CC$3,0,0,'Données projet'!$E$12+1,1))-AVERAGE(OFFSET($H$3,0,0,'Données projet'!$E$12+1,1))</f>
        <v>255.59755832175625</v>
      </c>
      <c r="CE92" s="62">
        <f t="shared" si="94"/>
        <v>154.0840647586964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2">
        <f t="shared" si="68"/>
        <v>293.33333333333582</v>
      </c>
      <c r="CY92" s="62">
        <f ca="1">AVERAGE(OFFSET($CX$3,0,0,'Données projet'!$E$13+1,1))-AVERAGE(OFFSET($H$3,0,0,'Données projet'!$E$13+1,1))</f>
        <v>292.57482726862594</v>
      </c>
      <c r="CZ92" s="62">
        <f t="shared" si="96"/>
        <v>283.48738729114024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871.92783634092143</v>
      </c>
      <c r="S93" s="62">
        <f ca="1">AVERAGE(OFFSET($R$3,0,0,'Données projet'!$E$9+1,1))-AVERAGE(OFFSET($H$3,0,0,'Données projet'!$E$9+1,1))</f>
        <v>428.8489304403459</v>
      </c>
      <c r="T93" s="62">
        <f t="shared" si="88"/>
        <v>247.01165577562966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2">
        <f t="shared" si="59"/>
        <v>940.10238306495398</v>
      </c>
      <c r="AN93" s="62">
        <f ca="1">AVERAGE(OFFSET($AM$3,0,0,'Données projet'!$E$10+1,1))-AVERAGE(OFFSET($H$3,0,0,'Données projet'!$E$10+1,1))</f>
        <v>475.47920969424894</v>
      </c>
      <c r="AO93" s="62">
        <f t="shared" si="90"/>
        <v>271.73544012419364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-1.7053025658242404E-13</v>
      </c>
      <c r="BE93" s="14">
        <f>BD93*VLOOKUP('Données projet'!$B$11,Paramètres!$A$1:$I$89,3,0)*VLOOKUP('Données projet'!$B$11,Paramètres!$A$1:$I$89,5,0)</f>
        <v>-1.250327841262333E-13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290.85271051443431</v>
      </c>
      <c r="BJ93" s="62">
        <f t="shared" si="92"/>
        <v>318.66958823451142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159</v>
      </c>
      <c r="BW93" s="13">
        <f>VLOOKUP(A93,'Données projet'!$A$113:$I$133,9,0)</f>
        <v>3.2</v>
      </c>
      <c r="BX93" s="13">
        <f t="array" ref="BX93">INDEX(BW:BW,MIN(IF(ISNUMBER(BW93:BW289),ROW(BW93:BW289),"")))</f>
        <v>3.2</v>
      </c>
      <c r="BY93" s="13">
        <f>IF('Données projet'!$A$114&gt;35,BY92+BX93-CG92,IF(A93&lt;'Données projet'!$A$114,$BV$205^A93,IF(A93='Données projet'!$A$114,'Données projet'!$B$114,BY92+BX93-CG92)))</f>
        <v>158.99999999999994</v>
      </c>
      <c r="BZ93" s="14">
        <f>BY93*VLOOKUP('Données projet'!$B$12,Paramètres!$A$1:$I$89,3,0)*VLOOKUP('Données projet'!$B$12,Paramètres!$A$1:$I$89,5,0)</f>
        <v>153.78479999999996</v>
      </c>
      <c r="CA93" s="14">
        <f t="shared" si="93"/>
        <v>39.437443633352295</v>
      </c>
      <c r="CB93" s="22">
        <f t="shared" si="64"/>
        <v>336.5287409947552</v>
      </c>
      <c r="CC93" s="62">
        <f t="shared" si="65"/>
        <v>629.86207432808851</v>
      </c>
      <c r="CD93" s="62">
        <f ca="1">AVERAGE(OFFSET($CC$3,0,0,'Données projet'!$E$12+1,1))-AVERAGE(OFFSET($H$3,0,0,'Données projet'!$E$12+1,1))</f>
        <v>255.59755832175625</v>
      </c>
      <c r="CE93" s="62">
        <f t="shared" si="94"/>
        <v>154.0840647586964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2">
        <f t="shared" si="68"/>
        <v>293.33333333333582</v>
      </c>
      <c r="CY93" s="62">
        <f ca="1">AVERAGE(OFFSET($CX$3,0,0,'Données projet'!$E$13+1,1))-AVERAGE(OFFSET($H$3,0,0,'Données projet'!$E$13+1,1))</f>
        <v>292.57482726862594</v>
      </c>
      <c r="CZ93" s="62">
        <f t="shared" si="96"/>
        <v>283.48738729114024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2">
        <f t="shared" si="55"/>
        <v>800.94897376928998</v>
      </c>
      <c r="S94" s="62">
        <f ca="1">AVERAGE(OFFSET($R$3,0,0,'Données projet'!$E$9+1,1))-AVERAGE(OFFSET($H$3,0,0,'Données projet'!$E$9+1,1))</f>
        <v>428.8489304403459</v>
      </c>
      <c r="T94" s="62">
        <f t="shared" si="88"/>
        <v>247.01165577562966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2">
        <f t="shared" si="59"/>
        <v>860.74189070867442</v>
      </c>
      <c r="AN94" s="62">
        <f ca="1">AVERAGE(OFFSET($AM$3,0,0,'Données projet'!$E$10+1,1))-AVERAGE(OFFSET($H$3,0,0,'Données projet'!$E$10+1,1))</f>
        <v>475.47920969424894</v>
      </c>
      <c r="AO94" s="62">
        <f t="shared" si="90"/>
        <v>271.73544012419364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-1.250327841262333E-13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290.85271051443431</v>
      </c>
      <c r="BJ94" s="62">
        <f t="shared" si="92"/>
        <v>318.66958823451142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2.8</v>
      </c>
      <c r="BY94" s="13">
        <f>IF('Données projet'!$A$114&gt;35,BY93+BX94-CG93,IF(A94&lt;'Données projet'!$A$114,$BV$205^A94,IF(A94='Données projet'!$A$114,'Données projet'!$B$114,BY93+BX94-CG93)))</f>
        <v>161.79999999999995</v>
      </c>
      <c r="BZ94" s="14">
        <f>BY94*VLOOKUP('Données projet'!$B$12,Paramètres!$A$1:$I$89,3,0)*VLOOKUP('Données projet'!$B$12,Paramètres!$A$1:$I$89,5,0)</f>
        <v>156.49295999999995</v>
      </c>
      <c r="CA94" s="14">
        <f t="shared" si="93"/>
        <v>40.050475321231751</v>
      </c>
      <c r="CB94" s="22">
        <f t="shared" si="64"/>
        <v>342.31314985114523</v>
      </c>
      <c r="CC94" s="62">
        <f t="shared" si="65"/>
        <v>635.64648318447848</v>
      </c>
      <c r="CD94" s="62">
        <f ca="1">AVERAGE(OFFSET($CC$3,0,0,'Données projet'!$E$12+1,1))-AVERAGE(OFFSET($H$3,0,0,'Données projet'!$E$12+1,1))</f>
        <v>255.59755832175625</v>
      </c>
      <c r="CE94" s="62">
        <f t="shared" si="94"/>
        <v>154.0840647586964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2">
        <f t="shared" si="68"/>
        <v>293.33333333333582</v>
      </c>
      <c r="CY94" s="62">
        <f ca="1">AVERAGE(OFFSET($CX$3,0,0,'Données projet'!$E$13+1,1))-AVERAGE(OFFSET($H$3,0,0,'Données projet'!$E$13+1,1))</f>
        <v>292.57482726862594</v>
      </c>
      <c r="CZ94" s="62">
        <f t="shared" si="96"/>
        <v>283.48738729114024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2">
        <f t="shared" si="55"/>
        <v>810.33492368208931</v>
      </c>
      <c r="S95" s="62">
        <f ca="1">AVERAGE(OFFSET($R$3,0,0,'Données projet'!$E$9+1,1))-AVERAGE(OFFSET($H$3,0,0,'Données projet'!$E$9+1,1))</f>
        <v>428.8489304403459</v>
      </c>
      <c r="T95" s="62">
        <f t="shared" si="88"/>
        <v>247.01165577562966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2">
        <f t="shared" si="59"/>
        <v>871.23605407804735</v>
      </c>
      <c r="AN95" s="62">
        <f ca="1">AVERAGE(OFFSET($AM$3,0,0,'Données projet'!$E$10+1,1))-AVERAGE(OFFSET($H$3,0,0,'Données projet'!$E$10+1,1))</f>
        <v>475.47920969424894</v>
      </c>
      <c r="AO95" s="62">
        <f t="shared" si="90"/>
        <v>271.73544012419364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-1.250327841262333E-13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290.85271051443431</v>
      </c>
      <c r="BJ95" s="62">
        <f t="shared" si="92"/>
        <v>318.66958823451142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2.8</v>
      </c>
      <c r="BY95" s="13">
        <f>IF('Données projet'!$A$114&gt;35,BY94+BX95-CG94,IF(A95&lt;'Données projet'!$A$114,$BV$205^A95,IF(A95='Données projet'!$A$114,'Données projet'!$B$114,BY94+BX95-CG94)))</f>
        <v>164.59999999999997</v>
      </c>
      <c r="BZ95" s="14">
        <f>BY95*VLOOKUP('Données projet'!$B$12,Paramètres!$A$1:$I$89,3,0)*VLOOKUP('Données projet'!$B$12,Paramètres!$A$1:$I$89,5,0)</f>
        <v>159.20111999999997</v>
      </c>
      <c r="CA95" s="14">
        <f t="shared" si="93"/>
        <v>40.662273333437703</v>
      </c>
      <c r="CB95" s="22">
        <f t="shared" si="64"/>
        <v>348.09541005573732</v>
      </c>
      <c r="CC95" s="62">
        <f t="shared" si="65"/>
        <v>641.42874338907063</v>
      </c>
      <c r="CD95" s="62">
        <f ca="1">AVERAGE(OFFSET($CC$3,0,0,'Données projet'!$E$12+1,1))-AVERAGE(OFFSET($H$3,0,0,'Données projet'!$E$12+1,1))</f>
        <v>255.59755832175625</v>
      </c>
      <c r="CE95" s="62">
        <f t="shared" si="94"/>
        <v>154.0840647586964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2">
        <f t="shared" si="68"/>
        <v>293.33333333333582</v>
      </c>
      <c r="CY95" s="62">
        <f ca="1">AVERAGE(OFFSET($CX$3,0,0,'Données projet'!$E$13+1,1))-AVERAGE(OFFSET($H$3,0,0,'Données projet'!$E$13+1,1))</f>
        <v>292.57482726862594</v>
      </c>
      <c r="CZ95" s="62">
        <f t="shared" si="96"/>
        <v>283.48738729114024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2">
        <f t="shared" si="55"/>
        <v>819.71727903145597</v>
      </c>
      <c r="S96" s="62">
        <f ca="1">AVERAGE(OFFSET($R$3,0,0,'Données projet'!$E$9+1,1))-AVERAGE(OFFSET($H$3,0,0,'Données projet'!$E$9+1,1))</f>
        <v>428.8489304403459</v>
      </c>
      <c r="T96" s="62">
        <f t="shared" si="88"/>
        <v>247.01165577562966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2">
        <f t="shared" si="59"/>
        <v>881.72624213359745</v>
      </c>
      <c r="AN96" s="62">
        <f ca="1">AVERAGE(OFFSET($AM$3,0,0,'Données projet'!$E$10+1,1))-AVERAGE(OFFSET($H$3,0,0,'Données projet'!$E$10+1,1))</f>
        <v>475.47920969424894</v>
      </c>
      <c r="AO96" s="62">
        <f t="shared" si="90"/>
        <v>271.73544012419364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-1.250327841262333E-13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290.85271051443431</v>
      </c>
      <c r="BJ96" s="62">
        <f t="shared" si="92"/>
        <v>318.66958823451142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2.8</v>
      </c>
      <c r="BY96" s="13">
        <f>IF('Données projet'!$A$114&gt;35,BY95+BX96-CG95,IF(A96&lt;'Données projet'!$A$114,$BV$205^A96,IF(A96='Données projet'!$A$114,'Données projet'!$B$114,BY95+BX96-CG95)))</f>
        <v>167.39999999999998</v>
      </c>
      <c r="BZ96" s="14">
        <f>BY96*VLOOKUP('Données projet'!$B$12,Paramètres!$A$1:$I$89,3,0)*VLOOKUP('Données projet'!$B$12,Paramètres!$A$1:$I$89,5,0)</f>
        <v>161.90927999999997</v>
      </c>
      <c r="CA96" s="14">
        <f t="shared" si="93"/>
        <v>41.272861077810653</v>
      </c>
      <c r="CB96" s="22">
        <f t="shared" si="64"/>
        <v>353.87556237718678</v>
      </c>
      <c r="CC96" s="62">
        <f t="shared" si="65"/>
        <v>647.2088957105201</v>
      </c>
      <c r="CD96" s="62">
        <f ca="1">AVERAGE(OFFSET($CC$3,0,0,'Données projet'!$E$12+1,1))-AVERAGE(OFFSET($H$3,0,0,'Données projet'!$E$12+1,1))</f>
        <v>255.59755832175625</v>
      </c>
      <c r="CE96" s="62">
        <f t="shared" si="94"/>
        <v>154.0840647586964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2">
        <f t="shared" si="68"/>
        <v>293.33333333333582</v>
      </c>
      <c r="CY96" s="62">
        <f ca="1">AVERAGE(OFFSET($CX$3,0,0,'Données projet'!$E$13+1,1))-AVERAGE(OFFSET($H$3,0,0,'Données projet'!$E$13+1,1))</f>
        <v>292.57482726862594</v>
      </c>
      <c r="CZ96" s="62">
        <f t="shared" si="96"/>
        <v>283.48738729114024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2">
        <f t="shared" si="55"/>
        <v>829.09611292828231</v>
      </c>
      <c r="S97" s="62">
        <f ca="1">AVERAGE(OFFSET($R$3,0,0,'Données projet'!$E$9+1,1))-AVERAGE(OFFSET($H$3,0,0,'Données projet'!$E$9+1,1))</f>
        <v>428.8489304403459</v>
      </c>
      <c r="T97" s="62">
        <f t="shared" si="88"/>
        <v>247.01165577562966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2">
        <f t="shared" si="59"/>
        <v>892.21253573041304</v>
      </c>
      <c r="AN97" s="62">
        <f ca="1">AVERAGE(OFFSET($AM$3,0,0,'Données projet'!$E$10+1,1))-AVERAGE(OFFSET($H$3,0,0,'Données projet'!$E$10+1,1))</f>
        <v>475.47920969424894</v>
      </c>
      <c r="AO97" s="62">
        <f t="shared" si="90"/>
        <v>271.73544012419364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-1.250327841262333E-13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290.85271051443431</v>
      </c>
      <c r="BJ97" s="62">
        <f t="shared" si="92"/>
        <v>318.66958823451142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2.8</v>
      </c>
      <c r="BY97" s="13">
        <f>IF('Données projet'!$A$114&gt;35,BY96+BX97-CG96,IF(A97&lt;'Données projet'!$A$114,$BV$205^A97,IF(A97='Données projet'!$A$114,'Données projet'!$B$114,BY96+BX97-CG96)))</f>
        <v>170.2</v>
      </c>
      <c r="BZ97" s="14">
        <f>BY97*VLOOKUP('Données projet'!$B$12,Paramètres!$A$1:$I$89,3,0)*VLOOKUP('Données projet'!$B$12,Paramètres!$A$1:$I$89,5,0)</f>
        <v>164.61743999999999</v>
      </c>
      <c r="CA97" s="14">
        <f t="shared" si="93"/>
        <v>41.882261134249809</v>
      </c>
      <c r="CB97" s="22">
        <f t="shared" si="64"/>
        <v>359.65364614215167</v>
      </c>
      <c r="CC97" s="62">
        <f t="shared" si="65"/>
        <v>652.98697947548499</v>
      </c>
      <c r="CD97" s="62">
        <f ca="1">AVERAGE(OFFSET($CC$3,0,0,'Données projet'!$E$12+1,1))-AVERAGE(OFFSET($H$3,0,0,'Données projet'!$E$12+1,1))</f>
        <v>255.59755832175625</v>
      </c>
      <c r="CE97" s="62">
        <f t="shared" si="94"/>
        <v>154.0840647586964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2">
        <f t="shared" si="68"/>
        <v>293.33333333333582</v>
      </c>
      <c r="CY97" s="62">
        <f ca="1">AVERAGE(OFFSET($CX$3,0,0,'Données projet'!$E$13+1,1))-AVERAGE(OFFSET($H$3,0,0,'Données projet'!$E$13+1,1))</f>
        <v>292.57482726862594</v>
      </c>
      <c r="CZ97" s="62">
        <f t="shared" si="96"/>
        <v>283.48738729114024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2">
        <f t="shared" si="55"/>
        <v>838.4714957147562</v>
      </c>
      <c r="S98" s="62">
        <f ca="1">AVERAGE(OFFSET($R$3,0,0,'Données projet'!$E$9+1,1))-AVERAGE(OFFSET($H$3,0,0,'Données projet'!$E$9+1,1))</f>
        <v>428.8489304403459</v>
      </c>
      <c r="T98" s="62">
        <f t="shared" si="88"/>
        <v>247.01165577562966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2">
        <f t="shared" si="59"/>
        <v>902.69501266160501</v>
      </c>
      <c r="AN98" s="62">
        <f ca="1">AVERAGE(OFFSET($AM$3,0,0,'Données projet'!$E$10+1,1))-AVERAGE(OFFSET($H$3,0,0,'Données projet'!$E$10+1,1))</f>
        <v>475.47920969424894</v>
      </c>
      <c r="AO98" s="62">
        <f t="shared" si="90"/>
        <v>271.73544012419364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-1.250327841262333E-13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290.85271051443431</v>
      </c>
      <c r="BJ98" s="62">
        <f t="shared" si="92"/>
        <v>318.66958823451142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173</v>
      </c>
      <c r="BW98" s="13">
        <f>VLOOKUP(A98,'Données projet'!$A$113:$I$133,9,0)</f>
        <v>2.8</v>
      </c>
      <c r="BX98" s="13">
        <f t="array" ref="BX98">INDEX(BW:BW,MIN(IF(ISNUMBER(BW98:BW294),ROW(BW98:BW294),"")))</f>
        <v>2.8</v>
      </c>
      <c r="BY98" s="13">
        <f>IF('Données projet'!$A$114&gt;35,BY97+BX98-CG97,IF(A98&lt;'Données projet'!$A$114,$BV$205^A98,IF(A98='Données projet'!$A$114,'Données projet'!$B$114,BY97+BX98-CG97)))</f>
        <v>173</v>
      </c>
      <c r="BZ98" s="14">
        <f>BY98*VLOOKUP('Données projet'!$B$12,Paramètres!$A$1:$I$89,3,0)*VLOOKUP('Données projet'!$B$12,Paramètres!$A$1:$I$89,5,0)</f>
        <v>167.32560000000001</v>
      </c>
      <c r="CA98" s="14">
        <f t="shared" si="93"/>
        <v>42.490495297127609</v>
      </c>
      <c r="CB98" s="22">
        <f t="shared" si="64"/>
        <v>365.42969930916388</v>
      </c>
      <c r="CC98" s="62">
        <f t="shared" si="65"/>
        <v>658.76303264249714</v>
      </c>
      <c r="CD98" s="62">
        <f ca="1">AVERAGE(OFFSET($CC$3,0,0,'Données projet'!$E$12+1,1))-AVERAGE(OFFSET($H$3,0,0,'Données projet'!$E$12+1,1))</f>
        <v>255.59755832175625</v>
      </c>
      <c r="CE98" s="62">
        <f t="shared" si="94"/>
        <v>154.0840647586964</v>
      </c>
      <c r="CF98" s="16">
        <f>IF(ISNA(VLOOKUP(A98,'Données projet'!$A$113:$I$133,3,0)),0,VLOOKUP(A98,'Données projet'!$A$113:$I$133,3,0))</f>
        <v>7</v>
      </c>
      <c r="CG98" s="16">
        <f>IF(ISNA(VLOOKUP(A98,'Données projet'!$A$113:$I$133,4,0)),0,VLOOKUP(A98,'Données projet'!$A$113:$I$133,4,0))</f>
        <v>18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2">
        <f t="shared" si="68"/>
        <v>293.33333333333582</v>
      </c>
      <c r="CY98" s="62">
        <f ca="1">AVERAGE(OFFSET($CX$3,0,0,'Données projet'!$E$13+1,1))-AVERAGE(OFFSET($H$3,0,0,'Données projet'!$E$13+1,1))</f>
        <v>292.57482726862594</v>
      </c>
      <c r="CZ98" s="62">
        <f t="shared" si="96"/>
        <v>283.48738729114024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2">
        <f t="shared" si="55"/>
        <v>847.84349511604591</v>
      </c>
      <c r="S99" s="62">
        <f ca="1">AVERAGE(OFFSET($R$3,0,0,'Données projet'!$E$9+1,1))-AVERAGE(OFFSET($H$3,0,0,'Données projet'!$E$9+1,1))</f>
        <v>428.8489304403459</v>
      </c>
      <c r="T99" s="62">
        <f t="shared" si="88"/>
        <v>247.01165577562966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2">
        <f t="shared" si="59"/>
        <v>913.17374782605907</v>
      </c>
      <c r="AN99" s="62">
        <f ca="1">AVERAGE(OFFSET($AM$3,0,0,'Données projet'!$E$10+1,1))-AVERAGE(OFFSET($H$3,0,0,'Données projet'!$E$10+1,1))</f>
        <v>475.47920969424894</v>
      </c>
      <c r="AO99" s="62">
        <f t="shared" si="90"/>
        <v>271.73544012419364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-1.250327841262333E-13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290.85271051443431</v>
      </c>
      <c r="BJ99" s="62">
        <f t="shared" si="92"/>
        <v>318.66958823451142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</v>
      </c>
      <c r="BY99" s="13">
        <f>IF('Données projet'!$A$114&gt;35,BY98+BX99-CG98,IF(A99&lt;'Données projet'!$A$114,$BV$205^A99,IF(A99='Données projet'!$A$114,'Données projet'!$B$114,BY98+BX99-CG98)))</f>
        <v>158</v>
      </c>
      <c r="BZ99" s="14">
        <f>BY99*VLOOKUP('Données projet'!$B$12,Paramètres!$A$1:$I$89,3,0)*VLOOKUP('Données projet'!$B$12,Paramètres!$A$1:$I$89,5,0)</f>
        <v>152.8176</v>
      </c>
      <c r="CA99" s="14">
        <f t="shared" si="93"/>
        <v>39.218200171484227</v>
      </c>
      <c r="CB99" s="22">
        <f t="shared" si="64"/>
        <v>334.46235196533502</v>
      </c>
      <c r="CC99" s="62">
        <f t="shared" si="65"/>
        <v>627.79568529866833</v>
      </c>
      <c r="CD99" s="62">
        <f ca="1">AVERAGE(OFFSET($CC$3,0,0,'Données projet'!$E$12+1,1))-AVERAGE(OFFSET($H$3,0,0,'Données projet'!$E$12+1,1))</f>
        <v>255.59755832175625</v>
      </c>
      <c r="CE99" s="62">
        <f t="shared" si="94"/>
        <v>154.0840647586964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2">
        <f t="shared" si="68"/>
        <v>293.33333333333582</v>
      </c>
      <c r="CY99" s="62">
        <f ca="1">AVERAGE(OFFSET($CX$3,0,0,'Données projet'!$E$13+1,1))-AVERAGE(OFFSET($H$3,0,0,'Données projet'!$E$13+1,1))</f>
        <v>292.57482726862594</v>
      </c>
      <c r="CZ99" s="62">
        <f t="shared" si="96"/>
        <v>283.48738729114024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2">
        <f t="shared" si="55"/>
        <v>857.21217638119901</v>
      </c>
      <c r="S100" s="62">
        <f ca="1">AVERAGE(OFFSET($R$3,0,0,'Données projet'!$E$9+1,1))-AVERAGE(OFFSET($H$3,0,0,'Données projet'!$E$9+1,1))</f>
        <v>428.8489304403459</v>
      </c>
      <c r="T100" s="62">
        <f t="shared" si="88"/>
        <v>247.01165577562966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2">
        <f t="shared" si="59"/>
        <v>923.64881338426039</v>
      </c>
      <c r="AN100" s="62">
        <f ca="1">AVERAGE(OFFSET($AM$3,0,0,'Données projet'!$E$10+1,1))-AVERAGE(OFFSET($H$3,0,0,'Données projet'!$E$10+1,1))</f>
        <v>475.47920969424894</v>
      </c>
      <c r="AO100" s="62">
        <f t="shared" si="90"/>
        <v>271.73544012419364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-1.250327841262333E-13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290.85271051443431</v>
      </c>
      <c r="BJ100" s="62">
        <f t="shared" si="92"/>
        <v>318.66958823451142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</v>
      </c>
      <c r="BY100" s="13">
        <f>IF('Données projet'!$A$114&gt;35,BY99+BX100-CG99,IF(A100&lt;'Données projet'!$A$114,$BV$205^A100,IF(A100='Données projet'!$A$114,'Données projet'!$B$114,BY99+BX100-CG99)))</f>
        <v>161</v>
      </c>
      <c r="BZ100" s="14">
        <f>BY100*VLOOKUP('Données projet'!$B$12,Paramètres!$A$1:$I$89,3,0)*VLOOKUP('Données projet'!$B$12,Paramètres!$A$1:$I$89,5,0)</f>
        <v>155.7192</v>
      </c>
      <c r="CA100" s="14">
        <f t="shared" si="93"/>
        <v>39.875450340770094</v>
      </c>
      <c r="CB100" s="22">
        <f t="shared" si="64"/>
        <v>340.66068267684119</v>
      </c>
      <c r="CC100" s="62">
        <f t="shared" si="65"/>
        <v>633.99401601017451</v>
      </c>
      <c r="CD100" s="62">
        <f ca="1">AVERAGE(OFFSET($CC$3,0,0,'Données projet'!$E$12+1,1))-AVERAGE(OFFSET($H$3,0,0,'Données projet'!$E$12+1,1))</f>
        <v>255.59755832175625</v>
      </c>
      <c r="CE100" s="62">
        <f t="shared" si="94"/>
        <v>154.0840647586964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2">
        <f t="shared" si="68"/>
        <v>293.33333333333582</v>
      </c>
      <c r="CY100" s="62">
        <f ca="1">AVERAGE(OFFSET($CX$3,0,0,'Données projet'!$E$13+1,1))-AVERAGE(OFFSET($H$3,0,0,'Données projet'!$E$13+1,1))</f>
        <v>292.57482726862594</v>
      </c>
      <c r="CZ100" s="62">
        <f t="shared" si="96"/>
        <v>283.48738729114024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2">
        <f t="shared" si="55"/>
        <v>866.57760241418919</v>
      </c>
      <c r="S101" s="62">
        <f ca="1">AVERAGE(OFFSET($R$3,0,0,'Données projet'!$E$9+1,1))-AVERAGE(OFFSET($H$3,0,0,'Données projet'!$E$9+1,1))</f>
        <v>428.8489304403459</v>
      </c>
      <c r="T101" s="62">
        <f t="shared" si="88"/>
        <v>247.01165577562966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2">
        <f t="shared" si="59"/>
        <v>934.12027890322065</v>
      </c>
      <c r="AN101" s="62">
        <f ca="1">AVERAGE(OFFSET($AM$3,0,0,'Données projet'!$E$10+1,1))-AVERAGE(OFFSET($H$3,0,0,'Données projet'!$E$10+1,1))</f>
        <v>475.47920969424894</v>
      </c>
      <c r="AO101" s="62">
        <f t="shared" si="90"/>
        <v>271.73544012419364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-1.250327841262333E-13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290.85271051443431</v>
      </c>
      <c r="BJ101" s="62">
        <f t="shared" si="92"/>
        <v>318.66958823451142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</v>
      </c>
      <c r="BY101" s="13">
        <f>IF('Données projet'!$A$114&gt;35,BY100+BX101-CG100,IF(A101&lt;'Données projet'!$A$114,$BV$205^A101,IF(A101='Données projet'!$A$114,'Données projet'!$B$114,BY100+BX101-CG100)))</f>
        <v>164</v>
      </c>
      <c r="BZ101" s="14">
        <f>BY101*VLOOKUP('Données projet'!$B$12,Paramètres!$A$1:$I$89,3,0)*VLOOKUP('Données projet'!$B$12,Paramètres!$A$1:$I$89,5,0)</f>
        <v>158.6208</v>
      </c>
      <c r="CA101" s="14">
        <f t="shared" si="93"/>
        <v>40.531276428901542</v>
      </c>
      <c r="CB101" s="22">
        <f t="shared" si="64"/>
        <v>346.8565331136702</v>
      </c>
      <c r="CC101" s="62">
        <f t="shared" si="65"/>
        <v>640.18986644700351</v>
      </c>
      <c r="CD101" s="62">
        <f ca="1">AVERAGE(OFFSET($CC$3,0,0,'Données projet'!$E$12+1,1))-AVERAGE(OFFSET($H$3,0,0,'Données projet'!$E$12+1,1))</f>
        <v>255.59755832175625</v>
      </c>
      <c r="CE101" s="62">
        <f t="shared" si="94"/>
        <v>154.0840647586964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2">
        <f t="shared" si="68"/>
        <v>293.33333333333582</v>
      </c>
      <c r="CY101" s="62">
        <f ca="1">AVERAGE(OFFSET($CX$3,0,0,'Données projet'!$E$13+1,1))-AVERAGE(OFFSET($H$3,0,0,'Données projet'!$E$13+1,1))</f>
        <v>292.57482726862594</v>
      </c>
      <c r="CZ101" s="62">
        <f t="shared" si="96"/>
        <v>283.48738729114024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2">
        <f t="shared" si="55"/>
        <v>875.93983389595746</v>
      </c>
      <c r="S102" s="62">
        <f ca="1">AVERAGE(OFFSET($R$3,0,0,'Données projet'!$E$9+1,1))-AVERAGE(OFFSET($H$3,0,0,'Données projet'!$E$9+1,1))</f>
        <v>428.8489304403459</v>
      </c>
      <c r="T102" s="62">
        <f t="shared" si="88"/>
        <v>247.01165577562966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2">
        <f t="shared" si="59"/>
        <v>944.58821149144683</v>
      </c>
      <c r="AN102" s="62">
        <f ca="1">AVERAGE(OFFSET($AM$3,0,0,'Données projet'!$E$10+1,1))-AVERAGE(OFFSET($H$3,0,0,'Données projet'!$E$10+1,1))</f>
        <v>475.47920969424894</v>
      </c>
      <c r="AO102" s="62">
        <f t="shared" si="90"/>
        <v>271.73544012419364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-1.250327841262333E-13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290.85271051443431</v>
      </c>
      <c r="BJ102" s="62">
        <f t="shared" si="92"/>
        <v>318.66958823451142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</v>
      </c>
      <c r="BY102" s="13">
        <f>IF('Données projet'!$A$114&gt;35,BY101+BX102-CG101,IF(A102&lt;'Données projet'!$A$114,$BV$205^A102,IF(A102='Données projet'!$A$114,'Données projet'!$B$114,BY101+BX102-CG101)))</f>
        <v>167</v>
      </c>
      <c r="BZ102" s="14">
        <f>BY102*VLOOKUP('Données projet'!$B$12,Paramètres!$A$1:$I$89,3,0)*VLOOKUP('Données projet'!$B$12,Paramètres!$A$1:$I$89,5,0)</f>
        <v>161.5224</v>
      </c>
      <c r="CA102" s="14">
        <f t="shared" si="93"/>
        <v>41.185707490721896</v>
      </c>
      <c r="CB102" s="22">
        <f t="shared" si="64"/>
        <v>353.04995387967392</v>
      </c>
      <c r="CC102" s="62">
        <f t="shared" si="65"/>
        <v>646.38328721300718</v>
      </c>
      <c r="CD102" s="62">
        <f ca="1">AVERAGE(OFFSET($CC$3,0,0,'Données projet'!$E$12+1,1))-AVERAGE(OFFSET($H$3,0,0,'Données projet'!$E$12+1,1))</f>
        <v>255.59755832175625</v>
      </c>
      <c r="CE102" s="62">
        <f t="shared" si="94"/>
        <v>154.0840647586964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2">
        <f t="shared" si="68"/>
        <v>293.33333333333582</v>
      </c>
      <c r="CY102" s="62">
        <f ca="1">AVERAGE(OFFSET($CX$3,0,0,'Données projet'!$E$13+1,1))-AVERAGE(OFFSET($H$3,0,0,'Données projet'!$E$13+1,1))</f>
        <v>292.57482726862594</v>
      </c>
      <c r="CZ102" s="62">
        <f t="shared" si="96"/>
        <v>283.48738729114024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2">
        <f t="shared" si="55"/>
        <v>885.29892939819797</v>
      </c>
      <c r="S103" s="62">
        <f ca="1">AVERAGE(OFFSET($R$3,0,0,'Données projet'!$E$9+1,1))-AVERAGE(OFFSET($H$3,0,0,'Données projet'!$E$9+1,1))</f>
        <v>428.8489304403459</v>
      </c>
      <c r="T103" s="62">
        <f t="shared" si="88"/>
        <v>247.01165577562966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2">
        <f t="shared" si="59"/>
        <v>955.05267592477821</v>
      </c>
      <c r="AN103" s="62">
        <f ca="1">AVERAGE(OFFSET($AM$3,0,0,'Données projet'!$E$10+1,1))-AVERAGE(OFFSET($H$3,0,0,'Données projet'!$E$10+1,1))</f>
        <v>475.47920969424894</v>
      </c>
      <c r="AO103" s="62">
        <f t="shared" si="90"/>
        <v>271.73544012419364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-1.250327841262333E-13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290.85271051443431</v>
      </c>
      <c r="BJ103" s="62">
        <f t="shared" si="92"/>
        <v>318.66958823451142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170</v>
      </c>
      <c r="BW103" s="13">
        <f>VLOOKUP(A103,'Données projet'!$A$113:$I$133,9,0)</f>
        <v>3</v>
      </c>
      <c r="BX103" s="13">
        <f t="array" ref="BX103">INDEX(BW:BW,MIN(IF(ISNUMBER(BW103:BW299),ROW(BW103:BW299),"")))</f>
        <v>3</v>
      </c>
      <c r="BY103" s="13">
        <f>IF('Données projet'!$A$114&gt;35,BY102+BX103-CG102,IF(A103&lt;'Données projet'!$A$114,$BV$205^A103,IF(A103='Données projet'!$A$114,'Données projet'!$B$114,BY102+BX103-CG102)))</f>
        <v>170</v>
      </c>
      <c r="BZ103" s="14">
        <f>BY103*VLOOKUP('Données projet'!$B$12,Paramètres!$A$1:$I$89,3,0)*VLOOKUP('Données projet'!$B$12,Paramètres!$A$1:$I$89,5,0)</f>
        <v>164.42400000000001</v>
      </c>
      <c r="CA103" s="14">
        <f t="shared" si="93"/>
        <v>41.838771477410226</v>
      </c>
      <c r="CB103" s="22">
        <f t="shared" si="64"/>
        <v>359.24099365648948</v>
      </c>
      <c r="CC103" s="62">
        <f t="shared" si="65"/>
        <v>652.57432698982279</v>
      </c>
      <c r="CD103" s="62">
        <f ca="1">AVERAGE(OFFSET($CC$3,0,0,'Données projet'!$E$12+1,1))-AVERAGE(OFFSET($H$3,0,0,'Données projet'!$E$12+1,1))</f>
        <v>255.59755832175625</v>
      </c>
      <c r="CE103" s="62">
        <f t="shared" si="94"/>
        <v>154.0840647586964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2">
        <f t="shared" si="68"/>
        <v>293.33333333333582</v>
      </c>
      <c r="CY103" s="62">
        <f ca="1">AVERAGE(OFFSET($CX$3,0,0,'Données projet'!$E$13+1,1))-AVERAGE(OFFSET($H$3,0,0,'Données projet'!$E$13+1,1))</f>
        <v>292.57482726862594</v>
      </c>
      <c r="CZ103" s="62">
        <f t="shared" si="96"/>
        <v>283.48738729114024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2">
        <f t="shared" si="55"/>
        <v>813.3989415432759</v>
      </c>
      <c r="S104" s="62">
        <f ca="1">AVERAGE(OFFSET($R$3,0,0,'Données projet'!$E$9+1,1))-AVERAGE(OFFSET($H$3,0,0,'Données projet'!$E$9+1,1))</f>
        <v>428.8489304403459</v>
      </c>
      <c r="T104" s="62">
        <f t="shared" si="88"/>
        <v>247.01165577562966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2">
        <f t="shared" si="59"/>
        <v>874.66185471348285</v>
      </c>
      <c r="AN104" s="62">
        <f ca="1">AVERAGE(OFFSET($AM$3,0,0,'Données projet'!$E$10+1,1))-AVERAGE(OFFSET($H$3,0,0,'Données projet'!$E$10+1,1))</f>
        <v>475.47920969424894</v>
      </c>
      <c r="AO104" s="62">
        <f t="shared" si="90"/>
        <v>271.73544012419364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-1.250327841262333E-13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290.85271051443431</v>
      </c>
      <c r="BJ104" s="62">
        <f t="shared" si="92"/>
        <v>318.66958823451142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2.8</v>
      </c>
      <c r="BY104" s="13">
        <f>IF('Données projet'!$A$114&gt;35,BY103+BX104-CG103,IF(A104&lt;'Données projet'!$A$114,$BV$205^A104,IF(A104='Données projet'!$A$114,'Données projet'!$B$114,BY103+BX104-CG103)))</f>
        <v>172.8</v>
      </c>
      <c r="BZ104" s="14">
        <f>BY104*VLOOKUP('Données projet'!$B$12,Paramètres!$A$1:$I$89,3,0)*VLOOKUP('Données projet'!$B$12,Paramètres!$A$1:$I$89,5,0)</f>
        <v>167.13216000000003</v>
      </c>
      <c r="CA104" s="14">
        <f t="shared" si="93"/>
        <v>42.447088211746923</v>
      </c>
      <c r="CB104" s="22">
        <f t="shared" si="64"/>
        <v>365.01719063545926</v>
      </c>
      <c r="CC104" s="62">
        <f t="shared" si="65"/>
        <v>658.35052396879257</v>
      </c>
      <c r="CD104" s="62">
        <f ca="1">AVERAGE(OFFSET($CC$3,0,0,'Données projet'!$E$12+1,1))-AVERAGE(OFFSET($H$3,0,0,'Données projet'!$E$12+1,1))</f>
        <v>255.59755832175625</v>
      </c>
      <c r="CE104" s="62">
        <f t="shared" si="94"/>
        <v>154.0840647586964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2">
        <f t="shared" si="68"/>
        <v>293.33333333333582</v>
      </c>
      <c r="CY104" s="62">
        <f ca="1">AVERAGE(OFFSET($CX$3,0,0,'Données projet'!$E$13+1,1))-AVERAGE(OFFSET($H$3,0,0,'Données projet'!$E$13+1,1))</f>
        <v>292.57482726862594</v>
      </c>
      <c r="CZ104" s="62">
        <f t="shared" si="96"/>
        <v>283.48738729114024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2">
        <f t="shared" si="55"/>
        <v>821.82303552922986</v>
      </c>
      <c r="S105" s="62">
        <f ca="1">AVERAGE(OFFSET($R$3,0,0,'Données projet'!$E$9+1,1))-AVERAGE(OFFSET($H$3,0,0,'Données projet'!$E$9+1,1))</f>
        <v>428.8489304403459</v>
      </c>
      <c r="T105" s="62">
        <f t="shared" si="88"/>
        <v>247.01165577562966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2">
        <f t="shared" si="59"/>
        <v>884.08064423326846</v>
      </c>
      <c r="AN105" s="62">
        <f ca="1">AVERAGE(OFFSET($AM$3,0,0,'Données projet'!$E$10+1,1))-AVERAGE(OFFSET($H$3,0,0,'Données projet'!$E$10+1,1))</f>
        <v>475.47920969424894</v>
      </c>
      <c r="AO105" s="62">
        <f t="shared" si="90"/>
        <v>271.73544012419364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-1.250327841262333E-13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290.85271051443431</v>
      </c>
      <c r="BJ105" s="62">
        <f t="shared" si="92"/>
        <v>318.66958823451142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2.8</v>
      </c>
      <c r="BY105" s="13">
        <f>IF('Données projet'!$A$114&gt;35,BY104+BX105-CG104,IF(A105&lt;'Données projet'!$A$114,$BV$205^A105,IF(A105='Données projet'!$A$114,'Données projet'!$B$114,BY104+BX105-CG104)))</f>
        <v>175.60000000000002</v>
      </c>
      <c r="BZ105" s="14">
        <f>BY105*VLOOKUP('Données projet'!$B$12,Paramètres!$A$1:$I$89,3,0)*VLOOKUP('Données projet'!$B$12,Paramètres!$A$1:$I$89,5,0)</f>
        <v>169.84032000000002</v>
      </c>
      <c r="CA105" s="14">
        <f t="shared" si="93"/>
        <v>43.054258621433533</v>
      </c>
      <c r="CB105" s="22">
        <f t="shared" si="64"/>
        <v>370.79139109899671</v>
      </c>
      <c r="CC105" s="62">
        <f t="shared" si="65"/>
        <v>664.12472443233003</v>
      </c>
      <c r="CD105" s="62">
        <f ca="1">AVERAGE(OFFSET($CC$3,0,0,'Données projet'!$E$12+1,1))-AVERAGE(OFFSET($H$3,0,0,'Données projet'!$E$12+1,1))</f>
        <v>255.59755832175625</v>
      </c>
      <c r="CE105" s="62">
        <f t="shared" si="94"/>
        <v>154.0840647586964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2">
        <f t="shared" si="68"/>
        <v>293.33333333333582</v>
      </c>
      <c r="CY105" s="62">
        <f ca="1">AVERAGE(OFFSET($CX$3,0,0,'Données projet'!$E$13+1,1))-AVERAGE(OFFSET($H$3,0,0,'Données projet'!$E$13+1,1))</f>
        <v>292.57482726862594</v>
      </c>
      <c r="CZ105" s="62">
        <f t="shared" si="96"/>
        <v>283.48738729114024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2">
        <f t="shared" si="55"/>
        <v>830.24430301815983</v>
      </c>
      <c r="S106" s="62">
        <f ca="1">AVERAGE(OFFSET($R$3,0,0,'Données projet'!$E$9+1,1))-AVERAGE(OFFSET($H$3,0,0,'Données projet'!$E$9+1,1))</f>
        <v>428.8489304403459</v>
      </c>
      <c r="T106" s="62">
        <f t="shared" si="88"/>
        <v>247.01165577562966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2">
        <f t="shared" si="59"/>
        <v>893.49630786227453</v>
      </c>
      <c r="AN106" s="62">
        <f ca="1">AVERAGE(OFFSET($AM$3,0,0,'Données projet'!$E$10+1,1))-AVERAGE(OFFSET($H$3,0,0,'Données projet'!$E$10+1,1))</f>
        <v>475.47920969424894</v>
      </c>
      <c r="AO106" s="62">
        <f t="shared" si="90"/>
        <v>271.73544012419364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-1.250327841262333E-13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290.85271051443431</v>
      </c>
      <c r="BJ106" s="62">
        <f t="shared" si="92"/>
        <v>318.66958823451142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2.8</v>
      </c>
      <c r="BY106" s="13">
        <f>IF('Données projet'!$A$114&gt;35,BY105+BX106-CG105,IF(A106&lt;'Données projet'!$A$114,$BV$205^A106,IF(A106='Données projet'!$A$114,'Données projet'!$B$114,BY105+BX106-CG105)))</f>
        <v>178.40000000000003</v>
      </c>
      <c r="BZ106" s="14">
        <f>BY106*VLOOKUP('Données projet'!$B$12,Paramètres!$A$1:$I$89,3,0)*VLOOKUP('Données projet'!$B$12,Paramètres!$A$1:$I$89,5,0)</f>
        <v>172.54848000000004</v>
      </c>
      <c r="CA106" s="14">
        <f t="shared" si="93"/>
        <v>43.6603030954305</v>
      </c>
      <c r="CB106" s="22">
        <f t="shared" si="64"/>
        <v>376.56363055787483</v>
      </c>
      <c r="CC106" s="62">
        <f t="shared" si="65"/>
        <v>669.89696389120809</v>
      </c>
      <c r="CD106" s="62">
        <f ca="1">AVERAGE(OFFSET($CC$3,0,0,'Données projet'!$E$12+1,1))-AVERAGE(OFFSET($H$3,0,0,'Données projet'!$E$12+1,1))</f>
        <v>255.59755832175625</v>
      </c>
      <c r="CE106" s="62">
        <f t="shared" si="94"/>
        <v>154.0840647586964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2">
        <f t="shared" si="68"/>
        <v>293.33333333333582</v>
      </c>
      <c r="CY106" s="62">
        <f ca="1">AVERAGE(OFFSET($CX$3,0,0,'Données projet'!$E$13+1,1))-AVERAGE(OFFSET($H$3,0,0,'Données projet'!$E$13+1,1))</f>
        <v>292.57482726862594</v>
      </c>
      <c r="CZ106" s="62">
        <f t="shared" si="96"/>
        <v>283.48738729114024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2">
        <f t="shared" si="55"/>
        <v>838.6627946025028</v>
      </c>
      <c r="S107" s="62">
        <f ca="1">AVERAGE(OFFSET($R$3,0,0,'Données projet'!$E$9+1,1))-AVERAGE(OFFSET($H$3,0,0,'Données projet'!$E$9+1,1))</f>
        <v>428.8489304403459</v>
      </c>
      <c r="T107" s="62">
        <f t="shared" si="88"/>
        <v>247.01165577562966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2">
        <f t="shared" si="59"/>
        <v>902.90890155189049</v>
      </c>
      <c r="AN107" s="62">
        <f ca="1">AVERAGE(OFFSET($AM$3,0,0,'Données projet'!$E$10+1,1))-AVERAGE(OFFSET($H$3,0,0,'Données projet'!$E$10+1,1))</f>
        <v>475.47920969424894</v>
      </c>
      <c r="AO107" s="62">
        <f t="shared" si="90"/>
        <v>271.73544012419364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-1.250327841262333E-13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290.85271051443431</v>
      </c>
      <c r="BJ107" s="62">
        <f t="shared" si="92"/>
        <v>318.66958823451142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2.8</v>
      </c>
      <c r="BY107" s="13">
        <f>IF('Données projet'!$A$114&gt;35,BY106+BX107-CG106,IF(A107&lt;'Données projet'!$A$114,$BV$205^A107,IF(A107='Données projet'!$A$114,'Données projet'!$B$114,BY106+BX107-CG106)))</f>
        <v>181.20000000000005</v>
      </c>
      <c r="BZ107" s="14">
        <f>BY107*VLOOKUP('Données projet'!$B$12,Paramètres!$A$1:$I$89,3,0)*VLOOKUP('Données projet'!$B$12,Paramètres!$A$1:$I$89,5,0)</f>
        <v>175.25664000000003</v>
      </c>
      <c r="CA107" s="14">
        <f t="shared" si="93"/>
        <v>44.265241345972555</v>
      </c>
      <c r="CB107" s="22">
        <f t="shared" si="64"/>
        <v>382.33394334423559</v>
      </c>
      <c r="CC107" s="62">
        <f t="shared" si="65"/>
        <v>675.66727667756891</v>
      </c>
      <c r="CD107" s="62">
        <f ca="1">AVERAGE(OFFSET($CC$3,0,0,'Données projet'!$E$12+1,1))-AVERAGE(OFFSET($H$3,0,0,'Données projet'!$E$12+1,1))</f>
        <v>255.59755832175625</v>
      </c>
      <c r="CE107" s="62">
        <f t="shared" si="94"/>
        <v>154.0840647586964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2">
        <f t="shared" si="68"/>
        <v>293.33333333333582</v>
      </c>
      <c r="CY107" s="62">
        <f ca="1">AVERAGE(OFFSET($CX$3,0,0,'Données projet'!$E$13+1,1))-AVERAGE(OFFSET($H$3,0,0,'Données projet'!$E$13+1,1))</f>
        <v>292.57482726862594</v>
      </c>
      <c r="CZ107" s="62">
        <f t="shared" si="96"/>
        <v>283.48738729114024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2">
        <f t="shared" si="55"/>
        <v>847.07855918499604</v>
      </c>
      <c r="S108" s="62">
        <f ca="1">AVERAGE(OFFSET($R$3,0,0,'Données projet'!$E$9+1,1))-AVERAGE(OFFSET($H$3,0,0,'Données projet'!$E$9+1,1))</f>
        <v>428.8489304403459</v>
      </c>
      <c r="T108" s="62">
        <f t="shared" si="88"/>
        <v>247.01165577562966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2">
        <f t="shared" si="59"/>
        <v>912.31847938482474</v>
      </c>
      <c r="AN108" s="62">
        <f ca="1">AVERAGE(OFFSET($AM$3,0,0,'Données projet'!$E$10+1,1))-AVERAGE(OFFSET($H$3,0,0,'Données projet'!$E$10+1,1))</f>
        <v>475.47920969424894</v>
      </c>
      <c r="AO108" s="62">
        <f t="shared" si="90"/>
        <v>271.73544012419364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-1.250327841262333E-13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290.85271051443431</v>
      </c>
      <c r="BJ108" s="62">
        <f t="shared" si="92"/>
        <v>318.66958823451142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184</v>
      </c>
      <c r="BW108" s="13">
        <f>VLOOKUP(A108,'Données projet'!$A$113:$I$133,9,0)</f>
        <v>2.8</v>
      </c>
      <c r="BX108" s="13">
        <f t="array" ref="BX108">INDEX(BW:BW,MIN(IF(ISNUMBER(BW108:BW304),ROW(BW108:BW304),"")))</f>
        <v>2.8</v>
      </c>
      <c r="BY108" s="13">
        <f>IF('Données projet'!$A$114&gt;35,BY107+BX108-CG107,IF(A108&lt;'Données projet'!$A$114,$BV$205^A108,IF(A108='Données projet'!$A$114,'Données projet'!$B$114,BY107+BX108-CG107)))</f>
        <v>184.00000000000006</v>
      </c>
      <c r="BZ108" s="14">
        <f>BY108*VLOOKUP('Données projet'!$B$12,Paramètres!$A$1:$I$89,3,0)*VLOOKUP('Données projet'!$B$12,Paramètres!$A$1:$I$89,5,0)</f>
        <v>177.96480000000008</v>
      </c>
      <c r="CA108" s="14">
        <f t="shared" si="93"/>
        <v>44.869092441133326</v>
      </c>
      <c r="CB108" s="22">
        <f t="shared" si="64"/>
        <v>388.10236266830731</v>
      </c>
      <c r="CC108" s="62">
        <f t="shared" si="65"/>
        <v>681.43569600164062</v>
      </c>
      <c r="CD108" s="62">
        <f ca="1">AVERAGE(OFFSET($CC$3,0,0,'Données projet'!$E$12+1,1))-AVERAGE(OFFSET($H$3,0,0,'Données projet'!$E$12+1,1))</f>
        <v>255.59755832175625</v>
      </c>
      <c r="CE108" s="62">
        <f t="shared" si="94"/>
        <v>154.0840647586964</v>
      </c>
      <c r="CF108" s="16">
        <f>IF(ISNA(VLOOKUP(A108,'Données projet'!$A$113:$I$133,3,0)),0,VLOOKUP(A108,'Données projet'!$A$113:$I$133,3,0))</f>
        <v>8</v>
      </c>
      <c r="CG108" s="16">
        <f>IF(ISNA(VLOOKUP(A108,'Données projet'!$A$113:$I$133,4,0)),0,VLOOKUP(A108,'Données projet'!$A$113:$I$133,4,0))</f>
        <v>18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2">
        <f t="shared" si="68"/>
        <v>293.33333333333582</v>
      </c>
      <c r="CY108" s="62">
        <f ca="1">AVERAGE(OFFSET($CX$3,0,0,'Données projet'!$E$13+1,1))-AVERAGE(OFFSET($H$3,0,0,'Données projet'!$E$13+1,1))</f>
        <v>292.57482726862594</v>
      </c>
      <c r="CZ108" s="62">
        <f t="shared" si="96"/>
        <v>283.48738729114024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2">
        <f t="shared" si="55"/>
        <v>855.49164406048612</v>
      </c>
      <c r="S109" s="62">
        <f ca="1">AVERAGE(OFFSET($R$3,0,0,'Données projet'!$E$9+1,1))-AVERAGE(OFFSET($H$3,0,0,'Données projet'!$E$9+1,1))</f>
        <v>428.8489304403459</v>
      </c>
      <c r="T109" s="62">
        <f t="shared" si="88"/>
        <v>247.01165577562966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2">
        <f t="shared" si="59"/>
        <v>921.72509366558074</v>
      </c>
      <c r="AN109" s="62">
        <f ca="1">AVERAGE(OFFSET($AM$3,0,0,'Données projet'!$E$10+1,1))-AVERAGE(OFFSET($H$3,0,0,'Données projet'!$E$10+1,1))</f>
        <v>475.47920969424894</v>
      </c>
      <c r="AO109" s="62">
        <f t="shared" si="90"/>
        <v>271.73544012419364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-1.250327841262333E-13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290.85271051443431</v>
      </c>
      <c r="BJ109" s="62">
        <f t="shared" si="92"/>
        <v>318.66958823451142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169.00000000000006</v>
      </c>
      <c r="BZ109" s="14">
        <f>BY109*VLOOKUP('Données projet'!$B$12,Paramètres!$A$1:$I$89,3,0)*VLOOKUP('Données projet'!$B$12,Paramètres!$A$1:$I$89,5,0)</f>
        <v>163.45680000000004</v>
      </c>
      <c r="CA109" s="14">
        <f t="shared" si="93"/>
        <v>41.621233697261097</v>
      </c>
      <c r="CB109" s="22">
        <f t="shared" si="64"/>
        <v>357.17757535606319</v>
      </c>
      <c r="CC109" s="62">
        <f t="shared" si="65"/>
        <v>650.5109086893965</v>
      </c>
      <c r="CD109" s="62">
        <f ca="1">AVERAGE(OFFSET($CC$3,0,0,'Données projet'!$E$12+1,1))-AVERAGE(OFFSET($H$3,0,0,'Données projet'!$E$12+1,1))</f>
        <v>255.59755832175625</v>
      </c>
      <c r="CE109" s="62">
        <f t="shared" si="94"/>
        <v>154.0840647586964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2">
        <f t="shared" si="68"/>
        <v>293.33333333333582</v>
      </c>
      <c r="CY109" s="62">
        <f ca="1">AVERAGE(OFFSET($CX$3,0,0,'Données projet'!$E$13+1,1))-AVERAGE(OFFSET($H$3,0,0,'Données projet'!$E$13+1,1))</f>
        <v>292.57482726862594</v>
      </c>
      <c r="CZ109" s="62">
        <f t="shared" si="96"/>
        <v>283.48738729114024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2">
        <f t="shared" si="55"/>
        <v>863.9020949925864</v>
      </c>
      <c r="S110" s="62">
        <f ca="1">AVERAGE(OFFSET($R$3,0,0,'Données projet'!$E$9+1,1))-AVERAGE(OFFSET($H$3,0,0,'Données projet'!$E$9+1,1))</f>
        <v>428.8489304403459</v>
      </c>
      <c r="T110" s="62">
        <f t="shared" si="88"/>
        <v>247.01165577562966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2">
        <f t="shared" si="59"/>
        <v>931.12879500523582</v>
      </c>
      <c r="AN110" s="62">
        <f ca="1">AVERAGE(OFFSET($AM$3,0,0,'Données projet'!$E$10+1,1))-AVERAGE(OFFSET($H$3,0,0,'Données projet'!$E$10+1,1))</f>
        <v>475.47920969424894</v>
      </c>
      <c r="AO110" s="62">
        <f t="shared" si="90"/>
        <v>271.73544012419364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-1.250327841262333E-13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290.85271051443431</v>
      </c>
      <c r="BJ110" s="62">
        <f t="shared" si="92"/>
        <v>318.66958823451142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172.00000000000006</v>
      </c>
      <c r="BZ110" s="14">
        <f>BY110*VLOOKUP('Données projet'!$B$12,Paramètres!$A$1:$I$89,3,0)*VLOOKUP('Données projet'!$B$12,Paramètres!$A$1:$I$89,5,0)</f>
        <v>166.35840000000005</v>
      </c>
      <c r="CA110" s="14">
        <f t="shared" si="93"/>
        <v>42.27340131152765</v>
      </c>
      <c r="CB110" s="22">
        <f t="shared" si="64"/>
        <v>363.3670539509107</v>
      </c>
      <c r="CC110" s="62">
        <f t="shared" si="65"/>
        <v>656.70038728424402</v>
      </c>
      <c r="CD110" s="62">
        <f ca="1">AVERAGE(OFFSET($CC$3,0,0,'Données projet'!$E$12+1,1))-AVERAGE(OFFSET($H$3,0,0,'Données projet'!$E$12+1,1))</f>
        <v>255.59755832175625</v>
      </c>
      <c r="CE110" s="62">
        <f t="shared" si="94"/>
        <v>154.0840647586964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2">
        <f t="shared" si="68"/>
        <v>293.33333333333582</v>
      </c>
      <c r="CY110" s="62">
        <f ca="1">AVERAGE(OFFSET($CX$3,0,0,'Données projet'!$E$13+1,1))-AVERAGE(OFFSET($H$3,0,0,'Données projet'!$E$13+1,1))</f>
        <v>292.57482726862594</v>
      </c>
      <c r="CZ110" s="62">
        <f t="shared" si="96"/>
        <v>283.48738729114024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2">
        <f t="shared" si="55"/>
        <v>872.30995628558094</v>
      </c>
      <c r="S111" s="62">
        <f ca="1">AVERAGE(OFFSET($R$3,0,0,'Données projet'!$E$9+1,1))-AVERAGE(OFFSET($H$3,0,0,'Données projet'!$E$9+1,1))</f>
        <v>428.8489304403459</v>
      </c>
      <c r="T111" s="62">
        <f t="shared" si="88"/>
        <v>247.01165577562966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2">
        <f t="shared" si="59"/>
        <v>940.52963240095801</v>
      </c>
      <c r="AN111" s="62">
        <f ca="1">AVERAGE(OFFSET($AM$3,0,0,'Données projet'!$E$10+1,1))-AVERAGE(OFFSET($H$3,0,0,'Données projet'!$E$10+1,1))</f>
        <v>475.47920969424894</v>
      </c>
      <c r="AO111" s="62">
        <f t="shared" si="90"/>
        <v>271.73544012419364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-1.250327841262333E-13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290.85271051443431</v>
      </c>
      <c r="BJ111" s="62">
        <f t="shared" si="92"/>
        <v>318.66958823451142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175.00000000000006</v>
      </c>
      <c r="BZ111" s="14">
        <f>BY111*VLOOKUP('Données projet'!$B$12,Paramètres!$A$1:$I$89,3,0)*VLOOKUP('Données projet'!$B$12,Paramètres!$A$1:$I$89,5,0)</f>
        <v>169.26000000000005</v>
      </c>
      <c r="CA111" s="14">
        <f t="shared" si="93"/>
        <v>42.924246146122314</v>
      </c>
      <c r="CB111" s="22">
        <f t="shared" si="64"/>
        <v>369.55422870449638</v>
      </c>
      <c r="CC111" s="62">
        <f t="shared" si="65"/>
        <v>662.88756203782964</v>
      </c>
      <c r="CD111" s="62">
        <f ca="1">AVERAGE(OFFSET($CC$3,0,0,'Données projet'!$E$12+1,1))-AVERAGE(OFFSET($H$3,0,0,'Données projet'!$E$12+1,1))</f>
        <v>255.59755832175625</v>
      </c>
      <c r="CE111" s="62">
        <f t="shared" si="94"/>
        <v>154.0840647586964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2">
        <f t="shared" si="68"/>
        <v>293.33333333333582</v>
      </c>
      <c r="CY111" s="62">
        <f ca="1">AVERAGE(OFFSET($CX$3,0,0,'Données projet'!$E$13+1,1))-AVERAGE(OFFSET($H$3,0,0,'Données projet'!$E$13+1,1))</f>
        <v>292.57482726862594</v>
      </c>
      <c r="CZ111" s="62">
        <f t="shared" si="96"/>
        <v>283.48738729114024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2">
        <f t="shared" si="55"/>
        <v>880.71527085193179</v>
      </c>
      <c r="S112" s="62">
        <f ca="1">AVERAGE(OFFSET($R$3,0,0,'Données projet'!$E$9+1,1))-AVERAGE(OFFSET($H$3,0,0,'Données projet'!$E$9+1,1))</f>
        <v>428.8489304403459</v>
      </c>
      <c r="T112" s="62">
        <f t="shared" si="88"/>
        <v>247.01165577562966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2">
        <f t="shared" si="59"/>
        <v>949.92765331066835</v>
      </c>
      <c r="AN112" s="62">
        <f ca="1">AVERAGE(OFFSET($AM$3,0,0,'Données projet'!$E$10+1,1))-AVERAGE(OFFSET($H$3,0,0,'Données projet'!$E$10+1,1))</f>
        <v>475.47920969424894</v>
      </c>
      <c r="AO112" s="62">
        <f t="shared" si="90"/>
        <v>271.73544012419364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-1.250327841262333E-13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290.85271051443431</v>
      </c>
      <c r="BJ112" s="62">
        <f t="shared" si="92"/>
        <v>318.66958823451142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178.00000000000006</v>
      </c>
      <c r="BZ112" s="14">
        <f>BY112*VLOOKUP('Données projet'!$B$12,Paramètres!$A$1:$I$89,3,0)*VLOOKUP('Données projet'!$B$12,Paramètres!$A$1:$I$89,5,0)</f>
        <v>172.16160000000005</v>
      </c>
      <c r="CA112" s="14">
        <f t="shared" si="93"/>
        <v>43.57379349403616</v>
      </c>
      <c r="CB112" s="22">
        <f t="shared" si="64"/>
        <v>375.73914366877972</v>
      </c>
      <c r="CC112" s="62">
        <f t="shared" si="65"/>
        <v>669.07247700211303</v>
      </c>
      <c r="CD112" s="62">
        <f ca="1">AVERAGE(OFFSET($CC$3,0,0,'Données projet'!$E$12+1,1))-AVERAGE(OFFSET($H$3,0,0,'Données projet'!$E$12+1,1))</f>
        <v>255.59755832175625</v>
      </c>
      <c r="CE112" s="62">
        <f t="shared" si="94"/>
        <v>154.0840647586964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2">
        <f t="shared" si="68"/>
        <v>293.33333333333582</v>
      </c>
      <c r="CY112" s="62">
        <f ca="1">AVERAGE(OFFSET($CX$3,0,0,'Données projet'!$E$13+1,1))-AVERAGE(OFFSET($H$3,0,0,'Données projet'!$E$13+1,1))</f>
        <v>292.57482726862594</v>
      </c>
      <c r="CZ112" s="62">
        <f t="shared" si="96"/>
        <v>283.48738729114024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2">
        <f t="shared" si="55"/>
        <v>889.11808027572556</v>
      </c>
      <c r="S113" s="62">
        <f ca="1">AVERAGE(OFFSET($R$3,0,0,'Données projet'!$E$9+1,1))-AVERAGE(OFFSET($H$3,0,0,'Données projet'!$E$9+1,1))</f>
        <v>428.8489304403459</v>
      </c>
      <c r="T113" s="62">
        <f t="shared" si="88"/>
        <v>247.01165577562966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2">
        <f t="shared" si="59"/>
        <v>959.32290372320404</v>
      </c>
      <c r="AN113" s="62">
        <f ca="1">AVERAGE(OFFSET($AM$3,0,0,'Données projet'!$E$10+1,1))-AVERAGE(OFFSET($H$3,0,0,'Données projet'!$E$10+1,1))</f>
        <v>475.47920969424894</v>
      </c>
      <c r="AO113" s="62">
        <f t="shared" si="90"/>
        <v>271.73544012419364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-1.250327841262333E-13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290.85271051443431</v>
      </c>
      <c r="BJ113" s="62">
        <f t="shared" si="92"/>
        <v>318.66958823451142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181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181.00000000000006</v>
      </c>
      <c r="BZ113" s="14">
        <f>BY113*VLOOKUP('Données projet'!$B$12,Paramètres!$A$1:$I$89,3,0)*VLOOKUP('Données projet'!$B$12,Paramètres!$A$1:$I$89,5,0)</f>
        <v>175.06320000000008</v>
      </c>
      <c r="CA113" s="14">
        <f t="shared" si="93"/>
        <v>44.222067746824763</v>
      </c>
      <c r="CB113" s="22">
        <f t="shared" si="64"/>
        <v>381.92184132571992</v>
      </c>
      <c r="CC113" s="62">
        <f t="shared" si="65"/>
        <v>675.25517465905318</v>
      </c>
      <c r="CD113" s="62">
        <f ca="1">AVERAGE(OFFSET($CC$3,0,0,'Données projet'!$E$12+1,1))-AVERAGE(OFFSET($H$3,0,0,'Données projet'!$E$12+1,1))</f>
        <v>255.59755832175625</v>
      </c>
      <c r="CE113" s="62">
        <f t="shared" si="94"/>
        <v>154.0840647586964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2">
        <f t="shared" si="68"/>
        <v>293.33333333333582</v>
      </c>
      <c r="CY113" s="62">
        <f ca="1">AVERAGE(OFFSET($CX$3,0,0,'Données projet'!$E$13+1,1))-AVERAGE(OFFSET($H$3,0,0,'Données projet'!$E$13+1,1))</f>
        <v>292.57482726862594</v>
      </c>
      <c r="CZ113" s="62">
        <f t="shared" si="96"/>
        <v>283.48738729114024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2">
        <f t="shared" si="55"/>
        <v>821.63161043190416</v>
      </c>
      <c r="S114" s="62">
        <f ca="1">AVERAGE(OFFSET($R$3,0,0,'Données projet'!$E$9+1,1))-AVERAGE(OFFSET($H$3,0,0,'Données projet'!$E$9+1,1))</f>
        <v>428.8489304403459</v>
      </c>
      <c r="T114" s="62">
        <f t="shared" si="88"/>
        <v>247.01165577562966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2">
        <f t="shared" si="59"/>
        <v>883.86661576478514</v>
      </c>
      <c r="AN114" s="62">
        <f ca="1">AVERAGE(OFFSET($AM$3,0,0,'Données projet'!$E$10+1,1))-AVERAGE(OFFSET($H$3,0,0,'Données projet'!$E$10+1,1))</f>
        <v>475.47920969424894</v>
      </c>
      <c r="AO114" s="62">
        <f t="shared" si="90"/>
        <v>271.73544012419364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-1.250327841262333E-13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290.85271051443431</v>
      </c>
      <c r="BJ114" s="62">
        <f t="shared" si="92"/>
        <v>318.66958823451142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</v>
      </c>
      <c r="BY114" s="13">
        <f>IF('Données projet'!$A$114&gt;35,BY113+BX114-CG113,IF(A114&lt;'Données projet'!$A$114,$BV$205^A114,IF(A114='Données projet'!$A$114,'Données projet'!$B$114,BY113+BX114-CG113)))</f>
        <v>184.00000000000006</v>
      </c>
      <c r="BZ114" s="14">
        <f>BY114*VLOOKUP('Données projet'!$B$12,Paramètres!$A$1:$I$89,3,0)*VLOOKUP('Données projet'!$B$12,Paramètres!$A$1:$I$89,5,0)</f>
        <v>177.96480000000008</v>
      </c>
      <c r="CA114" s="14">
        <f t="shared" si="93"/>
        <v>44.869092441133326</v>
      </c>
      <c r="CB114" s="22">
        <f t="shared" si="64"/>
        <v>388.10236266830731</v>
      </c>
      <c r="CC114" s="62">
        <f t="shared" si="65"/>
        <v>681.43569600164062</v>
      </c>
      <c r="CD114" s="62">
        <f ca="1">AVERAGE(OFFSET($CC$3,0,0,'Données projet'!$E$12+1,1))-AVERAGE(OFFSET($H$3,0,0,'Données projet'!$E$12+1,1))</f>
        <v>255.59755832175625</v>
      </c>
      <c r="CE114" s="62">
        <f t="shared" si="94"/>
        <v>154.0840647586964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2">
        <f t="shared" si="68"/>
        <v>293.33333333333582</v>
      </c>
      <c r="CY114" s="62">
        <f ca="1">AVERAGE(OFFSET($CX$3,0,0,'Données projet'!$E$13+1,1))-AVERAGE(OFFSET($H$3,0,0,'Données projet'!$E$13+1,1))</f>
        <v>292.57482726862594</v>
      </c>
      <c r="CZ114" s="62">
        <f t="shared" si="96"/>
        <v>283.48738729114024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2">
        <f t="shared" si="55"/>
        <v>828.7133714063857</v>
      </c>
      <c r="S115" s="62">
        <f ca="1">AVERAGE(OFFSET($R$3,0,0,'Données projet'!$E$9+1,1))-AVERAGE(OFFSET($H$3,0,0,'Données projet'!$E$9+1,1))</f>
        <v>428.8489304403459</v>
      </c>
      <c r="T115" s="62">
        <f t="shared" si="88"/>
        <v>247.01165577562966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2">
        <f t="shared" si="59"/>
        <v>891.78459897725043</v>
      </c>
      <c r="AN115" s="62">
        <f ca="1">AVERAGE(OFFSET($AM$3,0,0,'Données projet'!$E$10+1,1))-AVERAGE(OFFSET($H$3,0,0,'Données projet'!$E$10+1,1))</f>
        <v>475.47920969424894</v>
      </c>
      <c r="AO115" s="62">
        <f t="shared" si="90"/>
        <v>271.73544012419364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-1.250327841262333E-13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290.85271051443431</v>
      </c>
      <c r="BJ115" s="62">
        <f t="shared" si="92"/>
        <v>318.66958823451142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</v>
      </c>
      <c r="BY115" s="13">
        <f>IF('Données projet'!$A$114&gt;35,BY114+BX115-CG114,IF(A115&lt;'Données projet'!$A$114,$BV$205^A115,IF(A115='Données projet'!$A$114,'Données projet'!$B$114,BY114+BX115-CG114)))</f>
        <v>187.00000000000006</v>
      </c>
      <c r="BZ115" s="14">
        <f>BY115*VLOOKUP('Données projet'!$B$12,Paramètres!$A$1:$I$89,3,0)*VLOOKUP('Données projet'!$B$12,Paramètres!$A$1:$I$89,5,0)</f>
        <v>180.86640000000006</v>
      </c>
      <c r="CA115" s="14">
        <f t="shared" si="93"/>
        <v>45.514890302102152</v>
      </c>
      <c r="CB115" s="22">
        <f t="shared" si="64"/>
        <v>394.28074727616132</v>
      </c>
      <c r="CC115" s="62">
        <f t="shared" si="65"/>
        <v>687.61408060949464</v>
      </c>
      <c r="CD115" s="62">
        <f ca="1">AVERAGE(OFFSET($CC$3,0,0,'Données projet'!$E$12+1,1))-AVERAGE(OFFSET($H$3,0,0,'Données projet'!$E$12+1,1))</f>
        <v>255.59755832175625</v>
      </c>
      <c r="CE115" s="62">
        <f t="shared" si="94"/>
        <v>154.0840647586964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2">
        <f t="shared" si="68"/>
        <v>293.33333333333582</v>
      </c>
      <c r="CY115" s="62">
        <f ca="1">AVERAGE(OFFSET($CX$3,0,0,'Données projet'!$E$13+1,1))-AVERAGE(OFFSET($H$3,0,0,'Données projet'!$E$13+1,1))</f>
        <v>292.57482726862594</v>
      </c>
      <c r="CZ115" s="62">
        <f t="shared" si="96"/>
        <v>283.48738729114024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2">
        <f t="shared" si="55"/>
        <v>835.79316307617296</v>
      </c>
      <c r="S116" s="62">
        <f ca="1">AVERAGE(OFFSET($R$3,0,0,'Données projet'!$E$9+1,1))-AVERAGE(OFFSET($H$3,0,0,'Données projet'!$E$9+1,1))</f>
        <v>428.8489304403459</v>
      </c>
      <c r="T116" s="62">
        <f t="shared" si="88"/>
        <v>247.01165577562966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2">
        <f t="shared" si="59"/>
        <v>899.70040428847165</v>
      </c>
      <c r="AN116" s="62">
        <f ca="1">AVERAGE(OFFSET($AM$3,0,0,'Données projet'!$E$10+1,1))-AVERAGE(OFFSET($H$3,0,0,'Données projet'!$E$10+1,1))</f>
        <v>475.47920969424894</v>
      </c>
      <c r="AO116" s="62">
        <f t="shared" si="90"/>
        <v>271.73544012419364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-1.250327841262333E-13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290.85271051443431</v>
      </c>
      <c r="BJ116" s="62">
        <f t="shared" si="92"/>
        <v>318.66958823451142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</v>
      </c>
      <c r="BY116" s="13">
        <f>IF('Données projet'!$A$114&gt;35,BY115+BX116-CG115,IF(A116&lt;'Données projet'!$A$114,$BV$205^A116,IF(A116='Données projet'!$A$114,'Données projet'!$B$114,BY115+BX116-CG115)))</f>
        <v>190.00000000000006</v>
      </c>
      <c r="BZ116" s="14">
        <f>BY116*VLOOKUP('Données projet'!$B$12,Paramètres!$A$1:$I$89,3,0)*VLOOKUP('Données projet'!$B$12,Paramètres!$A$1:$I$89,5,0)</f>
        <v>183.76800000000006</v>
      </c>
      <c r="CA116" s="14">
        <f t="shared" si="93"/>
        <v>46.159483283907285</v>
      </c>
      <c r="CB116" s="22">
        <f t="shared" si="64"/>
        <v>400.45703338613862</v>
      </c>
      <c r="CC116" s="62">
        <f t="shared" si="65"/>
        <v>693.79036671947188</v>
      </c>
      <c r="CD116" s="62">
        <f ca="1">AVERAGE(OFFSET($CC$3,0,0,'Données projet'!$E$12+1,1))-AVERAGE(OFFSET($H$3,0,0,'Données projet'!$E$12+1,1))</f>
        <v>255.59755832175625</v>
      </c>
      <c r="CE116" s="62">
        <f t="shared" si="94"/>
        <v>154.0840647586964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2">
        <f t="shared" si="68"/>
        <v>293.33333333333582</v>
      </c>
      <c r="CY116" s="62">
        <f ca="1">AVERAGE(OFFSET($CX$3,0,0,'Données projet'!$E$13+1,1))-AVERAGE(OFFSET($H$3,0,0,'Données projet'!$E$13+1,1))</f>
        <v>292.57482726862594</v>
      </c>
      <c r="CZ116" s="62">
        <f t="shared" si="96"/>
        <v>283.48738729114024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2">
        <f t="shared" si="55"/>
        <v>842.87101477628994</v>
      </c>
      <c r="S117" s="62">
        <f ca="1">AVERAGE(OFFSET($R$3,0,0,'Données projet'!$E$9+1,1))-AVERAGE(OFFSET($H$3,0,0,'Données projet'!$E$9+1,1))</f>
        <v>428.8489304403459</v>
      </c>
      <c r="T117" s="62">
        <f t="shared" si="88"/>
        <v>247.01165577562966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2">
        <f t="shared" si="59"/>
        <v>907.61406414075464</v>
      </c>
      <c r="AN117" s="62">
        <f ca="1">AVERAGE(OFFSET($AM$3,0,0,'Données projet'!$E$10+1,1))-AVERAGE(OFFSET($H$3,0,0,'Données projet'!$E$10+1,1))</f>
        <v>475.47920969424894</v>
      </c>
      <c r="AO117" s="62">
        <f t="shared" si="90"/>
        <v>271.73544012419364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-1.250327841262333E-13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290.85271051443431</v>
      </c>
      <c r="BJ117" s="62">
        <f t="shared" si="92"/>
        <v>318.66958823451142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</v>
      </c>
      <c r="BY117" s="13">
        <f>IF('Données projet'!$A$114&gt;35,BY116+BX117-CG116,IF(A117&lt;'Données projet'!$A$114,$BV$205^A117,IF(A117='Données projet'!$A$114,'Données projet'!$B$114,BY116+BX117-CG116)))</f>
        <v>193.00000000000006</v>
      </c>
      <c r="BZ117" s="14">
        <f>BY117*VLOOKUP('Données projet'!$B$12,Paramètres!$A$1:$I$89,3,0)*VLOOKUP('Données projet'!$B$12,Paramètres!$A$1:$I$89,5,0)</f>
        <v>186.66960000000006</v>
      </c>
      <c r="CA117" s="14">
        <f t="shared" si="93"/>
        <v>46.802892607668348</v>
      </c>
      <c r="CB117" s="22">
        <f t="shared" si="64"/>
        <v>406.63125795835577</v>
      </c>
      <c r="CC117" s="62">
        <f t="shared" si="65"/>
        <v>699.96459129168909</v>
      </c>
      <c r="CD117" s="62">
        <f ca="1">AVERAGE(OFFSET($CC$3,0,0,'Données projet'!$E$12+1,1))-AVERAGE(OFFSET($H$3,0,0,'Données projet'!$E$12+1,1))</f>
        <v>255.59755832175625</v>
      </c>
      <c r="CE117" s="62">
        <f t="shared" si="94"/>
        <v>154.0840647586964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2">
        <f t="shared" si="68"/>
        <v>293.33333333333582</v>
      </c>
      <c r="CY117" s="62">
        <f ca="1">AVERAGE(OFFSET($CX$3,0,0,'Données projet'!$E$13+1,1))-AVERAGE(OFFSET($H$3,0,0,'Données projet'!$E$13+1,1))</f>
        <v>292.57482726862594</v>
      </c>
      <c r="CZ117" s="62">
        <f t="shared" si="96"/>
        <v>283.48738729114024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2">
        <f t="shared" si="55"/>
        <v>849.94695502425111</v>
      </c>
      <c r="S118" s="62">
        <f ca="1">AVERAGE(OFFSET($R$3,0,0,'Données projet'!$E$9+1,1))-AVERAGE(OFFSET($H$3,0,0,'Données projet'!$E$9+1,1))</f>
        <v>428.8489304403459</v>
      </c>
      <c r="T118" s="62">
        <f t="shared" si="88"/>
        <v>247.01165577562966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2">
        <f t="shared" si="59"/>
        <v>915.52561007230179</v>
      </c>
      <c r="AN118" s="62">
        <f ca="1">AVERAGE(OFFSET($AM$3,0,0,'Données projet'!$E$10+1,1))-AVERAGE(OFFSET($H$3,0,0,'Données projet'!$E$10+1,1))</f>
        <v>475.47920969424894</v>
      </c>
      <c r="AO118" s="62">
        <f t="shared" si="90"/>
        <v>271.73544012419364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-1.250327841262333E-13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290.85271051443431</v>
      </c>
      <c r="BJ118" s="62">
        <f t="shared" si="92"/>
        <v>318.66958823451142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</v>
      </c>
      <c r="BY118" s="13">
        <f>IF('Données projet'!$A$114&gt;35,BY117+BX118-CG117,IF(A118&lt;'Données projet'!$A$114,$BV$205^A118,IF(A118='Données projet'!$A$114,'Données projet'!$B$114,BY117+BX118-CG117)))</f>
        <v>196.00000000000006</v>
      </c>
      <c r="BZ118" s="14">
        <f>BY118*VLOOKUP('Données projet'!$B$12,Paramètres!$A$1:$I$89,3,0)*VLOOKUP('Données projet'!$B$12,Paramètres!$A$1:$I$89,5,0)</f>
        <v>189.57120000000006</v>
      </c>
      <c r="CA118" s="14">
        <f t="shared" si="93"/>
        <v>47.445138796932483</v>
      </c>
      <c r="CB118" s="22">
        <f t="shared" si="64"/>
        <v>412.80345673799087</v>
      </c>
      <c r="CC118" s="62">
        <f t="shared" si="65"/>
        <v>706.13679007132419</v>
      </c>
      <c r="CD118" s="62">
        <f ca="1">AVERAGE(OFFSET($CC$3,0,0,'Données projet'!$E$12+1,1))-AVERAGE(OFFSET($H$3,0,0,'Données projet'!$E$12+1,1))</f>
        <v>255.59755832175625</v>
      </c>
      <c r="CE118" s="62">
        <f t="shared" si="94"/>
        <v>154.0840647586964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2">
        <f t="shared" si="68"/>
        <v>293.33333333333582</v>
      </c>
      <c r="CY118" s="62">
        <f ca="1">AVERAGE(OFFSET($CX$3,0,0,'Données projet'!$E$13+1,1))-AVERAGE(OFFSET($H$3,0,0,'Données projet'!$E$13+1,1))</f>
        <v>292.57482726862594</v>
      </c>
      <c r="CZ118" s="62">
        <f t="shared" si="96"/>
        <v>283.48738729114024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2">
        <f t="shared" si="55"/>
        <v>857.02101155317155</v>
      </c>
      <c r="S119" s="62">
        <f ca="1">AVERAGE(OFFSET($R$3,0,0,'Données projet'!$E$9+1,1))-AVERAGE(OFFSET($H$3,0,0,'Données projet'!$E$9+1,1))</f>
        <v>428.8489304403459</v>
      </c>
      <c r="T119" s="62">
        <f t="shared" si="88"/>
        <v>247.01165577562966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2">
        <f t="shared" si="59"/>
        <v>923.43507275383013</v>
      </c>
      <c r="AN119" s="62">
        <f ca="1">AVERAGE(OFFSET($AM$3,0,0,'Données projet'!$E$10+1,1))-AVERAGE(OFFSET($H$3,0,0,'Données projet'!$E$10+1,1))</f>
        <v>475.47920969424894</v>
      </c>
      <c r="AO119" s="62">
        <f t="shared" si="90"/>
        <v>271.73544012419364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-1.250327841262333E-13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290.85271051443431</v>
      </c>
      <c r="BJ119" s="62">
        <f t="shared" si="92"/>
        <v>318.66958823451142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</v>
      </c>
      <c r="BY119" s="13">
        <f>IF('Données projet'!$A$114&gt;35,BY118+BX119-CG118,IF(A119&lt;'Données projet'!$A$114,$BV$205^A119,IF(A119='Données projet'!$A$114,'Données projet'!$B$114,BY118+BX119-CG118)))</f>
        <v>199.00000000000006</v>
      </c>
      <c r="BZ119" s="14">
        <f>BY119*VLOOKUP('Données projet'!$B$12,Paramètres!$A$1:$I$89,3,0)*VLOOKUP('Données projet'!$B$12,Paramètres!$A$1:$I$89,5,0)</f>
        <v>192.47280000000006</v>
      </c>
      <c r="CA119" s="14">
        <f t="shared" si="93"/>
        <v>48.086241710923829</v>
      </c>
      <c r="CB119" s="22">
        <f t="shared" si="64"/>
        <v>418.97366431319239</v>
      </c>
      <c r="CC119" s="62">
        <f t="shared" si="65"/>
        <v>712.3069976465257</v>
      </c>
      <c r="CD119" s="62">
        <f ca="1">AVERAGE(OFFSET($CC$3,0,0,'Données projet'!$E$12+1,1))-AVERAGE(OFFSET($H$3,0,0,'Données projet'!$E$12+1,1))</f>
        <v>255.59755832175625</v>
      </c>
      <c r="CE119" s="62">
        <f t="shared" si="94"/>
        <v>154.0840647586964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2">
        <f t="shared" si="68"/>
        <v>293.33333333333582</v>
      </c>
      <c r="CY119" s="62">
        <f ca="1">AVERAGE(OFFSET($CX$3,0,0,'Données projet'!$E$13+1,1))-AVERAGE(OFFSET($H$3,0,0,'Données projet'!$E$13+1,1))</f>
        <v>292.57482726862594</v>
      </c>
      <c r="CZ119" s="62">
        <f t="shared" si="96"/>
        <v>283.48738729114024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2">
        <f t="shared" si="55"/>
        <v>864.09321134313223</v>
      </c>
      <c r="S120" s="62">
        <f ca="1">AVERAGE(OFFSET($R$3,0,0,'Données projet'!$E$9+1,1))-AVERAGE(OFFSET($H$3,0,0,'Données projet'!$E$9+1,1))</f>
        <v>428.8489304403459</v>
      </c>
      <c r="T120" s="62">
        <f t="shared" si="88"/>
        <v>247.01165577562966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2">
        <f t="shared" si="59"/>
        <v>931.34248202325739</v>
      </c>
      <c r="AN120" s="62">
        <f ca="1">AVERAGE(OFFSET($AM$3,0,0,'Données projet'!$E$10+1,1))-AVERAGE(OFFSET($H$3,0,0,'Données projet'!$E$10+1,1))</f>
        <v>475.47920969424894</v>
      </c>
      <c r="AO120" s="62">
        <f t="shared" si="90"/>
        <v>271.73544012419364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-1.250327841262333E-13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290.85271051443431</v>
      </c>
      <c r="BJ120" s="62">
        <f t="shared" si="92"/>
        <v>318.66958823451142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</v>
      </c>
      <c r="BY120" s="13">
        <f>IF('Données projet'!$A$114&gt;35,BY119+BX120-CG119,IF(A120&lt;'Données projet'!$A$114,$BV$205^A120,IF(A120='Données projet'!$A$114,'Données projet'!$B$114,BY119+BX120-CG119)))</f>
        <v>202.00000000000006</v>
      </c>
      <c r="BZ120" s="14">
        <f>BY120*VLOOKUP('Données projet'!$B$12,Paramètres!$A$1:$I$89,3,0)*VLOOKUP('Données projet'!$B$12,Paramètres!$A$1:$I$89,5,0)</f>
        <v>195.37440000000007</v>
      </c>
      <c r="CA120" s="14">
        <f t="shared" si="93"/>
        <v>48.726220575731695</v>
      </c>
      <c r="CB120" s="22">
        <f t="shared" si="64"/>
        <v>425.14191416939951</v>
      </c>
      <c r="CC120" s="62">
        <f t="shared" si="65"/>
        <v>718.47524750273283</v>
      </c>
      <c r="CD120" s="62">
        <f ca="1">AVERAGE(OFFSET($CC$3,0,0,'Données projet'!$E$12+1,1))-AVERAGE(OFFSET($H$3,0,0,'Données projet'!$E$12+1,1))</f>
        <v>255.59755832175625</v>
      </c>
      <c r="CE120" s="62">
        <f t="shared" si="94"/>
        <v>154.0840647586964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2">
        <f t="shared" si="68"/>
        <v>293.33333333333582</v>
      </c>
      <c r="CY120" s="62">
        <f ca="1">AVERAGE(OFFSET($CX$3,0,0,'Données projet'!$E$13+1,1))-AVERAGE(OFFSET($H$3,0,0,'Données projet'!$E$13+1,1))</f>
        <v>292.57482726862594</v>
      </c>
      <c r="CZ120" s="62">
        <f t="shared" si="96"/>
        <v>283.48738729114024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2">
        <f t="shared" si="55"/>
        <v>871.16358065090617</v>
      </c>
      <c r="S121" s="62">
        <f ca="1">AVERAGE(OFFSET($R$3,0,0,'Données projet'!$E$9+1,1))-AVERAGE(OFFSET($H$3,0,0,'Données projet'!$E$9+1,1))</f>
        <v>428.8489304403459</v>
      </c>
      <c r="T121" s="62">
        <f t="shared" si="88"/>
        <v>247.01165577562966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2">
        <f t="shared" si="59"/>
        <v>939.24786691857776</v>
      </c>
      <c r="AN121" s="62">
        <f ca="1">AVERAGE(OFFSET($AM$3,0,0,'Données projet'!$E$10+1,1))-AVERAGE(OFFSET($H$3,0,0,'Données projet'!$E$10+1,1))</f>
        <v>475.47920969424894</v>
      </c>
      <c r="AO121" s="62">
        <f t="shared" si="90"/>
        <v>271.73544012419364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-1.250327841262333E-13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290.85271051443431</v>
      </c>
      <c r="BJ121" s="62">
        <f t="shared" si="92"/>
        <v>318.66958823451142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</v>
      </c>
      <c r="BY121" s="13">
        <f>IF('Données projet'!$A$114&gt;35,BY120+BX121-CG120,IF(A121&lt;'Données projet'!$A$114,$BV$205^A121,IF(A121='Données projet'!$A$114,'Données projet'!$B$114,BY120+BX121-CG120)))</f>
        <v>205.00000000000006</v>
      </c>
      <c r="BZ121" s="14">
        <f>BY121*VLOOKUP('Données projet'!$B$12,Paramètres!$A$1:$I$89,3,0)*VLOOKUP('Données projet'!$B$12,Paramètres!$A$1:$I$89,5,0)</f>
        <v>198.27600000000007</v>
      </c>
      <c r="CA121" s="14">
        <f t="shared" si="93"/>
        <v>49.365094013592753</v>
      </c>
      <c r="CB121" s="22">
        <f t="shared" si="64"/>
        <v>431.30823874034081</v>
      </c>
      <c r="CC121" s="62">
        <f t="shared" si="65"/>
        <v>724.64157207367407</v>
      </c>
      <c r="CD121" s="62">
        <f ca="1">AVERAGE(OFFSET($CC$3,0,0,'Données projet'!$E$12+1,1))-AVERAGE(OFFSET($H$3,0,0,'Données projet'!$E$12+1,1))</f>
        <v>255.59755832175625</v>
      </c>
      <c r="CE121" s="62">
        <f t="shared" si="94"/>
        <v>154.0840647586964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2">
        <f t="shared" si="68"/>
        <v>293.33333333333582</v>
      </c>
      <c r="CY121" s="62">
        <f ca="1">AVERAGE(OFFSET($CX$3,0,0,'Données projet'!$E$13+1,1))-AVERAGE(OFFSET($H$3,0,0,'Données projet'!$E$13+1,1))</f>
        <v>292.57482726862594</v>
      </c>
      <c r="CZ121" s="62">
        <f t="shared" si="96"/>
        <v>283.48738729114024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2">
        <f t="shared" si="55"/>
        <v>878.23214503815643</v>
      </c>
      <c r="S122" s="62">
        <f ca="1">AVERAGE(OFFSET($R$3,0,0,'Données projet'!$E$9+1,1))-AVERAGE(OFFSET($H$3,0,0,'Données projet'!$E$9+1,1))</f>
        <v>428.8489304403459</v>
      </c>
      <c r="T122" s="62">
        <f t="shared" si="88"/>
        <v>247.01165577562966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2">
        <f t="shared" si="59"/>
        <v>947.15125570904661</v>
      </c>
      <c r="AN122" s="62">
        <f ca="1">AVERAGE(OFFSET($AM$3,0,0,'Données projet'!$E$10+1,1))-AVERAGE(OFFSET($H$3,0,0,'Données projet'!$E$10+1,1))</f>
        <v>475.47920969424894</v>
      </c>
      <c r="AO122" s="62">
        <f t="shared" si="90"/>
        <v>271.73544012419364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-1.250327841262333E-13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290.85271051443431</v>
      </c>
      <c r="BJ122" s="62">
        <f t="shared" si="92"/>
        <v>318.66958823451142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</v>
      </c>
      <c r="BY122" s="13">
        <f>IF('Données projet'!$A$114&gt;35,BY121+BX122-CG121,IF(A122&lt;'Données projet'!$A$114,$BV$205^A122,IF(A122='Données projet'!$A$114,'Données projet'!$B$114,BY121+BX122-CG121)))</f>
        <v>208.00000000000006</v>
      </c>
      <c r="BZ122" s="14">
        <f>BY122*VLOOKUP('Données projet'!$B$12,Paramètres!$A$1:$I$89,3,0)*VLOOKUP('Données projet'!$B$12,Paramètres!$A$1:$I$89,5,0)</f>
        <v>201.17760000000007</v>
      </c>
      <c r="CA122" s="14">
        <f t="shared" si="93"/>
        <v>50.002880070410733</v>
      </c>
      <c r="CB122" s="22">
        <f t="shared" si="64"/>
        <v>437.47266945596539</v>
      </c>
      <c r="CC122" s="62">
        <f t="shared" si="65"/>
        <v>730.80600278929865</v>
      </c>
      <c r="CD122" s="62">
        <f ca="1">AVERAGE(OFFSET($CC$3,0,0,'Données projet'!$E$12+1,1))-AVERAGE(OFFSET($H$3,0,0,'Données projet'!$E$12+1,1))</f>
        <v>255.59755832175625</v>
      </c>
      <c r="CE122" s="62">
        <f t="shared" si="94"/>
        <v>154.0840647586964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2">
        <f t="shared" si="68"/>
        <v>293.33333333333582</v>
      </c>
      <c r="CY122" s="62">
        <f ca="1">AVERAGE(OFFSET($CX$3,0,0,'Données projet'!$E$13+1,1))-AVERAGE(OFFSET($H$3,0,0,'Données projet'!$E$13+1,1))</f>
        <v>292.57482726862594</v>
      </c>
      <c r="CZ122" s="62">
        <f t="shared" si="96"/>
        <v>283.48738729114024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2">
        <f t="shared" si="55"/>
        <v>885.29892939819752</v>
      </c>
      <c r="S123" s="62">
        <f ca="1">AVERAGE(OFFSET($R$3,0,0,'Données projet'!$E$9+1,1))-AVERAGE(OFFSET($H$3,0,0,'Données projet'!$E$9+1,1))</f>
        <v>428.8489304403459</v>
      </c>
      <c r="T123" s="62">
        <f t="shared" si="88"/>
        <v>247.01165577562966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2">
        <f t="shared" si="59"/>
        <v>955.05267592477753</v>
      </c>
      <c r="AN123" s="62">
        <f ca="1">AVERAGE(OFFSET($AM$3,0,0,'Données projet'!$E$10+1,1))-AVERAGE(OFFSET($H$3,0,0,'Données projet'!$E$10+1,1))</f>
        <v>475.47920969424894</v>
      </c>
      <c r="AO123" s="62">
        <f t="shared" si="90"/>
        <v>271.73544012419364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-1.250327841262333E-13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290.85271051443431</v>
      </c>
      <c r="BJ123" s="62">
        <f t="shared" si="92"/>
        <v>318.66958823451142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211</v>
      </c>
      <c r="BW123" s="13">
        <f>VLOOKUP(A123,'Données projet'!$A$113:$I$133,9,0)</f>
        <v>3</v>
      </c>
      <c r="BX123" s="13">
        <f t="array" ref="BX123">INDEX(BW:BW,MIN(IF(ISNUMBER(BW123:BW319),ROW(BW123:BW319),"")))</f>
        <v>3</v>
      </c>
      <c r="BY123" s="13">
        <f>IF('Données projet'!$A$114&gt;35,BY122+BX123-CG122,IF(A123&lt;'Données projet'!$A$114,$BV$205^A123,IF(A123='Données projet'!$A$114,'Données projet'!$B$114,BY122+BX123-CG122)))</f>
        <v>211.00000000000006</v>
      </c>
      <c r="BZ123" s="14">
        <f>BY123*VLOOKUP('Données projet'!$B$12,Paramètres!$A$1:$I$89,3,0)*VLOOKUP('Données projet'!$B$12,Paramètres!$A$1:$I$89,5,0)</f>
        <v>204.07920000000004</v>
      </c>
      <c r="CA123" s="14">
        <f t="shared" si="93"/>
        <v>50.639596241643567</v>
      </c>
      <c r="CB123" s="22">
        <f t="shared" si="64"/>
        <v>443.63523678752927</v>
      </c>
      <c r="CC123" s="62">
        <f t="shared" si="65"/>
        <v>736.96857012086252</v>
      </c>
      <c r="CD123" s="62">
        <f ca="1">AVERAGE(OFFSET($CC$3,0,0,'Données projet'!$E$12+1,1))-AVERAGE(OFFSET($H$3,0,0,'Données projet'!$E$12+1,1))</f>
        <v>255.59755832175625</v>
      </c>
      <c r="CE123" s="62">
        <f t="shared" si="94"/>
        <v>154.0840647586964</v>
      </c>
      <c r="CF123" s="16">
        <f>IF(ISNA(VLOOKUP(A123,'Données projet'!$A$113:$I$133,3,0)),0,VLOOKUP(A123,'Données projet'!$A$113:$I$133,3,0))</f>
        <v>9</v>
      </c>
      <c r="CG123" s="16">
        <f>IF(ISNA(VLOOKUP(A123,'Données projet'!$A$113:$I$133,4,0)),0,VLOOKUP(A123,'Données projet'!$A$113:$I$133,4,0))</f>
        <v>211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2">
        <f t="shared" si="68"/>
        <v>293.33333333333582</v>
      </c>
      <c r="CY123" s="62">
        <f ca="1">AVERAGE(OFFSET($CX$3,0,0,'Données projet'!$E$13+1,1))-AVERAGE(OFFSET($H$3,0,0,'Données projet'!$E$13+1,1))</f>
        <v>292.57482726862594</v>
      </c>
      <c r="CZ123" s="62">
        <f t="shared" si="96"/>
        <v>283.48738729114024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2">
        <f t="shared" si="55"/>
        <v>824.50283387733225</v>
      </c>
      <c r="S124" s="62">
        <f ca="1">AVERAGE(OFFSET($R$3,0,0,'Données projet'!$E$9+1,1))-AVERAGE(OFFSET($H$3,0,0,'Données projet'!$E$9+1,1))</f>
        <v>428.8489304403459</v>
      </c>
      <c r="T124" s="62">
        <f t="shared" si="88"/>
        <v>247.01165577562966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2">
        <f t="shared" si="59"/>
        <v>887.07687356967608</v>
      </c>
      <c r="AN124" s="62">
        <f ca="1">AVERAGE(OFFSET($AM$3,0,0,'Données projet'!$E$10+1,1))-AVERAGE(OFFSET($H$3,0,0,'Données projet'!$E$10+1,1))</f>
        <v>475.47920969424894</v>
      </c>
      <c r="AO124" s="62">
        <f t="shared" si="90"/>
        <v>271.73544012419364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-1.250327841262333E-13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290.85271051443431</v>
      </c>
      <c r="BJ124" s="62">
        <f t="shared" si="92"/>
        <v>318.66958823451142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5.4978954722173515E-14</v>
      </c>
      <c r="CA124" s="14">
        <f t="shared" si="93"/>
        <v>8.8550225887742724E-13</v>
      </c>
      <c r="CB124" s="22">
        <f t="shared" si="64"/>
        <v>1.6380047803526383E-12</v>
      </c>
      <c r="CC124" s="62">
        <f t="shared" si="65"/>
        <v>293.33333333333496</v>
      </c>
      <c r="CD124" s="62">
        <f ca="1">AVERAGE(OFFSET($CC$3,0,0,'Données projet'!$E$12+1,1))-AVERAGE(OFFSET($H$3,0,0,'Données projet'!$E$12+1,1))</f>
        <v>255.59755832175625</v>
      </c>
      <c r="CE124" s="62">
        <f t="shared" si="94"/>
        <v>154.0840647586964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2">
        <f t="shared" si="68"/>
        <v>293.33333333333582</v>
      </c>
      <c r="CY124" s="62">
        <f ca="1">AVERAGE(OFFSET($CX$3,0,0,'Données projet'!$E$13+1,1))-AVERAGE(OFFSET($H$3,0,0,'Données projet'!$E$13+1,1))</f>
        <v>292.57482726862594</v>
      </c>
      <c r="CZ124" s="62">
        <f t="shared" si="96"/>
        <v>283.48738729114024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2">
        <f t="shared" si="55"/>
        <v>830.62702157178478</v>
      </c>
      <c r="S125" s="62">
        <f ca="1">AVERAGE(OFFSET($R$3,0,0,'Données projet'!$E$9+1,1))-AVERAGE(OFFSET($H$3,0,0,'Données projet'!$E$9+1,1))</f>
        <v>428.8489304403459</v>
      </c>
      <c r="T125" s="62">
        <f t="shared" si="88"/>
        <v>247.01165577562966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2">
        <f t="shared" si="59"/>
        <v>893.92421921427581</v>
      </c>
      <c r="AN125" s="62">
        <f ca="1">AVERAGE(OFFSET($AM$3,0,0,'Données projet'!$E$10+1,1))-AVERAGE(OFFSET($H$3,0,0,'Données projet'!$E$10+1,1))</f>
        <v>475.47920969424894</v>
      </c>
      <c r="AO125" s="62">
        <f t="shared" si="90"/>
        <v>271.73544012419364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-1.250327841262333E-13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290.85271051443431</v>
      </c>
      <c r="BJ125" s="62">
        <f t="shared" si="92"/>
        <v>318.66958823451142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5.4978954722173515E-14</v>
      </c>
      <c r="CA125" s="14">
        <f t="shared" si="93"/>
        <v>8.8550225887742724E-13</v>
      </c>
      <c r="CB125" s="22">
        <f t="shared" si="64"/>
        <v>1.6380047803526383E-12</v>
      </c>
      <c r="CC125" s="62">
        <f t="shared" si="65"/>
        <v>293.33333333333496</v>
      </c>
      <c r="CD125" s="62">
        <f ca="1">AVERAGE(OFFSET($CC$3,0,0,'Données projet'!$E$12+1,1))-AVERAGE(OFFSET($H$3,0,0,'Données projet'!$E$12+1,1))</f>
        <v>255.59755832175625</v>
      </c>
      <c r="CE125" s="62">
        <f t="shared" si="94"/>
        <v>154.0840647586964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2">
        <f t="shared" si="68"/>
        <v>293.33333333333582</v>
      </c>
      <c r="CY125" s="62">
        <f ca="1">AVERAGE(OFFSET($CX$3,0,0,'Données projet'!$E$13+1,1))-AVERAGE(OFFSET($H$3,0,0,'Données projet'!$E$13+1,1))</f>
        <v>292.57482726862594</v>
      </c>
      <c r="CZ125" s="62">
        <f t="shared" si="96"/>
        <v>283.48738729114024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2">
        <f t="shared" si="55"/>
        <v>836.74974224894845</v>
      </c>
      <c r="S126" s="62">
        <f ca="1">AVERAGE(OFFSET($R$3,0,0,'Données projet'!$E$9+1,1))-AVERAGE(OFFSET($H$3,0,0,'Données projet'!$E$9+1,1))</f>
        <v>428.8489304403459</v>
      </c>
      <c r="T126" s="62">
        <f t="shared" si="88"/>
        <v>247.01165577562966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2">
        <f t="shared" si="59"/>
        <v>900.76994244930756</v>
      </c>
      <c r="AN126" s="62">
        <f ca="1">AVERAGE(OFFSET($AM$3,0,0,'Données projet'!$E$10+1,1))-AVERAGE(OFFSET($H$3,0,0,'Données projet'!$E$10+1,1))</f>
        <v>475.47920969424894</v>
      </c>
      <c r="AO126" s="62">
        <f t="shared" si="90"/>
        <v>271.73544012419364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-1.250327841262333E-13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290.85271051443431</v>
      </c>
      <c r="BJ126" s="62">
        <f t="shared" si="92"/>
        <v>318.66958823451142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5.4978954722173515E-14</v>
      </c>
      <c r="CA126" s="14">
        <f t="shared" si="93"/>
        <v>8.8550225887742724E-13</v>
      </c>
      <c r="CB126" s="22">
        <f t="shared" si="64"/>
        <v>1.6380047803526383E-12</v>
      </c>
      <c r="CC126" s="62">
        <f t="shared" si="65"/>
        <v>293.33333333333496</v>
      </c>
      <c r="CD126" s="62">
        <f ca="1">AVERAGE(OFFSET($CC$3,0,0,'Données projet'!$E$12+1,1))-AVERAGE(OFFSET($H$3,0,0,'Données projet'!$E$12+1,1))</f>
        <v>255.59755832175625</v>
      </c>
      <c r="CE126" s="62">
        <f t="shared" si="94"/>
        <v>154.0840647586964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2">
        <f t="shared" si="68"/>
        <v>293.33333333333582</v>
      </c>
      <c r="CY126" s="62">
        <f ca="1">AVERAGE(OFFSET($CX$3,0,0,'Données projet'!$E$13+1,1))-AVERAGE(OFFSET($H$3,0,0,'Données projet'!$E$13+1,1))</f>
        <v>292.57482726862594</v>
      </c>
      <c r="CZ126" s="62">
        <f t="shared" si="96"/>
        <v>283.48738729114024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2">
        <f t="shared" si="55"/>
        <v>842.87101477628971</v>
      </c>
      <c r="S127" s="62">
        <f ca="1">AVERAGE(OFFSET($R$3,0,0,'Données projet'!$E$9+1,1))-AVERAGE(OFFSET($H$3,0,0,'Données projet'!$E$9+1,1))</f>
        <v>428.8489304403459</v>
      </c>
      <c r="T127" s="62">
        <f t="shared" si="88"/>
        <v>247.01165577562966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2">
        <f t="shared" si="59"/>
        <v>907.61406414075418</v>
      </c>
      <c r="AN127" s="62">
        <f ca="1">AVERAGE(OFFSET($AM$3,0,0,'Données projet'!$E$10+1,1))-AVERAGE(OFFSET($H$3,0,0,'Données projet'!$E$10+1,1))</f>
        <v>475.47920969424894</v>
      </c>
      <c r="AO127" s="62">
        <f t="shared" si="90"/>
        <v>271.73544012419364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-1.250327841262333E-13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290.85271051443431</v>
      </c>
      <c r="BJ127" s="62">
        <f t="shared" si="92"/>
        <v>318.66958823451142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5.4978954722173515E-14</v>
      </c>
      <c r="CA127" s="14">
        <f t="shared" si="93"/>
        <v>8.8550225887742724E-13</v>
      </c>
      <c r="CB127" s="22">
        <f t="shared" si="64"/>
        <v>1.6380047803526383E-12</v>
      </c>
      <c r="CC127" s="62">
        <f t="shared" si="65"/>
        <v>293.33333333333496</v>
      </c>
      <c r="CD127" s="62">
        <f ca="1">AVERAGE(OFFSET($CC$3,0,0,'Données projet'!$E$12+1,1))-AVERAGE(OFFSET($H$3,0,0,'Données projet'!$E$12+1,1))</f>
        <v>255.59755832175625</v>
      </c>
      <c r="CE127" s="62">
        <f t="shared" si="94"/>
        <v>154.0840647586964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2">
        <f t="shared" si="68"/>
        <v>293.33333333333582</v>
      </c>
      <c r="CY127" s="62">
        <f ca="1">AVERAGE(OFFSET($CX$3,0,0,'Données projet'!$E$13+1,1))-AVERAGE(OFFSET($H$3,0,0,'Données projet'!$E$13+1,1))</f>
        <v>292.57482726862594</v>
      </c>
      <c r="CZ127" s="62">
        <f t="shared" si="96"/>
        <v>283.48738729114024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2">
        <f t="shared" si="55"/>
        <v>848.99085756649174</v>
      </c>
      <c r="S128" s="62">
        <f ca="1">AVERAGE(OFFSET($R$3,0,0,'Données projet'!$E$9+1,1))-AVERAGE(OFFSET($H$3,0,0,'Données projet'!$E$9+1,1))</f>
        <v>428.8489304403459</v>
      </c>
      <c r="T128" s="62">
        <f t="shared" si="88"/>
        <v>247.01165577562966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2">
        <f t="shared" si="59"/>
        <v>914.45660465164383</v>
      </c>
      <c r="AN128" s="62">
        <f ca="1">AVERAGE(OFFSET($AM$3,0,0,'Données projet'!$E$10+1,1))-AVERAGE(OFFSET($H$3,0,0,'Données projet'!$E$10+1,1))</f>
        <v>475.47920969424894</v>
      </c>
      <c r="AO128" s="62">
        <f t="shared" si="90"/>
        <v>271.73544012419364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-1.250327841262333E-13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290.85271051443431</v>
      </c>
      <c r="BJ128" s="62">
        <f t="shared" si="92"/>
        <v>318.66958823451142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5.4978954722173515E-14</v>
      </c>
      <c r="CA128" s="14">
        <f t="shared" si="93"/>
        <v>8.8550225887742724E-13</v>
      </c>
      <c r="CB128" s="22">
        <f t="shared" si="64"/>
        <v>1.6380047803526383E-12</v>
      </c>
      <c r="CC128" s="62">
        <f t="shared" si="65"/>
        <v>293.33333333333496</v>
      </c>
      <c r="CD128" s="62">
        <f ca="1">AVERAGE(OFFSET($CC$3,0,0,'Données projet'!$E$12+1,1))-AVERAGE(OFFSET($H$3,0,0,'Données projet'!$E$12+1,1))</f>
        <v>255.59755832175625</v>
      </c>
      <c r="CE128" s="62">
        <f t="shared" si="94"/>
        <v>154.0840647586964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2">
        <f t="shared" si="68"/>
        <v>293.33333333333582</v>
      </c>
      <c r="CY128" s="62">
        <f ca="1">AVERAGE(OFFSET($CX$3,0,0,'Données projet'!$E$13+1,1))-AVERAGE(OFFSET($H$3,0,0,'Données projet'!$E$13+1,1))</f>
        <v>292.57482726862594</v>
      </c>
      <c r="CZ128" s="62">
        <f t="shared" si="96"/>
        <v>283.48738729114024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2">
        <f t="shared" si="55"/>
        <v>855.10928859341493</v>
      </c>
      <c r="S129" s="62">
        <f ca="1">AVERAGE(OFFSET($R$3,0,0,'Données projet'!$E$9+1,1))-AVERAGE(OFFSET($H$3,0,0,'Données projet'!$E$9+1,1))</f>
        <v>428.8489304403459</v>
      </c>
      <c r="T129" s="62">
        <f t="shared" si="88"/>
        <v>247.01165577562966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2">
        <f t="shared" si="59"/>
        <v>921.29758385969899</v>
      </c>
      <c r="AN129" s="62">
        <f ca="1">AVERAGE(OFFSET($AM$3,0,0,'Données projet'!$E$10+1,1))-AVERAGE(OFFSET($H$3,0,0,'Données projet'!$E$10+1,1))</f>
        <v>475.47920969424894</v>
      </c>
      <c r="AO129" s="62">
        <f t="shared" si="90"/>
        <v>271.73544012419364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-1.250327841262333E-13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290.85271051443431</v>
      </c>
      <c r="BJ129" s="62">
        <f t="shared" si="92"/>
        <v>318.66958823451142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5.4978954722173515E-14</v>
      </c>
      <c r="CA129" s="14">
        <f t="shared" si="93"/>
        <v>8.8550225887742724E-13</v>
      </c>
      <c r="CB129" s="22">
        <f t="shared" si="64"/>
        <v>1.6380047803526383E-12</v>
      </c>
      <c r="CC129" s="62">
        <f t="shared" si="65"/>
        <v>293.33333333333496</v>
      </c>
      <c r="CD129" s="62">
        <f ca="1">AVERAGE(OFFSET($CC$3,0,0,'Données projet'!$E$12+1,1))-AVERAGE(OFFSET($H$3,0,0,'Données projet'!$E$12+1,1))</f>
        <v>255.59755832175625</v>
      </c>
      <c r="CE129" s="62">
        <f t="shared" si="94"/>
        <v>154.0840647586964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2">
        <f t="shared" si="68"/>
        <v>293.33333333333582</v>
      </c>
      <c r="CY129" s="62">
        <f ca="1">AVERAGE(OFFSET($CX$3,0,0,'Données projet'!$E$13+1,1))-AVERAGE(OFFSET($H$3,0,0,'Données projet'!$E$13+1,1))</f>
        <v>292.57482726862594</v>
      </c>
      <c r="CZ129" s="62">
        <f t="shared" si="96"/>
        <v>283.48738729114024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2">
        <f t="shared" si="55"/>
        <v>861.22632540732639</v>
      </c>
      <c r="S130" s="62">
        <f ca="1">AVERAGE(OFFSET($R$3,0,0,'Données projet'!$E$9+1,1))-AVERAGE(OFFSET($H$3,0,0,'Données projet'!$E$9+1,1))</f>
        <v>428.8489304403459</v>
      </c>
      <c r="T130" s="62">
        <f t="shared" si="88"/>
        <v>247.01165577562966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2">
        <f t="shared" si="59"/>
        <v>928.13702117418029</v>
      </c>
      <c r="AN130" s="62">
        <f ca="1">AVERAGE(OFFSET($AM$3,0,0,'Données projet'!$E$10+1,1))-AVERAGE(OFFSET($H$3,0,0,'Données projet'!$E$10+1,1))</f>
        <v>475.47920969424894</v>
      </c>
      <c r="AO130" s="62">
        <f t="shared" si="90"/>
        <v>271.73544012419364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-1.250327841262333E-13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290.85271051443431</v>
      </c>
      <c r="BJ130" s="62">
        <f t="shared" si="92"/>
        <v>318.66958823451142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5.4978954722173515E-14</v>
      </c>
      <c r="CA130" s="14">
        <f t="shared" si="93"/>
        <v>8.8550225887742724E-13</v>
      </c>
      <c r="CB130" s="22">
        <f t="shared" si="64"/>
        <v>1.6380047803526383E-12</v>
      </c>
      <c r="CC130" s="62">
        <f t="shared" si="65"/>
        <v>293.33333333333496</v>
      </c>
      <c r="CD130" s="62">
        <f ca="1">AVERAGE(OFFSET($CC$3,0,0,'Données projet'!$E$12+1,1))-AVERAGE(OFFSET($H$3,0,0,'Données projet'!$E$12+1,1))</f>
        <v>255.59755832175625</v>
      </c>
      <c r="CE130" s="62">
        <f t="shared" si="94"/>
        <v>154.0840647586964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2">
        <f t="shared" si="68"/>
        <v>293.33333333333582</v>
      </c>
      <c r="CY130" s="62">
        <f ca="1">AVERAGE(OFFSET($CX$3,0,0,'Données projet'!$E$13+1,1))-AVERAGE(OFFSET($H$3,0,0,'Données projet'!$E$13+1,1))</f>
        <v>292.57482726862594</v>
      </c>
      <c r="CZ130" s="62">
        <f t="shared" si="96"/>
        <v>283.48738729114024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2">
        <f t="shared" ref="R131:R194" si="109">Q131+(I131+J131)*44/12</f>
        <v>867.3419851494366</v>
      </c>
      <c r="S131" s="62">
        <f ca="1">AVERAGE(OFFSET($R$3,0,0,'Données projet'!$E$9+1,1))-AVERAGE(OFFSET($H$3,0,0,'Données projet'!$E$9+1,1))</f>
        <v>428.8489304403459</v>
      </c>
      <c r="T131" s="62">
        <f t="shared" si="88"/>
        <v>247.01165577562966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2">
        <f t="shared" si="59"/>
        <v>934.9749355519632</v>
      </c>
      <c r="AN131" s="62">
        <f ca="1">AVERAGE(OFFSET($AM$3,0,0,'Données projet'!$E$10+1,1))-AVERAGE(OFFSET($H$3,0,0,'Données projet'!$E$10+1,1))</f>
        <v>475.47920969424894</v>
      </c>
      <c r="AO131" s="62">
        <f t="shared" si="90"/>
        <v>271.73544012419364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-1.250327841262333E-13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290.85271051443431</v>
      </c>
      <c r="BJ131" s="62">
        <f t="shared" si="92"/>
        <v>318.66958823451142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5.4978954722173515E-14</v>
      </c>
      <c r="CA131" s="14">
        <f t="shared" si="93"/>
        <v>8.8550225887742724E-13</v>
      </c>
      <c r="CB131" s="22">
        <f t="shared" si="64"/>
        <v>1.6380047803526383E-12</v>
      </c>
      <c r="CC131" s="62">
        <f t="shared" si="65"/>
        <v>293.33333333333496</v>
      </c>
      <c r="CD131" s="62">
        <f ca="1">AVERAGE(OFFSET($CC$3,0,0,'Données projet'!$E$12+1,1))-AVERAGE(OFFSET($H$3,0,0,'Données projet'!$E$12+1,1))</f>
        <v>255.59755832175625</v>
      </c>
      <c r="CE131" s="62">
        <f t="shared" si="94"/>
        <v>154.0840647586964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2">
        <f t="shared" si="68"/>
        <v>293.33333333333582</v>
      </c>
      <c r="CY131" s="62">
        <f ca="1">AVERAGE(OFFSET($CX$3,0,0,'Données projet'!$E$13+1,1))-AVERAGE(OFFSET($H$3,0,0,'Données projet'!$E$13+1,1))</f>
        <v>292.57482726862594</v>
      </c>
      <c r="CZ131" s="62">
        <f t="shared" si="96"/>
        <v>283.48738729114024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2">
        <f t="shared" si="109"/>
        <v>873.4562845657872</v>
      </c>
      <c r="S132" s="62">
        <f ca="1">AVERAGE(OFFSET($R$3,0,0,'Données projet'!$E$9+1,1))-AVERAGE(OFFSET($H$3,0,0,'Données projet'!$E$9+1,1))</f>
        <v>428.8489304403459</v>
      </c>
      <c r="T132" s="62">
        <f t="shared" si="88"/>
        <v>247.01165577562966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2">
        <f t="shared" ref="AM132:AM195" si="113">AL132+(AD132+AE132)*44/12</f>
        <v>941.81134551289711</v>
      </c>
      <c r="AN132" s="62">
        <f ca="1">AVERAGE(OFFSET($AM$3,0,0,'Données projet'!$E$10+1,1))-AVERAGE(OFFSET($H$3,0,0,'Données projet'!$E$10+1,1))</f>
        <v>475.47920969424894</v>
      </c>
      <c r="AO132" s="62">
        <f t="shared" si="90"/>
        <v>271.73544012419364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-1.250327841262333E-13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290.85271051443431</v>
      </c>
      <c r="BJ132" s="62">
        <f t="shared" si="92"/>
        <v>318.66958823451142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5.4978954722173515E-14</v>
      </c>
      <c r="CA132" s="14">
        <f t="shared" si="93"/>
        <v>8.8550225887742724E-13</v>
      </c>
      <c r="CB132" s="22">
        <f t="shared" ref="CB132:CB153" si="118">(BZ132+CA132)*0.475*44/12</f>
        <v>1.6380047803526383E-12</v>
      </c>
      <c r="CC132" s="62">
        <f t="shared" ref="CC132:CC195" si="119">CB132+(BT132+BU132)*44/12</f>
        <v>293.33333333333496</v>
      </c>
      <c r="CD132" s="62">
        <f ca="1">AVERAGE(OFFSET($CC$3,0,0,'Données projet'!$E$12+1,1))-AVERAGE(OFFSET($H$3,0,0,'Données projet'!$E$12+1,1))</f>
        <v>255.59755832175625</v>
      </c>
      <c r="CE132" s="62">
        <f t="shared" si="94"/>
        <v>154.0840647586964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2">
        <f t="shared" ref="CX132:CX195" si="122">CW132+(CO132+CP132)*44/12</f>
        <v>293.33333333333582</v>
      </c>
      <c r="CY132" s="62">
        <f ca="1">AVERAGE(OFFSET($CX$3,0,0,'Données projet'!$E$13+1,1))-AVERAGE(OFFSET($H$3,0,0,'Données projet'!$E$13+1,1))</f>
        <v>292.57482726862594</v>
      </c>
      <c r="CZ132" s="62">
        <f t="shared" si="96"/>
        <v>283.48738729114024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2">
        <f t="shared" si="109"/>
        <v>879.56924002052051</v>
      </c>
      <c r="S133" s="62">
        <f ca="1">AVERAGE(OFFSET($R$3,0,0,'Données projet'!$E$9+1,1))-AVERAGE(OFFSET($H$3,0,0,'Données projet'!$E$9+1,1))</f>
        <v>428.8489304403459</v>
      </c>
      <c r="T133" s="62">
        <f t="shared" ref="T133:T196" si="142">$T$3</f>
        <v>247.01165577562966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2">
        <f t="shared" si="113"/>
        <v>948.6462691544782</v>
      </c>
      <c r="AN133" s="62">
        <f ca="1">AVERAGE(OFFSET($AM$3,0,0,'Données projet'!$E$10+1,1))-AVERAGE(OFFSET($H$3,0,0,'Données projet'!$E$10+1,1))</f>
        <v>475.47920969424894</v>
      </c>
      <c r="AO133" s="62">
        <f t="shared" ref="AO133:AO196" si="144">$AO$3</f>
        <v>271.73544012419364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-1.250327841262333E-13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290.85271051443431</v>
      </c>
      <c r="BJ133" s="62">
        <f t="shared" ref="BJ133:BJ196" si="146">$BJ$3</f>
        <v>318.66958823451142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5.4978954722173515E-14</v>
      </c>
      <c r="CA133" s="14">
        <f t="shared" ref="CA133:CA153" si="147">EXP(-1.0587+0.8836*LN(BZ133)+0.284)</f>
        <v>8.8550225887742724E-13</v>
      </c>
      <c r="CB133" s="22">
        <f t="shared" si="118"/>
        <v>1.6380047803526383E-12</v>
      </c>
      <c r="CC133" s="62">
        <f t="shared" si="119"/>
        <v>293.33333333333496</v>
      </c>
      <c r="CD133" s="62">
        <f ca="1">AVERAGE(OFFSET($CC$3,0,0,'Données projet'!$E$12+1,1))-AVERAGE(OFFSET($H$3,0,0,'Données projet'!$E$12+1,1))</f>
        <v>255.59755832175625</v>
      </c>
      <c r="CE133" s="62">
        <f t="shared" ref="CE133:CE196" si="148">$CE$3</f>
        <v>154.0840647586964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2">
        <f t="shared" si="122"/>
        <v>293.33333333333582</v>
      </c>
      <c r="CY133" s="62">
        <f ca="1">AVERAGE(OFFSET($CX$3,0,0,'Données projet'!$E$13+1,1))-AVERAGE(OFFSET($H$3,0,0,'Données projet'!$E$13+1,1))</f>
        <v>292.57482726862594</v>
      </c>
      <c r="CZ133" s="62">
        <f t="shared" ref="CZ133:CZ196" si="150">$CZ$3</f>
        <v>283.48738729114024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2">
        <f t="shared" si="109"/>
        <v>825.45983568521592</v>
      </c>
      <c r="S134" s="62">
        <f ca="1">AVERAGE(OFFSET($R$3,0,0,'Données projet'!$E$9+1,1))-AVERAGE(OFFSET($H$3,0,0,'Données projet'!$E$9+1,1))</f>
        <v>428.8489304403459</v>
      </c>
      <c r="T134" s="62">
        <f t="shared" si="142"/>
        <v>247.01165577562966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2">
        <f t="shared" si="113"/>
        <v>888.14687913280409</v>
      </c>
      <c r="AN134" s="62">
        <f ca="1">AVERAGE(OFFSET($AM$3,0,0,'Données projet'!$E$10+1,1))-AVERAGE(OFFSET($H$3,0,0,'Données projet'!$E$10+1,1))</f>
        <v>475.47920969424894</v>
      </c>
      <c r="AO134" s="62">
        <f t="shared" si="144"/>
        <v>271.73544012419364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-1.250327841262333E-13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290.85271051443431</v>
      </c>
      <c r="BJ134" s="62">
        <f t="shared" si="146"/>
        <v>318.66958823451142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5.4978954722173515E-14</v>
      </c>
      <c r="CA134" s="14">
        <f t="shared" si="147"/>
        <v>8.8550225887742724E-13</v>
      </c>
      <c r="CB134" s="22">
        <f t="shared" si="118"/>
        <v>1.6380047803526383E-12</v>
      </c>
      <c r="CC134" s="62">
        <f t="shared" si="119"/>
        <v>293.33333333333496</v>
      </c>
      <c r="CD134" s="62">
        <f ca="1">AVERAGE(OFFSET($CC$3,0,0,'Données projet'!$E$12+1,1))-AVERAGE(OFFSET($H$3,0,0,'Données projet'!$E$12+1,1))</f>
        <v>255.59755832175625</v>
      </c>
      <c r="CE134" s="62">
        <f t="shared" si="148"/>
        <v>154.0840647586964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2">
        <f t="shared" si="122"/>
        <v>293.33333333333582</v>
      </c>
      <c r="CY134" s="62">
        <f ca="1">AVERAGE(OFFSET($CX$3,0,0,'Données projet'!$E$13+1,1))-AVERAGE(OFFSET($H$3,0,0,'Données projet'!$E$13+1,1))</f>
        <v>292.57482726862594</v>
      </c>
      <c r="CZ134" s="62">
        <f t="shared" si="150"/>
        <v>283.48738729114024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2">
        <f t="shared" si="109"/>
        <v>830.62702157178455</v>
      </c>
      <c r="S135" s="62">
        <f ca="1">AVERAGE(OFFSET($R$3,0,0,'Données projet'!$E$9+1,1))-AVERAGE(OFFSET($H$3,0,0,'Données projet'!$E$9+1,1))</f>
        <v>428.8489304403459</v>
      </c>
      <c r="T135" s="62">
        <f t="shared" si="142"/>
        <v>247.01165577562966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2">
        <f t="shared" si="113"/>
        <v>893.92421921427535</v>
      </c>
      <c r="AN135" s="62">
        <f ca="1">AVERAGE(OFFSET($AM$3,0,0,'Données projet'!$E$10+1,1))-AVERAGE(OFFSET($H$3,0,0,'Données projet'!$E$10+1,1))</f>
        <v>475.47920969424894</v>
      </c>
      <c r="AO135" s="62">
        <f t="shared" si="144"/>
        <v>271.73544012419364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-1.250327841262333E-13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290.85271051443431</v>
      </c>
      <c r="BJ135" s="62">
        <f t="shared" si="146"/>
        <v>318.66958823451142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5.4978954722173515E-14</v>
      </c>
      <c r="CA135" s="14">
        <f t="shared" si="147"/>
        <v>8.8550225887742724E-13</v>
      </c>
      <c r="CB135" s="22">
        <f t="shared" si="118"/>
        <v>1.6380047803526383E-12</v>
      </c>
      <c r="CC135" s="62">
        <f t="shared" si="119"/>
        <v>293.33333333333496</v>
      </c>
      <c r="CD135" s="62">
        <f ca="1">AVERAGE(OFFSET($CC$3,0,0,'Données projet'!$E$12+1,1))-AVERAGE(OFFSET($H$3,0,0,'Données projet'!$E$12+1,1))</f>
        <v>255.59755832175625</v>
      </c>
      <c r="CE135" s="62">
        <f t="shared" si="148"/>
        <v>154.0840647586964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2">
        <f t="shared" si="122"/>
        <v>293.33333333333582</v>
      </c>
      <c r="CY135" s="62">
        <f ca="1">AVERAGE(OFFSET($CX$3,0,0,'Données projet'!$E$13+1,1))-AVERAGE(OFFSET($H$3,0,0,'Données projet'!$E$13+1,1))</f>
        <v>292.57482726862594</v>
      </c>
      <c r="CZ135" s="62">
        <f t="shared" si="150"/>
        <v>283.48738729114024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2">
        <f t="shared" si="109"/>
        <v>835.7931630761725</v>
      </c>
      <c r="S136" s="62">
        <f ca="1">AVERAGE(OFFSET($R$3,0,0,'Données projet'!$E$9+1,1))-AVERAGE(OFFSET($H$3,0,0,'Données projet'!$E$9+1,1))</f>
        <v>428.8489304403459</v>
      </c>
      <c r="T136" s="62">
        <f t="shared" si="142"/>
        <v>247.01165577562966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2">
        <f t="shared" si="113"/>
        <v>899.70040428847096</v>
      </c>
      <c r="AN136" s="62">
        <f ca="1">AVERAGE(OFFSET($AM$3,0,0,'Données projet'!$E$10+1,1))-AVERAGE(OFFSET($H$3,0,0,'Données projet'!$E$10+1,1))</f>
        <v>475.47920969424894</v>
      </c>
      <c r="AO136" s="62">
        <f t="shared" si="144"/>
        <v>271.73544012419364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-1.250327841262333E-13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290.85271051443431</v>
      </c>
      <c r="BJ136" s="62">
        <f t="shared" si="146"/>
        <v>318.66958823451142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5.4978954722173515E-14</v>
      </c>
      <c r="CA136" s="14">
        <f t="shared" si="147"/>
        <v>8.8550225887742724E-13</v>
      </c>
      <c r="CB136" s="22">
        <f t="shared" si="118"/>
        <v>1.6380047803526383E-12</v>
      </c>
      <c r="CC136" s="62">
        <f t="shared" si="119"/>
        <v>293.33333333333496</v>
      </c>
      <c r="CD136" s="62">
        <f ca="1">AVERAGE(OFFSET($CC$3,0,0,'Données projet'!$E$12+1,1))-AVERAGE(OFFSET($H$3,0,0,'Données projet'!$E$12+1,1))</f>
        <v>255.59755832175625</v>
      </c>
      <c r="CE136" s="62">
        <f t="shared" si="148"/>
        <v>154.0840647586964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2">
        <f t="shared" si="122"/>
        <v>293.33333333333582</v>
      </c>
      <c r="CY136" s="62">
        <f ca="1">AVERAGE(OFFSET($CX$3,0,0,'Données projet'!$E$13+1,1))-AVERAGE(OFFSET($H$3,0,0,'Données projet'!$E$13+1,1))</f>
        <v>292.57482726862594</v>
      </c>
      <c r="CZ136" s="62">
        <f t="shared" si="150"/>
        <v>283.48738729114024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2">
        <f t="shared" si="109"/>
        <v>840.958271553038</v>
      </c>
      <c r="S137" s="62">
        <f ca="1">AVERAGE(OFFSET($R$3,0,0,'Données projet'!$E$9+1,1))-AVERAGE(OFFSET($H$3,0,0,'Données projet'!$E$9+1,1))</f>
        <v>428.8489304403459</v>
      </c>
      <c r="T137" s="62">
        <f t="shared" si="142"/>
        <v>247.01165577562966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2">
        <f t="shared" si="113"/>
        <v>905.47544691277926</v>
      </c>
      <c r="AN137" s="62">
        <f ca="1">AVERAGE(OFFSET($AM$3,0,0,'Données projet'!$E$10+1,1))-AVERAGE(OFFSET($H$3,0,0,'Données projet'!$E$10+1,1))</f>
        <v>475.47920969424894</v>
      </c>
      <c r="AO137" s="62">
        <f t="shared" si="144"/>
        <v>271.73544012419364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-1.250327841262333E-13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290.85271051443431</v>
      </c>
      <c r="BJ137" s="62">
        <f t="shared" si="146"/>
        <v>318.66958823451142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5.4978954722173515E-14</v>
      </c>
      <c r="CA137" s="14">
        <f t="shared" si="147"/>
        <v>8.8550225887742724E-13</v>
      </c>
      <c r="CB137" s="22">
        <f t="shared" si="118"/>
        <v>1.6380047803526383E-12</v>
      </c>
      <c r="CC137" s="62">
        <f t="shared" si="119"/>
        <v>293.33333333333496</v>
      </c>
      <c r="CD137" s="62">
        <f ca="1">AVERAGE(OFFSET($CC$3,0,0,'Données projet'!$E$12+1,1))-AVERAGE(OFFSET($H$3,0,0,'Données projet'!$E$12+1,1))</f>
        <v>255.59755832175625</v>
      </c>
      <c r="CE137" s="62">
        <f t="shared" si="148"/>
        <v>154.0840647586964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2">
        <f t="shared" si="122"/>
        <v>293.33333333333582</v>
      </c>
      <c r="CY137" s="62">
        <f ca="1">AVERAGE(OFFSET($CX$3,0,0,'Données projet'!$E$13+1,1))-AVERAGE(OFFSET($H$3,0,0,'Données projet'!$E$13+1,1))</f>
        <v>292.57482726862594</v>
      </c>
      <c r="CZ137" s="62">
        <f t="shared" si="150"/>
        <v>283.48738729114024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2">
        <f t="shared" si="109"/>
        <v>846.12235812526569</v>
      </c>
      <c r="S138" s="62">
        <f ca="1">AVERAGE(OFFSET($R$3,0,0,'Données projet'!$E$9+1,1))-AVERAGE(OFFSET($H$3,0,0,'Données projet'!$E$9+1,1))</f>
        <v>428.8489304403459</v>
      </c>
      <c r="T138" s="62">
        <f t="shared" si="142"/>
        <v>247.01165577562966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2">
        <f t="shared" si="113"/>
        <v>911.24935938826479</v>
      </c>
      <c r="AN138" s="62">
        <f ca="1">AVERAGE(OFFSET($AM$3,0,0,'Données projet'!$E$10+1,1))-AVERAGE(OFFSET($H$3,0,0,'Données projet'!$E$10+1,1))</f>
        <v>475.47920969424894</v>
      </c>
      <c r="AO138" s="62">
        <f t="shared" si="144"/>
        <v>271.73544012419364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-1.250327841262333E-13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290.85271051443431</v>
      </c>
      <c r="BJ138" s="62">
        <f t="shared" si="146"/>
        <v>318.66958823451142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5.4978954722173515E-14</v>
      </c>
      <c r="CA138" s="14">
        <f t="shared" si="147"/>
        <v>8.8550225887742724E-13</v>
      </c>
      <c r="CB138" s="22">
        <f t="shared" si="118"/>
        <v>1.6380047803526383E-12</v>
      </c>
      <c r="CC138" s="62">
        <f t="shared" si="119"/>
        <v>293.33333333333496</v>
      </c>
      <c r="CD138" s="62">
        <f ca="1">AVERAGE(OFFSET($CC$3,0,0,'Données projet'!$E$12+1,1))-AVERAGE(OFFSET($H$3,0,0,'Données projet'!$E$12+1,1))</f>
        <v>255.59755832175625</v>
      </c>
      <c r="CE138" s="62">
        <f t="shared" si="148"/>
        <v>154.0840647586964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2">
        <f t="shared" si="122"/>
        <v>293.33333333333582</v>
      </c>
      <c r="CY138" s="62">
        <f ca="1">AVERAGE(OFFSET($CX$3,0,0,'Données projet'!$E$13+1,1))-AVERAGE(OFFSET($H$3,0,0,'Données projet'!$E$13+1,1))</f>
        <v>292.57482726862594</v>
      </c>
      <c r="CZ138" s="62">
        <f t="shared" si="150"/>
        <v>283.48738729114024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2">
        <f t="shared" si="109"/>
        <v>851.28543369086674</v>
      </c>
      <c r="S139" s="62">
        <f ca="1">AVERAGE(OFFSET($R$3,0,0,'Données projet'!$E$9+1,1))-AVERAGE(OFFSET($H$3,0,0,'Données projet'!$E$9+1,1))</f>
        <v>428.8489304403459</v>
      </c>
      <c r="T139" s="62">
        <f t="shared" si="142"/>
        <v>247.01165577562966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2">
        <f t="shared" si="113"/>
        <v>917.02215376729873</v>
      </c>
      <c r="AN139" s="62">
        <f ca="1">AVERAGE(OFFSET($AM$3,0,0,'Données projet'!$E$10+1,1))-AVERAGE(OFFSET($H$3,0,0,'Données projet'!$E$10+1,1))</f>
        <v>475.47920969424894</v>
      </c>
      <c r="AO139" s="62">
        <f t="shared" si="144"/>
        <v>271.73544012419364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-1.250327841262333E-13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290.85271051443431</v>
      </c>
      <c r="BJ139" s="62">
        <f t="shared" si="146"/>
        <v>318.66958823451142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5.4978954722173515E-14</v>
      </c>
      <c r="CA139" s="14">
        <f t="shared" si="147"/>
        <v>8.8550225887742724E-13</v>
      </c>
      <c r="CB139" s="22">
        <f t="shared" si="118"/>
        <v>1.6380047803526383E-12</v>
      </c>
      <c r="CC139" s="62">
        <f t="shared" si="119"/>
        <v>293.33333333333496</v>
      </c>
      <c r="CD139" s="62">
        <f ca="1">AVERAGE(OFFSET($CC$3,0,0,'Données projet'!$E$12+1,1))-AVERAGE(OFFSET($H$3,0,0,'Données projet'!$E$12+1,1))</f>
        <v>255.59755832175625</v>
      </c>
      <c r="CE139" s="62">
        <f t="shared" si="148"/>
        <v>154.0840647586964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2">
        <f t="shared" si="122"/>
        <v>293.33333333333582</v>
      </c>
      <c r="CY139" s="62">
        <f ca="1">AVERAGE(OFFSET($CX$3,0,0,'Données projet'!$E$13+1,1))-AVERAGE(OFFSET($H$3,0,0,'Données projet'!$E$13+1,1))</f>
        <v>292.57482726862594</v>
      </c>
      <c r="CZ139" s="62">
        <f t="shared" si="150"/>
        <v>283.48738729114024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2">
        <f t="shared" si="109"/>
        <v>856.44750892960883</v>
      </c>
      <c r="S140" s="62">
        <f ca="1">AVERAGE(OFFSET($R$3,0,0,'Données projet'!$E$9+1,1))-AVERAGE(OFFSET($H$3,0,0,'Données projet'!$E$9+1,1))</f>
        <v>428.8489304403459</v>
      </c>
      <c r="T140" s="62">
        <f t="shared" si="142"/>
        <v>247.01165577562966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2">
        <f t="shared" si="113"/>
        <v>922.79384186089305</v>
      </c>
      <c r="AN140" s="62">
        <f ca="1">AVERAGE(OFFSET($AM$3,0,0,'Données projet'!$E$10+1,1))-AVERAGE(OFFSET($H$3,0,0,'Données projet'!$E$10+1,1))</f>
        <v>475.47920969424894</v>
      </c>
      <c r="AO140" s="62">
        <f t="shared" si="144"/>
        <v>271.73544012419364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-1.250327841262333E-13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290.85271051443431</v>
      </c>
      <c r="BJ140" s="62">
        <f t="shared" si="146"/>
        <v>318.66958823451142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5.4978954722173515E-14</v>
      </c>
      <c r="CA140" s="14">
        <f t="shared" si="147"/>
        <v>8.8550225887742724E-13</v>
      </c>
      <c r="CB140" s="22">
        <f t="shared" si="118"/>
        <v>1.6380047803526383E-12</v>
      </c>
      <c r="CC140" s="62">
        <f t="shared" si="119"/>
        <v>293.33333333333496</v>
      </c>
      <c r="CD140" s="62">
        <f ca="1">AVERAGE(OFFSET($CC$3,0,0,'Données projet'!$E$12+1,1))-AVERAGE(OFFSET($H$3,0,0,'Données projet'!$E$12+1,1))</f>
        <v>255.59755832175625</v>
      </c>
      <c r="CE140" s="62">
        <f t="shared" si="148"/>
        <v>154.0840647586964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2">
        <f t="shared" si="122"/>
        <v>293.33333333333582</v>
      </c>
      <c r="CY140" s="62">
        <f ca="1">AVERAGE(OFFSET($CX$3,0,0,'Données projet'!$E$13+1,1))-AVERAGE(OFFSET($H$3,0,0,'Données projet'!$E$13+1,1))</f>
        <v>292.57482726862594</v>
      </c>
      <c r="CZ140" s="62">
        <f t="shared" si="150"/>
        <v>283.48738729114024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2">
        <f t="shared" si="109"/>
        <v>861.60859430939399</v>
      </c>
      <c r="S141" s="62">
        <f ca="1">AVERAGE(OFFSET($R$3,0,0,'Données projet'!$E$9+1,1))-AVERAGE(OFFSET($H$3,0,0,'Données projet'!$E$9+1,1))</f>
        <v>428.8489304403459</v>
      </c>
      <c r="T141" s="62">
        <f t="shared" si="142"/>
        <v>247.01165577562966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2">
        <f t="shared" si="113"/>
        <v>928.5644352457507</v>
      </c>
      <c r="AN141" s="62">
        <f ca="1">AVERAGE(OFFSET($AM$3,0,0,'Données projet'!$E$10+1,1))-AVERAGE(OFFSET($H$3,0,0,'Données projet'!$E$10+1,1))</f>
        <v>475.47920969424894</v>
      </c>
      <c r="AO141" s="62">
        <f t="shared" si="144"/>
        <v>271.73544012419364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-1.250327841262333E-13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290.85271051443431</v>
      </c>
      <c r="BJ141" s="62">
        <f t="shared" si="146"/>
        <v>318.66958823451142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5.4978954722173515E-14</v>
      </c>
      <c r="CA141" s="14">
        <f t="shared" si="147"/>
        <v>8.8550225887742724E-13</v>
      </c>
      <c r="CB141" s="22">
        <f t="shared" si="118"/>
        <v>1.6380047803526383E-12</v>
      </c>
      <c r="CC141" s="62">
        <f t="shared" si="119"/>
        <v>293.33333333333496</v>
      </c>
      <c r="CD141" s="62">
        <f ca="1">AVERAGE(OFFSET($CC$3,0,0,'Données projet'!$E$12+1,1))-AVERAGE(OFFSET($H$3,0,0,'Données projet'!$E$12+1,1))</f>
        <v>255.59755832175625</v>
      </c>
      <c r="CE141" s="62">
        <f t="shared" si="148"/>
        <v>154.0840647586964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2">
        <f t="shared" si="122"/>
        <v>293.33333333333582</v>
      </c>
      <c r="CY141" s="62">
        <f ca="1">AVERAGE(OFFSET($CX$3,0,0,'Données projet'!$E$13+1,1))-AVERAGE(OFFSET($H$3,0,0,'Données projet'!$E$13+1,1))</f>
        <v>292.57482726862594</v>
      </c>
      <c r="CZ141" s="62">
        <f t="shared" si="150"/>
        <v>283.48738729114024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2">
        <f t="shared" si="109"/>
        <v>866.76870009238769</v>
      </c>
      <c r="S142" s="62">
        <f ca="1">AVERAGE(OFFSET($R$3,0,0,'Données projet'!$E$9+1,1))-AVERAGE(OFFSET($H$3,0,0,'Données projet'!$E$9+1,1))</f>
        <v>428.8489304403459</v>
      </c>
      <c r="T142" s="62">
        <f t="shared" si="142"/>
        <v>247.01165577562966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2">
        <f t="shared" si="113"/>
        <v>934.33394527104656</v>
      </c>
      <c r="AN142" s="62">
        <f ca="1">AVERAGE(OFFSET($AM$3,0,0,'Données projet'!$E$10+1,1))-AVERAGE(OFFSET($H$3,0,0,'Données projet'!$E$10+1,1))</f>
        <v>475.47920969424894</v>
      </c>
      <c r="AO142" s="62">
        <f t="shared" si="144"/>
        <v>271.73544012419364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-1.250327841262333E-13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290.85271051443431</v>
      </c>
      <c r="BJ142" s="62">
        <f t="shared" si="146"/>
        <v>318.66958823451142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5.4978954722173515E-14</v>
      </c>
      <c r="CA142" s="14">
        <f t="shared" si="147"/>
        <v>8.8550225887742724E-13</v>
      </c>
      <c r="CB142" s="22">
        <f t="shared" si="118"/>
        <v>1.6380047803526383E-12</v>
      </c>
      <c r="CC142" s="62">
        <f t="shared" si="119"/>
        <v>293.33333333333496</v>
      </c>
      <c r="CD142" s="62">
        <f ca="1">AVERAGE(OFFSET($CC$3,0,0,'Données projet'!$E$12+1,1))-AVERAGE(OFFSET($H$3,0,0,'Données projet'!$E$12+1,1))</f>
        <v>255.59755832175625</v>
      </c>
      <c r="CE142" s="62">
        <f t="shared" si="148"/>
        <v>154.0840647586964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2">
        <f t="shared" si="122"/>
        <v>293.33333333333582</v>
      </c>
      <c r="CY142" s="62">
        <f ca="1">AVERAGE(OFFSET($CX$3,0,0,'Données projet'!$E$13+1,1))-AVERAGE(OFFSET($H$3,0,0,'Données projet'!$E$13+1,1))</f>
        <v>292.57482726862594</v>
      </c>
      <c r="CZ142" s="62">
        <f t="shared" si="150"/>
        <v>283.48738729114024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2">
        <f t="shared" si="109"/>
        <v>871.92783634091984</v>
      </c>
      <c r="S143" s="62">
        <f ca="1">AVERAGE(OFFSET($R$3,0,0,'Données projet'!$E$9+1,1))-AVERAGE(OFFSET($H$3,0,0,'Données projet'!$E$9+1,1))</f>
        <v>428.8489304403459</v>
      </c>
      <c r="T143" s="62">
        <f t="shared" si="142"/>
        <v>247.01165577562966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2">
        <f t="shared" si="113"/>
        <v>940.10238306495216</v>
      </c>
      <c r="AN143" s="62">
        <f ca="1">AVERAGE(OFFSET($AM$3,0,0,'Données projet'!$E$10+1,1))-AVERAGE(OFFSET($H$3,0,0,'Données projet'!$E$10+1,1))</f>
        <v>475.47920969424894</v>
      </c>
      <c r="AO143" s="62">
        <f t="shared" si="144"/>
        <v>271.73544012419364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-1.250327841262333E-13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290.85271051443431</v>
      </c>
      <c r="BJ143" s="62">
        <f t="shared" si="146"/>
        <v>318.66958823451142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5.4978954722173515E-14</v>
      </c>
      <c r="CA143" s="14">
        <f t="shared" si="147"/>
        <v>8.8550225887742724E-13</v>
      </c>
      <c r="CB143" s="22">
        <f t="shared" si="118"/>
        <v>1.6380047803526383E-12</v>
      </c>
      <c r="CC143" s="62">
        <f t="shared" si="119"/>
        <v>293.33333333333496</v>
      </c>
      <c r="CD143" s="62">
        <f ca="1">AVERAGE(OFFSET($CC$3,0,0,'Données projet'!$E$12+1,1))-AVERAGE(OFFSET($H$3,0,0,'Données projet'!$E$12+1,1))</f>
        <v>255.59755832175625</v>
      </c>
      <c r="CE143" s="62">
        <f t="shared" si="148"/>
        <v>154.0840647586964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2">
        <f t="shared" si="122"/>
        <v>293.33333333333582</v>
      </c>
      <c r="CY143" s="62">
        <f ca="1">AVERAGE(OFFSET($CX$3,0,0,'Données projet'!$E$13+1,1))-AVERAGE(OFFSET($H$3,0,0,'Données projet'!$E$13+1,1))</f>
        <v>292.57482726862594</v>
      </c>
      <c r="CZ143" s="62">
        <f t="shared" si="150"/>
        <v>283.48738729114024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2">
        <f t="shared" si="109"/>
        <v>824.88563895074731</v>
      </c>
      <c r="S144" s="62">
        <f ca="1">AVERAGE(OFFSET($R$3,0,0,'Données projet'!$E$9+1,1))-AVERAGE(OFFSET($H$3,0,0,'Données projet'!$E$9+1,1))</f>
        <v>428.8489304403459</v>
      </c>
      <c r="T144" s="62">
        <f t="shared" si="142"/>
        <v>247.01165577562966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2">
        <f t="shared" si="113"/>
        <v>887.50488060598582</v>
      </c>
      <c r="AN144" s="62">
        <f ca="1">AVERAGE(OFFSET($AM$3,0,0,'Données projet'!$E$10+1,1))-AVERAGE(OFFSET($H$3,0,0,'Données projet'!$E$10+1,1))</f>
        <v>475.47920969424894</v>
      </c>
      <c r="AO144" s="62">
        <f t="shared" si="144"/>
        <v>271.73544012419364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-1.250327841262333E-13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290.85271051443431</v>
      </c>
      <c r="BJ144" s="62">
        <f t="shared" si="146"/>
        <v>318.66958823451142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5.4978954722173515E-14</v>
      </c>
      <c r="CA144" s="14">
        <f t="shared" si="147"/>
        <v>8.8550225887742724E-13</v>
      </c>
      <c r="CB144" s="22">
        <f t="shared" si="118"/>
        <v>1.6380047803526383E-12</v>
      </c>
      <c r="CC144" s="62">
        <f t="shared" si="119"/>
        <v>293.33333333333496</v>
      </c>
      <c r="CD144" s="62">
        <f ca="1">AVERAGE(OFFSET($CC$3,0,0,'Données projet'!$E$12+1,1))-AVERAGE(OFFSET($H$3,0,0,'Données projet'!$E$12+1,1))</f>
        <v>255.59755832175625</v>
      </c>
      <c r="CE144" s="62">
        <f t="shared" si="148"/>
        <v>154.0840647586964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2">
        <f t="shared" si="122"/>
        <v>293.33333333333582</v>
      </c>
      <c r="CY144" s="62">
        <f ca="1">AVERAGE(OFFSET($CX$3,0,0,'Données projet'!$E$13+1,1))-AVERAGE(OFFSET($H$3,0,0,'Données projet'!$E$13+1,1))</f>
        <v>292.57482726862594</v>
      </c>
      <c r="CZ144" s="62">
        <f t="shared" si="150"/>
        <v>283.48738729114024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2">
        <f t="shared" si="109"/>
        <v>829.47884870108419</v>
      </c>
      <c r="S145" s="62">
        <f ca="1">AVERAGE(OFFSET($R$3,0,0,'Données projet'!$E$9+1,1))-AVERAGE(OFFSET($H$3,0,0,'Données projet'!$E$9+1,1))</f>
        <v>428.8489304403459</v>
      </c>
      <c r="T145" s="62">
        <f t="shared" si="142"/>
        <v>247.01165577562966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2">
        <f t="shared" si="113"/>
        <v>892.64046612551419</v>
      </c>
      <c r="AN145" s="62">
        <f ca="1">AVERAGE(OFFSET($AM$3,0,0,'Données projet'!$E$10+1,1))-AVERAGE(OFFSET($H$3,0,0,'Données projet'!$E$10+1,1))</f>
        <v>475.47920969424894</v>
      </c>
      <c r="AO145" s="62">
        <f t="shared" si="144"/>
        <v>271.73544012419364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-1.250327841262333E-13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290.85271051443431</v>
      </c>
      <c r="BJ145" s="62">
        <f t="shared" si="146"/>
        <v>318.66958823451142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5.4978954722173515E-14</v>
      </c>
      <c r="CA145" s="14">
        <f t="shared" si="147"/>
        <v>8.8550225887742724E-13</v>
      </c>
      <c r="CB145" s="22">
        <f t="shared" si="118"/>
        <v>1.6380047803526383E-12</v>
      </c>
      <c r="CC145" s="62">
        <f t="shared" si="119"/>
        <v>293.33333333333496</v>
      </c>
      <c r="CD145" s="62">
        <f ca="1">AVERAGE(OFFSET($CC$3,0,0,'Données projet'!$E$12+1,1))-AVERAGE(OFFSET($H$3,0,0,'Données projet'!$E$12+1,1))</f>
        <v>255.59755832175625</v>
      </c>
      <c r="CE145" s="62">
        <f t="shared" si="148"/>
        <v>154.0840647586964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2">
        <f t="shared" si="122"/>
        <v>293.33333333333582</v>
      </c>
      <c r="CY145" s="62">
        <f ca="1">AVERAGE(OFFSET($CX$3,0,0,'Données projet'!$E$13+1,1))-AVERAGE(OFFSET($H$3,0,0,'Données projet'!$E$13+1,1))</f>
        <v>292.57482726862594</v>
      </c>
      <c r="CZ145" s="62">
        <f t="shared" si="150"/>
        <v>283.48738729114024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2">
        <f t="shared" si="109"/>
        <v>834.07123124476584</v>
      </c>
      <c r="S146" s="62">
        <f ca="1">AVERAGE(OFFSET($R$3,0,0,'Données projet'!$E$9+1,1))-AVERAGE(OFFSET($H$3,0,0,'Données projet'!$E$9+1,1))</f>
        <v>428.8489304403459</v>
      </c>
      <c r="T146" s="62">
        <f t="shared" si="142"/>
        <v>247.01165577562966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2">
        <f t="shared" si="113"/>
        <v>897.77513681738401</v>
      </c>
      <c r="AN146" s="62">
        <f ca="1">AVERAGE(OFFSET($AM$3,0,0,'Données projet'!$E$10+1,1))-AVERAGE(OFFSET($H$3,0,0,'Données projet'!$E$10+1,1))</f>
        <v>475.47920969424894</v>
      </c>
      <c r="AO146" s="62">
        <f t="shared" si="144"/>
        <v>271.73544012419364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-1.250327841262333E-13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290.85271051443431</v>
      </c>
      <c r="BJ146" s="62">
        <f t="shared" si="146"/>
        <v>318.66958823451142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5.4978954722173515E-14</v>
      </c>
      <c r="CA146" s="14">
        <f t="shared" si="147"/>
        <v>8.8550225887742724E-13</v>
      </c>
      <c r="CB146" s="22">
        <f t="shared" si="118"/>
        <v>1.6380047803526383E-12</v>
      </c>
      <c r="CC146" s="62">
        <f t="shared" si="119"/>
        <v>293.33333333333496</v>
      </c>
      <c r="CD146" s="62">
        <f ca="1">AVERAGE(OFFSET($CC$3,0,0,'Données projet'!$E$12+1,1))-AVERAGE(OFFSET($H$3,0,0,'Données projet'!$E$12+1,1))</f>
        <v>255.59755832175625</v>
      </c>
      <c r="CE146" s="62">
        <f t="shared" si="148"/>
        <v>154.0840647586964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2">
        <f t="shared" si="122"/>
        <v>293.33333333333582</v>
      </c>
      <c r="CY146" s="62">
        <f ca="1">AVERAGE(OFFSET($CX$3,0,0,'Données projet'!$E$13+1,1))-AVERAGE(OFFSET($H$3,0,0,'Données projet'!$E$13+1,1))</f>
        <v>292.57482726862594</v>
      </c>
      <c r="CZ146" s="62">
        <f t="shared" si="150"/>
        <v>283.48738729114024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2">
        <f t="shared" si="109"/>
        <v>838.66279460250166</v>
      </c>
      <c r="S147" s="62">
        <f ca="1">AVERAGE(OFFSET($R$3,0,0,'Données projet'!$E$9+1,1))-AVERAGE(OFFSET($H$3,0,0,'Données projet'!$E$9+1,1))</f>
        <v>428.8489304403459</v>
      </c>
      <c r="T147" s="62">
        <f t="shared" si="142"/>
        <v>247.01165577562966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2">
        <f t="shared" si="113"/>
        <v>902.90890155188936</v>
      </c>
      <c r="AN147" s="62">
        <f ca="1">AVERAGE(OFFSET($AM$3,0,0,'Données projet'!$E$10+1,1))-AVERAGE(OFFSET($H$3,0,0,'Données projet'!$E$10+1,1))</f>
        <v>475.47920969424894</v>
      </c>
      <c r="AO147" s="62">
        <f t="shared" si="144"/>
        <v>271.73544012419364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-1.250327841262333E-13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290.85271051443431</v>
      </c>
      <c r="BJ147" s="62">
        <f t="shared" si="146"/>
        <v>318.66958823451142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5.4978954722173515E-14</v>
      </c>
      <c r="CA147" s="14">
        <f t="shared" si="147"/>
        <v>8.8550225887742724E-13</v>
      </c>
      <c r="CB147" s="22">
        <f t="shared" si="118"/>
        <v>1.6380047803526383E-12</v>
      </c>
      <c r="CC147" s="62">
        <f t="shared" si="119"/>
        <v>293.33333333333496</v>
      </c>
      <c r="CD147" s="62">
        <f ca="1">AVERAGE(OFFSET($CC$3,0,0,'Données projet'!$E$12+1,1))-AVERAGE(OFFSET($H$3,0,0,'Données projet'!$E$12+1,1))</f>
        <v>255.59755832175625</v>
      </c>
      <c r="CE147" s="62">
        <f t="shared" si="148"/>
        <v>154.0840647586964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2">
        <f t="shared" si="122"/>
        <v>293.33333333333582</v>
      </c>
      <c r="CY147" s="62">
        <f ca="1">AVERAGE(OFFSET($CX$3,0,0,'Données projet'!$E$13+1,1))-AVERAGE(OFFSET($H$3,0,0,'Données projet'!$E$13+1,1))</f>
        <v>292.57482726862594</v>
      </c>
      <c r="CZ147" s="62">
        <f t="shared" si="150"/>
        <v>283.48738729114024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2">
        <f t="shared" si="109"/>
        <v>843.25354664883753</v>
      </c>
      <c r="S148" s="62">
        <f ca="1">AVERAGE(OFFSET($R$3,0,0,'Données projet'!$E$9+1,1))-AVERAGE(OFFSET($H$3,0,0,'Données projet'!$E$9+1,1))</f>
        <v>428.8489304403459</v>
      </c>
      <c r="T148" s="62">
        <f t="shared" si="142"/>
        <v>247.01165577562966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2">
        <f t="shared" si="113"/>
        <v>908.04176903767916</v>
      </c>
      <c r="AN148" s="62">
        <f ca="1">AVERAGE(OFFSET($AM$3,0,0,'Données projet'!$E$10+1,1))-AVERAGE(OFFSET($H$3,0,0,'Données projet'!$E$10+1,1))</f>
        <v>475.47920969424894</v>
      </c>
      <c r="AO148" s="62">
        <f t="shared" si="144"/>
        <v>271.73544012419364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-1.250327841262333E-13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290.85271051443431</v>
      </c>
      <c r="BJ148" s="62">
        <f t="shared" si="146"/>
        <v>318.66958823451142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5.4978954722173515E-14</v>
      </c>
      <c r="CA148" s="14">
        <f t="shared" si="147"/>
        <v>8.8550225887742724E-13</v>
      </c>
      <c r="CB148" s="22">
        <f t="shared" si="118"/>
        <v>1.6380047803526383E-12</v>
      </c>
      <c r="CC148" s="62">
        <f t="shared" si="119"/>
        <v>293.33333333333496</v>
      </c>
      <c r="CD148" s="62">
        <f ca="1">AVERAGE(OFFSET($CC$3,0,0,'Données projet'!$E$12+1,1))-AVERAGE(OFFSET($H$3,0,0,'Données projet'!$E$12+1,1))</f>
        <v>255.59755832175625</v>
      </c>
      <c r="CE148" s="62">
        <f t="shared" si="148"/>
        <v>154.0840647586964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2">
        <f t="shared" si="122"/>
        <v>293.33333333333582</v>
      </c>
      <c r="CY148" s="62">
        <f ca="1">AVERAGE(OFFSET($CX$3,0,0,'Données projet'!$E$13+1,1))-AVERAGE(OFFSET($H$3,0,0,'Données projet'!$E$13+1,1))</f>
        <v>292.57482726862594</v>
      </c>
      <c r="CZ148" s="62">
        <f t="shared" si="150"/>
        <v>283.48738729114024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2">
        <f t="shared" si="109"/>
        <v>847.84349511604432</v>
      </c>
      <c r="S149" s="62">
        <f ca="1">AVERAGE(OFFSET($R$3,0,0,'Données projet'!$E$9+1,1))-AVERAGE(OFFSET($H$3,0,0,'Données projet'!$E$9+1,1))</f>
        <v>428.8489304403459</v>
      </c>
      <c r="T149" s="62">
        <f t="shared" si="142"/>
        <v>247.01165577562966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2">
        <f t="shared" si="113"/>
        <v>913.17374782605748</v>
      </c>
      <c r="AN149" s="62">
        <f ca="1">AVERAGE(OFFSET($AM$3,0,0,'Données projet'!$E$10+1,1))-AVERAGE(OFFSET($H$3,0,0,'Données projet'!$E$10+1,1))</f>
        <v>475.47920969424894</v>
      </c>
      <c r="AO149" s="62">
        <f t="shared" si="144"/>
        <v>271.73544012419364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-1.250327841262333E-13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290.85271051443431</v>
      </c>
      <c r="BJ149" s="62">
        <f t="shared" si="146"/>
        <v>318.66958823451142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5.4978954722173515E-14</v>
      </c>
      <c r="CA149" s="14">
        <f t="shared" si="147"/>
        <v>8.8550225887742724E-13</v>
      </c>
      <c r="CB149" s="22">
        <f t="shared" si="118"/>
        <v>1.6380047803526383E-12</v>
      </c>
      <c r="CC149" s="62">
        <f t="shared" si="119"/>
        <v>293.33333333333496</v>
      </c>
      <c r="CD149" s="62">
        <f ca="1">AVERAGE(OFFSET($CC$3,0,0,'Données projet'!$E$12+1,1))-AVERAGE(OFFSET($H$3,0,0,'Données projet'!$E$12+1,1))</f>
        <v>255.59755832175625</v>
      </c>
      <c r="CE149" s="62">
        <f t="shared" si="148"/>
        <v>154.0840647586964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2">
        <f t="shared" si="122"/>
        <v>293.33333333333582</v>
      </c>
      <c r="CY149" s="62">
        <f ca="1">AVERAGE(OFFSET($CX$3,0,0,'Données projet'!$E$13+1,1))-AVERAGE(OFFSET($H$3,0,0,'Données projet'!$E$13+1,1))</f>
        <v>292.57482726862594</v>
      </c>
      <c r="CZ149" s="62">
        <f t="shared" si="150"/>
        <v>283.48738729114024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2">
        <f t="shared" si="109"/>
        <v>852.43264759787166</v>
      </c>
      <c r="S150" s="62">
        <f ca="1">AVERAGE(OFFSET($R$3,0,0,'Données projet'!$E$9+1,1))-AVERAGE(OFFSET($H$3,0,0,'Données projet'!$E$9+1,1))</f>
        <v>428.8489304403459</v>
      </c>
      <c r="T150" s="62">
        <f t="shared" si="142"/>
        <v>247.01165577562966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2">
        <f t="shared" si="113"/>
        <v>918.30484631513332</v>
      </c>
      <c r="AN150" s="62">
        <f ca="1">AVERAGE(OFFSET($AM$3,0,0,'Données projet'!$E$10+1,1))-AVERAGE(OFFSET($H$3,0,0,'Données projet'!$E$10+1,1))</f>
        <v>475.47920969424894</v>
      </c>
      <c r="AO150" s="62">
        <f t="shared" si="144"/>
        <v>271.73544012419364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-1.250327841262333E-13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290.85271051443431</v>
      </c>
      <c r="BJ150" s="62">
        <f t="shared" si="146"/>
        <v>318.66958823451142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5.4978954722173515E-14</v>
      </c>
      <c r="CA150" s="14">
        <f t="shared" si="147"/>
        <v>8.8550225887742724E-13</v>
      </c>
      <c r="CB150" s="22">
        <f t="shared" si="118"/>
        <v>1.6380047803526383E-12</v>
      </c>
      <c r="CC150" s="62">
        <f t="shared" si="119"/>
        <v>293.33333333333496</v>
      </c>
      <c r="CD150" s="62">
        <f ca="1">AVERAGE(OFFSET($CC$3,0,0,'Données projet'!$E$12+1,1))-AVERAGE(OFFSET($H$3,0,0,'Données projet'!$E$12+1,1))</f>
        <v>255.59755832175625</v>
      </c>
      <c r="CE150" s="62">
        <f t="shared" si="148"/>
        <v>154.0840647586964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2">
        <f t="shared" si="122"/>
        <v>293.33333333333582</v>
      </c>
      <c r="CY150" s="62">
        <f ca="1">AVERAGE(OFFSET($CX$3,0,0,'Données projet'!$E$13+1,1))-AVERAGE(OFFSET($H$3,0,0,'Données projet'!$E$13+1,1))</f>
        <v>292.57482726862594</v>
      </c>
      <c r="CZ150" s="62">
        <f t="shared" si="150"/>
        <v>283.48738729114024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2">
        <f t="shared" si="109"/>
        <v>857.02101155317064</v>
      </c>
      <c r="S151" s="62">
        <f ca="1">AVERAGE(OFFSET($R$3,0,0,'Données projet'!$E$9+1,1))-AVERAGE(OFFSET($H$3,0,0,'Données projet'!$E$9+1,1))</f>
        <v>428.8489304403459</v>
      </c>
      <c r="T151" s="62">
        <f t="shared" si="142"/>
        <v>247.01165577562966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2">
        <f t="shared" si="113"/>
        <v>923.43507275382922</v>
      </c>
      <c r="AN151" s="62">
        <f ca="1">AVERAGE(OFFSET($AM$3,0,0,'Données projet'!$E$10+1,1))-AVERAGE(OFFSET($H$3,0,0,'Données projet'!$E$10+1,1))</f>
        <v>475.47920969424894</v>
      </c>
      <c r="AO151" s="62">
        <f t="shared" si="144"/>
        <v>271.73544012419364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-1.250327841262333E-13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290.85271051443431</v>
      </c>
      <c r="BJ151" s="62">
        <f t="shared" si="146"/>
        <v>318.66958823451142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5.4978954722173515E-14</v>
      </c>
      <c r="CA151" s="14">
        <f t="shared" si="147"/>
        <v>8.8550225887742724E-13</v>
      </c>
      <c r="CB151" s="22">
        <f t="shared" si="118"/>
        <v>1.6380047803526383E-12</v>
      </c>
      <c r="CC151" s="62">
        <f t="shared" si="119"/>
        <v>293.33333333333496</v>
      </c>
      <c r="CD151" s="62">
        <f ca="1">AVERAGE(OFFSET($CC$3,0,0,'Données projet'!$E$12+1,1))-AVERAGE(OFFSET($H$3,0,0,'Données projet'!$E$12+1,1))</f>
        <v>255.59755832175625</v>
      </c>
      <c r="CE151" s="62">
        <f t="shared" si="148"/>
        <v>154.0840647586964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2">
        <f t="shared" si="122"/>
        <v>293.33333333333582</v>
      </c>
      <c r="CY151" s="62">
        <f ca="1">AVERAGE(OFFSET($CX$3,0,0,'Données projet'!$E$13+1,1))-AVERAGE(OFFSET($H$3,0,0,'Données projet'!$E$13+1,1))</f>
        <v>292.57482726862594</v>
      </c>
      <c r="CZ151" s="62">
        <f t="shared" si="150"/>
        <v>283.48738729114024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2">
        <f t="shared" si="109"/>
        <v>861.60859430939354</v>
      </c>
      <c r="S152" s="62">
        <f ca="1">AVERAGE(OFFSET($R$3,0,0,'Données projet'!$E$9+1,1))-AVERAGE(OFFSET($H$3,0,0,'Données projet'!$E$9+1,1))</f>
        <v>428.8489304403459</v>
      </c>
      <c r="T152" s="62">
        <f t="shared" si="142"/>
        <v>247.01165577562966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2">
        <f t="shared" si="113"/>
        <v>928.56443524575025</v>
      </c>
      <c r="AN152" s="62">
        <f ca="1">AVERAGE(OFFSET($AM$3,0,0,'Données projet'!$E$10+1,1))-AVERAGE(OFFSET($H$3,0,0,'Données projet'!$E$10+1,1))</f>
        <v>475.47920969424894</v>
      </c>
      <c r="AO152" s="62">
        <f t="shared" si="144"/>
        <v>271.73544012419364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-1.250327841262333E-13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290.85271051443431</v>
      </c>
      <c r="BJ152" s="62">
        <f t="shared" si="146"/>
        <v>318.66958823451142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5.4978954722173515E-14</v>
      </c>
      <c r="CA152" s="14">
        <f t="shared" si="147"/>
        <v>8.8550225887742724E-13</v>
      </c>
      <c r="CB152" s="22">
        <f t="shared" si="118"/>
        <v>1.6380047803526383E-12</v>
      </c>
      <c r="CC152" s="62">
        <f t="shared" si="119"/>
        <v>293.33333333333496</v>
      </c>
      <c r="CD152" s="62">
        <f ca="1">AVERAGE(OFFSET($CC$3,0,0,'Données projet'!$E$12+1,1))-AVERAGE(OFFSET($H$3,0,0,'Données projet'!$E$12+1,1))</f>
        <v>255.59755832175625</v>
      </c>
      <c r="CE152" s="62">
        <f t="shared" si="148"/>
        <v>154.0840647586964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2">
        <f t="shared" si="122"/>
        <v>293.33333333333582</v>
      </c>
      <c r="CY152" s="62">
        <f ca="1">AVERAGE(OFFSET($CX$3,0,0,'Données projet'!$E$13+1,1))-AVERAGE(OFFSET($H$3,0,0,'Données projet'!$E$13+1,1))</f>
        <v>292.57482726862594</v>
      </c>
      <c r="CZ152" s="62">
        <f t="shared" si="150"/>
        <v>283.48738729114024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2">
        <f t="shared" si="109"/>
        <v>866.19540306597469</v>
      </c>
      <c r="S153" s="62">
        <f ca="1">AVERAGE(OFFSET($R$3,0,0,'Données projet'!$E$9+1,1))-AVERAGE(OFFSET($H$3,0,0,'Données projet'!$E$9+1,1))</f>
        <v>428.8489304403459</v>
      </c>
      <c r="T153" s="62">
        <f t="shared" si="142"/>
        <v>247.01165577562966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2">
        <f t="shared" si="113"/>
        <v>933.69294175292316</v>
      </c>
      <c r="AN153" s="62">
        <f ca="1">AVERAGE(OFFSET($AM$3,0,0,'Données projet'!$E$10+1,1))-AVERAGE(OFFSET($H$3,0,0,'Données projet'!$E$10+1,1))</f>
        <v>475.47920969424894</v>
      </c>
      <c r="AO153" s="62">
        <f t="shared" si="144"/>
        <v>271.73544012419364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-1.250327841262333E-13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290.85271051443431</v>
      </c>
      <c r="BJ153" s="62">
        <f t="shared" si="146"/>
        <v>318.66958823451142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5.4978954722173515E-14</v>
      </c>
      <c r="CA153" s="14">
        <f t="shared" si="147"/>
        <v>8.8550225887742724E-13</v>
      </c>
      <c r="CB153" s="22">
        <f t="shared" si="118"/>
        <v>1.6380047803526383E-12</v>
      </c>
      <c r="CC153" s="62">
        <f t="shared" si="119"/>
        <v>293.33333333333496</v>
      </c>
      <c r="CD153" s="62">
        <f ca="1">AVERAGE(OFFSET($CC$3,0,0,'Données projet'!$E$12+1,1))-AVERAGE(OFFSET($H$3,0,0,'Données projet'!$E$12+1,1))</f>
        <v>255.59755832175625</v>
      </c>
      <c r="CE153" s="62">
        <f t="shared" si="148"/>
        <v>154.0840647586964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2">
        <f t="shared" si="122"/>
        <v>293.33333333333582</v>
      </c>
      <c r="CY153" s="62">
        <f ca="1">AVERAGE(OFFSET($CX$3,0,0,'Données projet'!$E$13+1,1))-AVERAGE(OFFSET($H$3,0,0,'Données projet'!$E$13+1,1))</f>
        <v>292.57482726862594</v>
      </c>
      <c r="CZ153" s="62">
        <f t="shared" si="150"/>
        <v>283.48738729114024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428.8489304403459</v>
      </c>
      <c r="T154" s="62">
        <f t="shared" si="142"/>
        <v>247.01165577562966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475.47920969424894</v>
      </c>
      <c r="AO154" s="62">
        <f t="shared" si="144"/>
        <v>271.73544012419364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-1.250327841262333E-13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290.85271051443431</v>
      </c>
      <c r="BJ154" s="62">
        <f t="shared" si="146"/>
        <v>318.66958823451142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5.4978954722173515E-14</v>
      </c>
      <c r="CA154" s="14">
        <f t="shared" ref="CA154:CA203" si="170">EXP(-1.0587+0.8836*LN(BZ154)+0.284)</f>
        <v>8.8550225887742724E-13</v>
      </c>
      <c r="CB154" s="22">
        <f t="shared" ref="CB154:CB203" si="171">(BZ154+CA154)*0.475*44/12</f>
        <v>1.6380047803526383E-12</v>
      </c>
      <c r="CC154" s="62">
        <f t="shared" si="119"/>
        <v>293.33333333333496</v>
      </c>
      <c r="CD154" s="62">
        <f ca="1">AVERAGE(OFFSET($CC$3,0,0,'Données projet'!$E$12+1,1))-AVERAGE(OFFSET($H$3,0,0,'Données projet'!$E$12+1,1))</f>
        <v>255.59755832175625</v>
      </c>
      <c r="CE154" s="62">
        <f t="shared" si="148"/>
        <v>154.0840647586964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2">
        <f t="shared" si="122"/>
        <v>293.33333333333582</v>
      </c>
      <c r="CY154" s="62">
        <f ca="1">AVERAGE(OFFSET($CX$3,0,0,'Données projet'!$E$13+1,1))-AVERAGE(OFFSET($H$3,0,0,'Données projet'!$E$13+1,1))</f>
        <v>292.57482726862594</v>
      </c>
      <c r="CZ154" s="62">
        <f t="shared" si="150"/>
        <v>283.48738729114024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428.8489304403459</v>
      </c>
      <c r="T155" s="62">
        <f t="shared" si="142"/>
        <v>247.01165577562966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475.47920969424894</v>
      </c>
      <c r="AO155" s="62">
        <f t="shared" si="144"/>
        <v>271.73544012419364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-1.250327841262333E-13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290.85271051443431</v>
      </c>
      <c r="BJ155" s="62">
        <f t="shared" si="146"/>
        <v>318.66958823451142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5.4978954722173515E-14</v>
      </c>
      <c r="CA155" s="14">
        <f t="shared" si="170"/>
        <v>8.8550225887742724E-13</v>
      </c>
      <c r="CB155" s="22">
        <f t="shared" si="171"/>
        <v>1.6380047803526383E-12</v>
      </c>
      <c r="CC155" s="62">
        <f t="shared" si="119"/>
        <v>293.33333333333496</v>
      </c>
      <c r="CD155" s="62">
        <f ca="1">AVERAGE(OFFSET($CC$3,0,0,'Données projet'!$E$12+1,1))-AVERAGE(OFFSET($H$3,0,0,'Données projet'!$E$12+1,1))</f>
        <v>255.59755832175625</v>
      </c>
      <c r="CE155" s="62">
        <f t="shared" si="148"/>
        <v>154.0840647586964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2">
        <f t="shared" si="122"/>
        <v>293.33333333333582</v>
      </c>
      <c r="CY155" s="62">
        <f ca="1">AVERAGE(OFFSET($CX$3,0,0,'Données projet'!$E$13+1,1))-AVERAGE(OFFSET($H$3,0,0,'Données projet'!$E$13+1,1))</f>
        <v>292.57482726862594</v>
      </c>
      <c r="CZ155" s="62">
        <f t="shared" si="150"/>
        <v>283.48738729114024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428.8489304403459</v>
      </c>
      <c r="T156" s="62">
        <f t="shared" si="142"/>
        <v>247.01165577562966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475.47920969424894</v>
      </c>
      <c r="AO156" s="62">
        <f t="shared" si="144"/>
        <v>271.73544012419364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-1.250327841262333E-13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290.85271051443431</v>
      </c>
      <c r="BJ156" s="62">
        <f t="shared" si="146"/>
        <v>318.66958823451142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5.4978954722173515E-14</v>
      </c>
      <c r="CA156" s="14">
        <f t="shared" si="170"/>
        <v>8.8550225887742724E-13</v>
      </c>
      <c r="CB156" s="22">
        <f t="shared" si="171"/>
        <v>1.6380047803526383E-12</v>
      </c>
      <c r="CC156" s="62">
        <f t="shared" si="119"/>
        <v>293.33333333333496</v>
      </c>
      <c r="CD156" s="62">
        <f ca="1">AVERAGE(OFFSET($CC$3,0,0,'Données projet'!$E$12+1,1))-AVERAGE(OFFSET($H$3,0,0,'Données projet'!$E$12+1,1))</f>
        <v>255.59755832175625</v>
      </c>
      <c r="CE156" s="62">
        <f t="shared" si="148"/>
        <v>154.0840647586964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2">
        <f t="shared" si="122"/>
        <v>293.33333333333582</v>
      </c>
      <c r="CY156" s="62">
        <f ca="1">AVERAGE(OFFSET($CX$3,0,0,'Données projet'!$E$13+1,1))-AVERAGE(OFFSET($H$3,0,0,'Données projet'!$E$13+1,1))</f>
        <v>292.57482726862594</v>
      </c>
      <c r="CZ156" s="62">
        <f t="shared" si="150"/>
        <v>283.48738729114024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428.8489304403459</v>
      </c>
      <c r="T157" s="62">
        <f t="shared" si="142"/>
        <v>247.01165577562966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475.47920969424894</v>
      </c>
      <c r="AO157" s="62">
        <f t="shared" si="144"/>
        <v>271.73544012419364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-1.250327841262333E-13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290.85271051443431</v>
      </c>
      <c r="BJ157" s="62">
        <f t="shared" si="146"/>
        <v>318.66958823451142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5.4978954722173515E-14</v>
      </c>
      <c r="CA157" s="14">
        <f t="shared" si="170"/>
        <v>8.8550225887742724E-13</v>
      </c>
      <c r="CB157" s="22">
        <f t="shared" si="171"/>
        <v>1.6380047803526383E-12</v>
      </c>
      <c r="CC157" s="62">
        <f t="shared" si="119"/>
        <v>293.33333333333496</v>
      </c>
      <c r="CD157" s="62">
        <f ca="1">AVERAGE(OFFSET($CC$3,0,0,'Données projet'!$E$12+1,1))-AVERAGE(OFFSET($H$3,0,0,'Données projet'!$E$12+1,1))</f>
        <v>255.59755832175625</v>
      </c>
      <c r="CE157" s="62">
        <f t="shared" si="148"/>
        <v>154.0840647586964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2">
        <f t="shared" si="122"/>
        <v>293.33333333333582</v>
      </c>
      <c r="CY157" s="62">
        <f ca="1">AVERAGE(OFFSET($CX$3,0,0,'Données projet'!$E$13+1,1))-AVERAGE(OFFSET($H$3,0,0,'Données projet'!$E$13+1,1))</f>
        <v>292.57482726862594</v>
      </c>
      <c r="CZ157" s="62">
        <f t="shared" si="150"/>
        <v>283.48738729114024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428.8489304403459</v>
      </c>
      <c r="T158" s="62">
        <f t="shared" si="142"/>
        <v>247.01165577562966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475.47920969424894</v>
      </c>
      <c r="AO158" s="62">
        <f t="shared" si="144"/>
        <v>271.73544012419364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-1.250327841262333E-13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290.85271051443431</v>
      </c>
      <c r="BJ158" s="62">
        <f t="shared" si="146"/>
        <v>318.66958823451142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5.4978954722173515E-14</v>
      </c>
      <c r="CA158" s="14">
        <f t="shared" si="170"/>
        <v>8.8550225887742724E-13</v>
      </c>
      <c r="CB158" s="22">
        <f t="shared" si="171"/>
        <v>1.6380047803526383E-12</v>
      </c>
      <c r="CC158" s="62">
        <f t="shared" si="119"/>
        <v>293.33333333333496</v>
      </c>
      <c r="CD158" s="62">
        <f ca="1">AVERAGE(OFFSET($CC$3,0,0,'Données projet'!$E$12+1,1))-AVERAGE(OFFSET($H$3,0,0,'Données projet'!$E$12+1,1))</f>
        <v>255.59755832175625</v>
      </c>
      <c r="CE158" s="62">
        <f t="shared" si="148"/>
        <v>154.0840647586964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2">
        <f t="shared" si="122"/>
        <v>293.33333333333582</v>
      </c>
      <c r="CY158" s="62">
        <f ca="1">AVERAGE(OFFSET($CX$3,0,0,'Données projet'!$E$13+1,1))-AVERAGE(OFFSET($H$3,0,0,'Données projet'!$E$13+1,1))</f>
        <v>292.57482726862594</v>
      </c>
      <c r="CZ158" s="62">
        <f t="shared" si="150"/>
        <v>283.48738729114024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428.8489304403459</v>
      </c>
      <c r="T159" s="62">
        <f t="shared" si="142"/>
        <v>247.01165577562966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475.47920969424894</v>
      </c>
      <c r="AO159" s="62">
        <f t="shared" si="144"/>
        <v>271.73544012419364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-1.250327841262333E-13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290.85271051443431</v>
      </c>
      <c r="BJ159" s="62">
        <f t="shared" si="146"/>
        <v>318.66958823451142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5.4978954722173515E-14</v>
      </c>
      <c r="CA159" s="14">
        <f t="shared" si="170"/>
        <v>8.8550225887742724E-13</v>
      </c>
      <c r="CB159" s="22">
        <f t="shared" si="171"/>
        <v>1.6380047803526383E-12</v>
      </c>
      <c r="CC159" s="62">
        <f t="shared" si="119"/>
        <v>293.33333333333496</v>
      </c>
      <c r="CD159" s="62">
        <f ca="1">AVERAGE(OFFSET($CC$3,0,0,'Données projet'!$E$12+1,1))-AVERAGE(OFFSET($H$3,0,0,'Données projet'!$E$12+1,1))</f>
        <v>255.59755832175625</v>
      </c>
      <c r="CE159" s="62">
        <f t="shared" si="148"/>
        <v>154.0840647586964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2">
        <f t="shared" si="122"/>
        <v>293.33333333333582</v>
      </c>
      <c r="CY159" s="62">
        <f ca="1">AVERAGE(OFFSET($CX$3,0,0,'Données projet'!$E$13+1,1))-AVERAGE(OFFSET($H$3,0,0,'Données projet'!$E$13+1,1))</f>
        <v>292.57482726862594</v>
      </c>
      <c r="CZ159" s="62">
        <f t="shared" si="150"/>
        <v>283.48738729114024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428.8489304403459</v>
      </c>
      <c r="T160" s="62">
        <f t="shared" si="142"/>
        <v>247.01165577562966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475.47920969424894</v>
      </c>
      <c r="AO160" s="62">
        <f t="shared" si="144"/>
        <v>271.73544012419364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-1.250327841262333E-13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290.85271051443431</v>
      </c>
      <c r="BJ160" s="62">
        <f t="shared" si="146"/>
        <v>318.66958823451142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5.4978954722173515E-14</v>
      </c>
      <c r="CA160" s="14">
        <f t="shared" si="170"/>
        <v>8.8550225887742724E-13</v>
      </c>
      <c r="CB160" s="22">
        <f t="shared" si="171"/>
        <v>1.6380047803526383E-12</v>
      </c>
      <c r="CC160" s="62">
        <f t="shared" si="119"/>
        <v>293.33333333333496</v>
      </c>
      <c r="CD160" s="62">
        <f ca="1">AVERAGE(OFFSET($CC$3,0,0,'Données projet'!$E$12+1,1))-AVERAGE(OFFSET($H$3,0,0,'Données projet'!$E$12+1,1))</f>
        <v>255.59755832175625</v>
      </c>
      <c r="CE160" s="62">
        <f t="shared" si="148"/>
        <v>154.0840647586964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2">
        <f t="shared" si="122"/>
        <v>293.33333333333582</v>
      </c>
      <c r="CY160" s="62">
        <f ca="1">AVERAGE(OFFSET($CX$3,0,0,'Données projet'!$E$13+1,1))-AVERAGE(OFFSET($H$3,0,0,'Données projet'!$E$13+1,1))</f>
        <v>292.57482726862594</v>
      </c>
      <c r="CZ160" s="62">
        <f t="shared" si="150"/>
        <v>283.48738729114024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428.8489304403459</v>
      </c>
      <c r="T161" s="62">
        <f t="shared" si="142"/>
        <v>247.01165577562966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475.47920969424894</v>
      </c>
      <c r="AO161" s="62">
        <f t="shared" si="144"/>
        <v>271.73544012419364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-1.250327841262333E-13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290.85271051443431</v>
      </c>
      <c r="BJ161" s="62">
        <f t="shared" si="146"/>
        <v>318.66958823451142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5.4978954722173515E-14</v>
      </c>
      <c r="CA161" s="14">
        <f t="shared" si="170"/>
        <v>8.8550225887742724E-13</v>
      </c>
      <c r="CB161" s="22">
        <f t="shared" si="171"/>
        <v>1.6380047803526383E-12</v>
      </c>
      <c r="CC161" s="62">
        <f t="shared" si="119"/>
        <v>293.33333333333496</v>
      </c>
      <c r="CD161" s="62">
        <f ca="1">AVERAGE(OFFSET($CC$3,0,0,'Données projet'!$E$12+1,1))-AVERAGE(OFFSET($H$3,0,0,'Données projet'!$E$12+1,1))</f>
        <v>255.59755832175625</v>
      </c>
      <c r="CE161" s="62">
        <f t="shared" si="148"/>
        <v>154.0840647586964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2">
        <f t="shared" si="122"/>
        <v>293.33333333333582</v>
      </c>
      <c r="CY161" s="62">
        <f ca="1">AVERAGE(OFFSET($CX$3,0,0,'Données projet'!$E$13+1,1))-AVERAGE(OFFSET($H$3,0,0,'Données projet'!$E$13+1,1))</f>
        <v>292.57482726862594</v>
      </c>
      <c r="CZ161" s="62">
        <f t="shared" si="150"/>
        <v>283.48738729114024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428.8489304403459</v>
      </c>
      <c r="T162" s="62">
        <f t="shared" si="142"/>
        <v>247.01165577562966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475.47920969424894</v>
      </c>
      <c r="AO162" s="62">
        <f t="shared" si="144"/>
        <v>271.73544012419364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-1.250327841262333E-13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290.85271051443431</v>
      </c>
      <c r="BJ162" s="62">
        <f t="shared" si="146"/>
        <v>318.66958823451142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5.4978954722173515E-14</v>
      </c>
      <c r="CA162" s="14">
        <f t="shared" si="170"/>
        <v>8.8550225887742724E-13</v>
      </c>
      <c r="CB162" s="22">
        <f t="shared" si="171"/>
        <v>1.6380047803526383E-12</v>
      </c>
      <c r="CC162" s="62">
        <f t="shared" si="119"/>
        <v>293.33333333333496</v>
      </c>
      <c r="CD162" s="62">
        <f ca="1">AVERAGE(OFFSET($CC$3,0,0,'Données projet'!$E$12+1,1))-AVERAGE(OFFSET($H$3,0,0,'Données projet'!$E$12+1,1))</f>
        <v>255.59755832175625</v>
      </c>
      <c r="CE162" s="62">
        <f t="shared" si="148"/>
        <v>154.0840647586964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2">
        <f t="shared" si="122"/>
        <v>293.33333333333582</v>
      </c>
      <c r="CY162" s="62">
        <f ca="1">AVERAGE(OFFSET($CX$3,0,0,'Données projet'!$E$13+1,1))-AVERAGE(OFFSET($H$3,0,0,'Données projet'!$E$13+1,1))</f>
        <v>292.57482726862594</v>
      </c>
      <c r="CZ162" s="62">
        <f t="shared" si="150"/>
        <v>283.48738729114024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428.8489304403459</v>
      </c>
      <c r="T163" s="62">
        <f t="shared" si="142"/>
        <v>247.01165577562966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475.47920969424894</v>
      </c>
      <c r="AO163" s="62">
        <f t="shared" si="144"/>
        <v>271.73544012419364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-1.250327841262333E-13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290.85271051443431</v>
      </c>
      <c r="BJ163" s="62">
        <f t="shared" si="146"/>
        <v>318.66958823451142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5.4978954722173515E-14</v>
      </c>
      <c r="CA163" s="14">
        <f t="shared" si="170"/>
        <v>8.8550225887742724E-13</v>
      </c>
      <c r="CB163" s="22">
        <f t="shared" si="171"/>
        <v>1.6380047803526383E-12</v>
      </c>
      <c r="CC163" s="62">
        <f t="shared" si="119"/>
        <v>293.33333333333496</v>
      </c>
      <c r="CD163" s="62">
        <f ca="1">AVERAGE(OFFSET($CC$3,0,0,'Données projet'!$E$12+1,1))-AVERAGE(OFFSET($H$3,0,0,'Données projet'!$E$12+1,1))</f>
        <v>255.59755832175625</v>
      </c>
      <c r="CE163" s="62">
        <f t="shared" si="148"/>
        <v>154.0840647586964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2">
        <f t="shared" si="122"/>
        <v>293.33333333333582</v>
      </c>
      <c r="CY163" s="62">
        <f ca="1">AVERAGE(OFFSET($CX$3,0,0,'Données projet'!$E$13+1,1))-AVERAGE(OFFSET($H$3,0,0,'Données projet'!$E$13+1,1))</f>
        <v>292.57482726862594</v>
      </c>
      <c r="CZ163" s="62">
        <f t="shared" si="150"/>
        <v>283.48738729114024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428.8489304403459</v>
      </c>
      <c r="T164" s="62">
        <f t="shared" si="142"/>
        <v>247.01165577562966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475.47920969424894</v>
      </c>
      <c r="AO164" s="62">
        <f t="shared" si="144"/>
        <v>271.73544012419364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-1.250327841262333E-13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290.85271051443431</v>
      </c>
      <c r="BJ164" s="62">
        <f t="shared" si="146"/>
        <v>318.66958823451142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5.4978954722173515E-14</v>
      </c>
      <c r="CA164" s="14">
        <f t="shared" si="170"/>
        <v>8.8550225887742724E-13</v>
      </c>
      <c r="CB164" s="22">
        <f t="shared" si="171"/>
        <v>1.6380047803526383E-12</v>
      </c>
      <c r="CC164" s="62">
        <f t="shared" si="119"/>
        <v>293.33333333333496</v>
      </c>
      <c r="CD164" s="62">
        <f ca="1">AVERAGE(OFFSET($CC$3,0,0,'Données projet'!$E$12+1,1))-AVERAGE(OFFSET($H$3,0,0,'Données projet'!$E$12+1,1))</f>
        <v>255.59755832175625</v>
      </c>
      <c r="CE164" s="62">
        <f t="shared" si="148"/>
        <v>154.0840647586964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2">
        <f t="shared" si="122"/>
        <v>293.33333333333582</v>
      </c>
      <c r="CY164" s="62">
        <f ca="1">AVERAGE(OFFSET($CX$3,0,0,'Données projet'!$E$13+1,1))-AVERAGE(OFFSET($H$3,0,0,'Données projet'!$E$13+1,1))</f>
        <v>292.57482726862594</v>
      </c>
      <c r="CZ164" s="62">
        <f t="shared" si="150"/>
        <v>283.48738729114024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428.8489304403459</v>
      </c>
      <c r="T165" s="62">
        <f t="shared" si="142"/>
        <v>247.01165577562966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475.47920969424894</v>
      </c>
      <c r="AO165" s="62">
        <f t="shared" si="144"/>
        <v>271.73544012419364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-1.250327841262333E-13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290.85271051443431</v>
      </c>
      <c r="BJ165" s="62">
        <f t="shared" si="146"/>
        <v>318.66958823451142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5.4978954722173515E-14</v>
      </c>
      <c r="CA165" s="14">
        <f t="shared" si="170"/>
        <v>8.8550225887742724E-13</v>
      </c>
      <c r="CB165" s="22">
        <f t="shared" si="171"/>
        <v>1.6380047803526383E-12</v>
      </c>
      <c r="CC165" s="62">
        <f t="shared" si="119"/>
        <v>293.33333333333496</v>
      </c>
      <c r="CD165" s="62">
        <f ca="1">AVERAGE(OFFSET($CC$3,0,0,'Données projet'!$E$12+1,1))-AVERAGE(OFFSET($H$3,0,0,'Données projet'!$E$12+1,1))</f>
        <v>255.59755832175625</v>
      </c>
      <c r="CE165" s="62">
        <f t="shared" si="148"/>
        <v>154.0840647586964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2">
        <f t="shared" si="122"/>
        <v>293.33333333333582</v>
      </c>
      <c r="CY165" s="62">
        <f ca="1">AVERAGE(OFFSET($CX$3,0,0,'Données projet'!$E$13+1,1))-AVERAGE(OFFSET($H$3,0,0,'Données projet'!$E$13+1,1))</f>
        <v>292.57482726862594</v>
      </c>
      <c r="CZ165" s="62">
        <f t="shared" si="150"/>
        <v>283.48738729114024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428.8489304403459</v>
      </c>
      <c r="T166" s="62">
        <f t="shared" si="142"/>
        <v>247.01165577562966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475.47920969424894</v>
      </c>
      <c r="AO166" s="62">
        <f t="shared" si="144"/>
        <v>271.73544012419364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-1.250327841262333E-13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290.85271051443431</v>
      </c>
      <c r="BJ166" s="62">
        <f t="shared" si="146"/>
        <v>318.66958823451142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5.4978954722173515E-14</v>
      </c>
      <c r="CA166" s="14">
        <f t="shared" si="170"/>
        <v>8.8550225887742724E-13</v>
      </c>
      <c r="CB166" s="22">
        <f t="shared" si="171"/>
        <v>1.6380047803526383E-12</v>
      </c>
      <c r="CC166" s="62">
        <f t="shared" si="119"/>
        <v>293.33333333333496</v>
      </c>
      <c r="CD166" s="62">
        <f ca="1">AVERAGE(OFFSET($CC$3,0,0,'Données projet'!$E$12+1,1))-AVERAGE(OFFSET($H$3,0,0,'Données projet'!$E$12+1,1))</f>
        <v>255.59755832175625</v>
      </c>
      <c r="CE166" s="62">
        <f t="shared" si="148"/>
        <v>154.0840647586964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2">
        <f t="shared" si="122"/>
        <v>293.33333333333582</v>
      </c>
      <c r="CY166" s="62">
        <f ca="1">AVERAGE(OFFSET($CX$3,0,0,'Données projet'!$E$13+1,1))-AVERAGE(OFFSET($H$3,0,0,'Données projet'!$E$13+1,1))</f>
        <v>292.57482726862594</v>
      </c>
      <c r="CZ166" s="62">
        <f t="shared" si="150"/>
        <v>283.48738729114024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428.8489304403459</v>
      </c>
      <c r="T167" s="62">
        <f t="shared" si="142"/>
        <v>247.01165577562966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475.47920969424894</v>
      </c>
      <c r="AO167" s="62">
        <f t="shared" si="144"/>
        <v>271.73544012419364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-1.250327841262333E-13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290.85271051443431</v>
      </c>
      <c r="BJ167" s="62">
        <f t="shared" si="146"/>
        <v>318.66958823451142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5.4978954722173515E-14</v>
      </c>
      <c r="CA167" s="14">
        <f t="shared" si="170"/>
        <v>8.8550225887742724E-13</v>
      </c>
      <c r="CB167" s="22">
        <f t="shared" si="171"/>
        <v>1.6380047803526383E-12</v>
      </c>
      <c r="CC167" s="62">
        <f t="shared" si="119"/>
        <v>293.33333333333496</v>
      </c>
      <c r="CD167" s="62">
        <f ca="1">AVERAGE(OFFSET($CC$3,0,0,'Données projet'!$E$12+1,1))-AVERAGE(OFFSET($H$3,0,0,'Données projet'!$E$12+1,1))</f>
        <v>255.59755832175625</v>
      </c>
      <c r="CE167" s="62">
        <f t="shared" si="148"/>
        <v>154.0840647586964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2">
        <f t="shared" si="122"/>
        <v>293.33333333333582</v>
      </c>
      <c r="CY167" s="62">
        <f ca="1">AVERAGE(OFFSET($CX$3,0,0,'Données projet'!$E$13+1,1))-AVERAGE(OFFSET($H$3,0,0,'Données projet'!$E$13+1,1))</f>
        <v>292.57482726862594</v>
      </c>
      <c r="CZ167" s="62">
        <f t="shared" si="150"/>
        <v>283.48738729114024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428.8489304403459</v>
      </c>
      <c r="T168" s="62">
        <f t="shared" si="142"/>
        <v>247.01165577562966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475.47920969424894</v>
      </c>
      <c r="AO168" s="62">
        <f t="shared" si="144"/>
        <v>271.73544012419364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-1.250327841262333E-13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290.85271051443431</v>
      </c>
      <c r="BJ168" s="62">
        <f t="shared" si="146"/>
        <v>318.66958823451142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5.4978954722173515E-14</v>
      </c>
      <c r="CA168" s="14">
        <f t="shared" si="170"/>
        <v>8.8550225887742724E-13</v>
      </c>
      <c r="CB168" s="22">
        <f t="shared" si="171"/>
        <v>1.6380047803526383E-12</v>
      </c>
      <c r="CC168" s="62">
        <f t="shared" si="119"/>
        <v>293.33333333333496</v>
      </c>
      <c r="CD168" s="62">
        <f ca="1">AVERAGE(OFFSET($CC$3,0,0,'Données projet'!$E$12+1,1))-AVERAGE(OFFSET($H$3,0,0,'Données projet'!$E$12+1,1))</f>
        <v>255.59755832175625</v>
      </c>
      <c r="CE168" s="62">
        <f t="shared" si="148"/>
        <v>154.0840647586964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2">
        <f t="shared" si="122"/>
        <v>293.33333333333582</v>
      </c>
      <c r="CY168" s="62">
        <f ca="1">AVERAGE(OFFSET($CX$3,0,0,'Données projet'!$E$13+1,1))-AVERAGE(OFFSET($H$3,0,0,'Données projet'!$E$13+1,1))</f>
        <v>292.57482726862594</v>
      </c>
      <c r="CZ168" s="62">
        <f t="shared" si="150"/>
        <v>283.48738729114024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428.8489304403459</v>
      </c>
      <c r="T169" s="62">
        <f t="shared" si="142"/>
        <v>247.01165577562966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475.47920969424894</v>
      </c>
      <c r="AO169" s="62">
        <f t="shared" si="144"/>
        <v>271.73544012419364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-1.250327841262333E-13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290.85271051443431</v>
      </c>
      <c r="BJ169" s="62">
        <f t="shared" si="146"/>
        <v>318.66958823451142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5.4978954722173515E-14</v>
      </c>
      <c r="CA169" s="14">
        <f t="shared" si="170"/>
        <v>8.8550225887742724E-13</v>
      </c>
      <c r="CB169" s="22">
        <f t="shared" si="171"/>
        <v>1.6380047803526383E-12</v>
      </c>
      <c r="CC169" s="62">
        <f t="shared" si="119"/>
        <v>293.33333333333496</v>
      </c>
      <c r="CD169" s="62">
        <f ca="1">AVERAGE(OFFSET($CC$3,0,0,'Données projet'!$E$12+1,1))-AVERAGE(OFFSET($H$3,0,0,'Données projet'!$E$12+1,1))</f>
        <v>255.59755832175625</v>
      </c>
      <c r="CE169" s="62">
        <f t="shared" si="148"/>
        <v>154.0840647586964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2">
        <f t="shared" si="122"/>
        <v>293.33333333333582</v>
      </c>
      <c r="CY169" s="62">
        <f ca="1">AVERAGE(OFFSET($CX$3,0,0,'Données projet'!$E$13+1,1))-AVERAGE(OFFSET($H$3,0,0,'Données projet'!$E$13+1,1))</f>
        <v>292.57482726862594</v>
      </c>
      <c r="CZ169" s="62">
        <f t="shared" si="150"/>
        <v>283.48738729114024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428.8489304403459</v>
      </c>
      <c r="T170" s="62">
        <f t="shared" si="142"/>
        <v>247.01165577562966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475.47920969424894</v>
      </c>
      <c r="AO170" s="62">
        <f t="shared" si="144"/>
        <v>271.73544012419364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-1.250327841262333E-13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290.85271051443431</v>
      </c>
      <c r="BJ170" s="62">
        <f t="shared" si="146"/>
        <v>318.66958823451142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5.4978954722173515E-14</v>
      </c>
      <c r="CA170" s="14">
        <f t="shared" si="170"/>
        <v>8.8550225887742724E-13</v>
      </c>
      <c r="CB170" s="22">
        <f t="shared" si="171"/>
        <v>1.6380047803526383E-12</v>
      </c>
      <c r="CC170" s="62">
        <f t="shared" si="119"/>
        <v>293.33333333333496</v>
      </c>
      <c r="CD170" s="62">
        <f ca="1">AVERAGE(OFFSET($CC$3,0,0,'Données projet'!$E$12+1,1))-AVERAGE(OFFSET($H$3,0,0,'Données projet'!$E$12+1,1))</f>
        <v>255.59755832175625</v>
      </c>
      <c r="CE170" s="62">
        <f t="shared" si="148"/>
        <v>154.0840647586964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2">
        <f t="shared" si="122"/>
        <v>293.33333333333582</v>
      </c>
      <c r="CY170" s="62">
        <f ca="1">AVERAGE(OFFSET($CX$3,0,0,'Données projet'!$E$13+1,1))-AVERAGE(OFFSET($H$3,0,0,'Données projet'!$E$13+1,1))</f>
        <v>292.57482726862594</v>
      </c>
      <c r="CZ170" s="62">
        <f t="shared" si="150"/>
        <v>283.48738729114024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428.8489304403459</v>
      </c>
      <c r="T171" s="62">
        <f t="shared" si="142"/>
        <v>247.01165577562966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475.47920969424894</v>
      </c>
      <c r="AO171" s="62">
        <f t="shared" si="144"/>
        <v>271.73544012419364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-1.250327841262333E-13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290.85271051443431</v>
      </c>
      <c r="BJ171" s="62">
        <f t="shared" si="146"/>
        <v>318.66958823451142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5.4978954722173515E-14</v>
      </c>
      <c r="CA171" s="14">
        <f t="shared" si="170"/>
        <v>8.8550225887742724E-13</v>
      </c>
      <c r="CB171" s="22">
        <f t="shared" si="171"/>
        <v>1.6380047803526383E-12</v>
      </c>
      <c r="CC171" s="62">
        <f t="shared" si="119"/>
        <v>293.33333333333496</v>
      </c>
      <c r="CD171" s="62">
        <f ca="1">AVERAGE(OFFSET($CC$3,0,0,'Données projet'!$E$12+1,1))-AVERAGE(OFFSET($H$3,0,0,'Données projet'!$E$12+1,1))</f>
        <v>255.59755832175625</v>
      </c>
      <c r="CE171" s="62">
        <f t="shared" si="148"/>
        <v>154.0840647586964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2">
        <f t="shared" si="122"/>
        <v>293.33333333333582</v>
      </c>
      <c r="CY171" s="62">
        <f ca="1">AVERAGE(OFFSET($CX$3,0,0,'Données projet'!$E$13+1,1))-AVERAGE(OFFSET($H$3,0,0,'Données projet'!$E$13+1,1))</f>
        <v>292.57482726862594</v>
      </c>
      <c r="CZ171" s="62">
        <f t="shared" si="150"/>
        <v>283.48738729114024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428.8489304403459</v>
      </c>
      <c r="T172" s="62">
        <f t="shared" si="142"/>
        <v>247.01165577562966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475.47920969424894</v>
      </c>
      <c r="AO172" s="62">
        <f t="shared" si="144"/>
        <v>271.73544012419364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-1.250327841262333E-13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290.85271051443431</v>
      </c>
      <c r="BJ172" s="62">
        <f t="shared" si="146"/>
        <v>318.66958823451142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5.4978954722173515E-14</v>
      </c>
      <c r="CA172" s="14">
        <f t="shared" si="170"/>
        <v>8.8550225887742724E-13</v>
      </c>
      <c r="CB172" s="22">
        <f t="shared" si="171"/>
        <v>1.6380047803526383E-12</v>
      </c>
      <c r="CC172" s="62">
        <f t="shared" si="119"/>
        <v>293.33333333333496</v>
      </c>
      <c r="CD172" s="62">
        <f ca="1">AVERAGE(OFFSET($CC$3,0,0,'Données projet'!$E$12+1,1))-AVERAGE(OFFSET($H$3,0,0,'Données projet'!$E$12+1,1))</f>
        <v>255.59755832175625</v>
      </c>
      <c r="CE172" s="62">
        <f t="shared" si="148"/>
        <v>154.0840647586964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2">
        <f t="shared" si="122"/>
        <v>293.33333333333582</v>
      </c>
      <c r="CY172" s="62">
        <f ca="1">AVERAGE(OFFSET($CX$3,0,0,'Données projet'!$E$13+1,1))-AVERAGE(OFFSET($H$3,0,0,'Données projet'!$E$13+1,1))</f>
        <v>292.57482726862594</v>
      </c>
      <c r="CZ172" s="62">
        <f t="shared" si="150"/>
        <v>283.48738729114024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428.8489304403459</v>
      </c>
      <c r="T173" s="62">
        <f t="shared" si="142"/>
        <v>247.01165577562966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475.47920969424894</v>
      </c>
      <c r="AO173" s="62">
        <f t="shared" si="144"/>
        <v>271.73544012419364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-1.250327841262333E-13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290.85271051443431</v>
      </c>
      <c r="BJ173" s="62">
        <f t="shared" si="146"/>
        <v>318.66958823451142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5.4978954722173515E-14</v>
      </c>
      <c r="CA173" s="14">
        <f t="shared" si="170"/>
        <v>8.8550225887742724E-13</v>
      </c>
      <c r="CB173" s="22">
        <f t="shared" si="171"/>
        <v>1.6380047803526383E-12</v>
      </c>
      <c r="CC173" s="62">
        <f t="shared" si="119"/>
        <v>293.33333333333496</v>
      </c>
      <c r="CD173" s="62">
        <f ca="1">AVERAGE(OFFSET($CC$3,0,0,'Données projet'!$E$12+1,1))-AVERAGE(OFFSET($H$3,0,0,'Données projet'!$E$12+1,1))</f>
        <v>255.59755832175625</v>
      </c>
      <c r="CE173" s="62">
        <f t="shared" si="148"/>
        <v>154.0840647586964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2">
        <f t="shared" si="122"/>
        <v>293.33333333333582</v>
      </c>
      <c r="CY173" s="62">
        <f ca="1">AVERAGE(OFFSET($CX$3,0,0,'Données projet'!$E$13+1,1))-AVERAGE(OFFSET($H$3,0,0,'Données projet'!$E$13+1,1))</f>
        <v>292.57482726862594</v>
      </c>
      <c r="CZ173" s="62">
        <f t="shared" si="150"/>
        <v>283.48738729114024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428.8489304403459</v>
      </c>
      <c r="T174" s="62">
        <f t="shared" si="142"/>
        <v>247.01165577562966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475.47920969424894</v>
      </c>
      <c r="AO174" s="62">
        <f t="shared" si="144"/>
        <v>271.73544012419364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-1.250327841262333E-13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290.85271051443431</v>
      </c>
      <c r="BJ174" s="62">
        <f t="shared" si="146"/>
        <v>318.66958823451142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5.4978954722173515E-14</v>
      </c>
      <c r="CA174" s="14">
        <f t="shared" si="170"/>
        <v>8.8550225887742724E-13</v>
      </c>
      <c r="CB174" s="22">
        <f t="shared" si="171"/>
        <v>1.6380047803526383E-12</v>
      </c>
      <c r="CC174" s="62">
        <f t="shared" si="119"/>
        <v>293.33333333333496</v>
      </c>
      <c r="CD174" s="62">
        <f ca="1">AVERAGE(OFFSET($CC$3,0,0,'Données projet'!$E$12+1,1))-AVERAGE(OFFSET($H$3,0,0,'Données projet'!$E$12+1,1))</f>
        <v>255.59755832175625</v>
      </c>
      <c r="CE174" s="62">
        <f t="shared" si="148"/>
        <v>154.0840647586964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2">
        <f t="shared" si="122"/>
        <v>293.33333333333582</v>
      </c>
      <c r="CY174" s="62">
        <f ca="1">AVERAGE(OFFSET($CX$3,0,0,'Données projet'!$E$13+1,1))-AVERAGE(OFFSET($H$3,0,0,'Données projet'!$E$13+1,1))</f>
        <v>292.57482726862594</v>
      </c>
      <c r="CZ174" s="62">
        <f t="shared" si="150"/>
        <v>283.48738729114024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428.8489304403459</v>
      </c>
      <c r="T175" s="62">
        <f t="shared" si="142"/>
        <v>247.01165577562966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475.47920969424894</v>
      </c>
      <c r="AO175" s="62">
        <f t="shared" si="144"/>
        <v>271.73544012419364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-1.250327841262333E-13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290.85271051443431</v>
      </c>
      <c r="BJ175" s="62">
        <f t="shared" si="146"/>
        <v>318.66958823451142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5.4978954722173515E-14</v>
      </c>
      <c r="CA175" s="14">
        <f t="shared" si="170"/>
        <v>8.8550225887742724E-13</v>
      </c>
      <c r="CB175" s="22">
        <f t="shared" si="171"/>
        <v>1.6380047803526383E-12</v>
      </c>
      <c r="CC175" s="62">
        <f t="shared" si="119"/>
        <v>293.33333333333496</v>
      </c>
      <c r="CD175" s="62">
        <f ca="1">AVERAGE(OFFSET($CC$3,0,0,'Données projet'!$E$12+1,1))-AVERAGE(OFFSET($H$3,0,0,'Données projet'!$E$12+1,1))</f>
        <v>255.59755832175625</v>
      </c>
      <c r="CE175" s="62">
        <f t="shared" si="148"/>
        <v>154.0840647586964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2">
        <f t="shared" si="122"/>
        <v>293.33333333333582</v>
      </c>
      <c r="CY175" s="62">
        <f ca="1">AVERAGE(OFFSET($CX$3,0,0,'Données projet'!$E$13+1,1))-AVERAGE(OFFSET($H$3,0,0,'Données projet'!$E$13+1,1))</f>
        <v>292.57482726862594</v>
      </c>
      <c r="CZ175" s="62">
        <f t="shared" si="150"/>
        <v>283.48738729114024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428.8489304403459</v>
      </c>
      <c r="T176" s="62">
        <f t="shared" si="142"/>
        <v>247.01165577562966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475.47920969424894</v>
      </c>
      <c r="AO176" s="62">
        <f t="shared" si="144"/>
        <v>271.73544012419364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-1.250327841262333E-13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290.85271051443431</v>
      </c>
      <c r="BJ176" s="62">
        <f t="shared" si="146"/>
        <v>318.66958823451142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5.4978954722173515E-14</v>
      </c>
      <c r="CA176" s="14">
        <f t="shared" si="170"/>
        <v>8.8550225887742724E-13</v>
      </c>
      <c r="CB176" s="22">
        <f t="shared" si="171"/>
        <v>1.6380047803526383E-12</v>
      </c>
      <c r="CC176" s="62">
        <f t="shared" si="119"/>
        <v>293.33333333333496</v>
      </c>
      <c r="CD176" s="62">
        <f ca="1">AVERAGE(OFFSET($CC$3,0,0,'Données projet'!$E$12+1,1))-AVERAGE(OFFSET($H$3,0,0,'Données projet'!$E$12+1,1))</f>
        <v>255.59755832175625</v>
      </c>
      <c r="CE176" s="62">
        <f t="shared" si="148"/>
        <v>154.0840647586964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2">
        <f t="shared" si="122"/>
        <v>293.33333333333582</v>
      </c>
      <c r="CY176" s="62">
        <f ca="1">AVERAGE(OFFSET($CX$3,0,0,'Données projet'!$E$13+1,1))-AVERAGE(OFFSET($H$3,0,0,'Données projet'!$E$13+1,1))</f>
        <v>292.57482726862594</v>
      </c>
      <c r="CZ176" s="62">
        <f t="shared" si="150"/>
        <v>283.48738729114024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428.8489304403459</v>
      </c>
      <c r="T177" s="62">
        <f t="shared" si="142"/>
        <v>247.01165577562966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475.47920969424894</v>
      </c>
      <c r="AO177" s="62">
        <f t="shared" si="144"/>
        <v>271.73544012419364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-1.250327841262333E-13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290.85271051443431</v>
      </c>
      <c r="BJ177" s="62">
        <f t="shared" si="146"/>
        <v>318.66958823451142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5.4978954722173515E-14</v>
      </c>
      <c r="CA177" s="14">
        <f t="shared" si="170"/>
        <v>8.8550225887742724E-13</v>
      </c>
      <c r="CB177" s="22">
        <f t="shared" si="171"/>
        <v>1.6380047803526383E-12</v>
      </c>
      <c r="CC177" s="62">
        <f t="shared" si="119"/>
        <v>293.33333333333496</v>
      </c>
      <c r="CD177" s="62">
        <f ca="1">AVERAGE(OFFSET($CC$3,0,0,'Données projet'!$E$12+1,1))-AVERAGE(OFFSET($H$3,0,0,'Données projet'!$E$12+1,1))</f>
        <v>255.59755832175625</v>
      </c>
      <c r="CE177" s="62">
        <f t="shared" si="148"/>
        <v>154.0840647586964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2">
        <f t="shared" si="122"/>
        <v>293.33333333333582</v>
      </c>
      <c r="CY177" s="62">
        <f ca="1">AVERAGE(OFFSET($CX$3,0,0,'Données projet'!$E$13+1,1))-AVERAGE(OFFSET($H$3,0,0,'Données projet'!$E$13+1,1))</f>
        <v>292.57482726862594</v>
      </c>
      <c r="CZ177" s="62">
        <f t="shared" si="150"/>
        <v>283.48738729114024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428.8489304403459</v>
      </c>
      <c r="T178" s="62">
        <f t="shared" si="142"/>
        <v>247.01165577562966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475.47920969424894</v>
      </c>
      <c r="AO178" s="62">
        <f t="shared" si="144"/>
        <v>271.73544012419364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-1.250327841262333E-13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290.85271051443431</v>
      </c>
      <c r="BJ178" s="62">
        <f t="shared" si="146"/>
        <v>318.66958823451142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5.4978954722173515E-14</v>
      </c>
      <c r="CA178" s="14">
        <f t="shared" si="170"/>
        <v>8.8550225887742724E-13</v>
      </c>
      <c r="CB178" s="22">
        <f t="shared" si="171"/>
        <v>1.6380047803526383E-12</v>
      </c>
      <c r="CC178" s="62">
        <f t="shared" si="119"/>
        <v>293.33333333333496</v>
      </c>
      <c r="CD178" s="62">
        <f ca="1">AVERAGE(OFFSET($CC$3,0,0,'Données projet'!$E$12+1,1))-AVERAGE(OFFSET($H$3,0,0,'Données projet'!$E$12+1,1))</f>
        <v>255.59755832175625</v>
      </c>
      <c r="CE178" s="62">
        <f t="shared" si="148"/>
        <v>154.0840647586964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2">
        <f t="shared" si="122"/>
        <v>293.33333333333582</v>
      </c>
      <c r="CY178" s="62">
        <f ca="1">AVERAGE(OFFSET($CX$3,0,0,'Données projet'!$E$13+1,1))-AVERAGE(OFFSET($H$3,0,0,'Données projet'!$E$13+1,1))</f>
        <v>292.57482726862594</v>
      </c>
      <c r="CZ178" s="62">
        <f t="shared" si="150"/>
        <v>283.48738729114024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428.8489304403459</v>
      </c>
      <c r="T179" s="62">
        <f t="shared" si="142"/>
        <v>247.01165577562966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475.47920969424894</v>
      </c>
      <c r="AO179" s="62">
        <f t="shared" si="144"/>
        <v>271.73544012419364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-1.250327841262333E-13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290.85271051443431</v>
      </c>
      <c r="BJ179" s="62">
        <f t="shared" si="146"/>
        <v>318.66958823451142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5.4978954722173515E-14</v>
      </c>
      <c r="CA179" s="14">
        <f t="shared" si="170"/>
        <v>8.8550225887742724E-13</v>
      </c>
      <c r="CB179" s="22">
        <f t="shared" si="171"/>
        <v>1.6380047803526383E-12</v>
      </c>
      <c r="CC179" s="62">
        <f t="shared" si="119"/>
        <v>293.33333333333496</v>
      </c>
      <c r="CD179" s="62">
        <f ca="1">AVERAGE(OFFSET($CC$3,0,0,'Données projet'!$E$12+1,1))-AVERAGE(OFFSET($H$3,0,0,'Données projet'!$E$12+1,1))</f>
        <v>255.59755832175625</v>
      </c>
      <c r="CE179" s="62">
        <f t="shared" si="148"/>
        <v>154.0840647586964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2">
        <f t="shared" si="122"/>
        <v>293.33333333333582</v>
      </c>
      <c r="CY179" s="62">
        <f ca="1">AVERAGE(OFFSET($CX$3,0,0,'Données projet'!$E$13+1,1))-AVERAGE(OFFSET($H$3,0,0,'Données projet'!$E$13+1,1))</f>
        <v>292.57482726862594</v>
      </c>
      <c r="CZ179" s="62">
        <f t="shared" si="150"/>
        <v>283.48738729114024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428.8489304403459</v>
      </c>
      <c r="T180" s="62">
        <f t="shared" si="142"/>
        <v>247.01165577562966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475.47920969424894</v>
      </c>
      <c r="AO180" s="62">
        <f t="shared" si="144"/>
        <v>271.73544012419364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-1.250327841262333E-13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290.85271051443431</v>
      </c>
      <c r="BJ180" s="62">
        <f t="shared" si="146"/>
        <v>318.66958823451142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5.4978954722173515E-14</v>
      </c>
      <c r="CA180" s="14">
        <f t="shared" si="170"/>
        <v>8.8550225887742724E-13</v>
      </c>
      <c r="CB180" s="22">
        <f t="shared" si="171"/>
        <v>1.6380047803526383E-12</v>
      </c>
      <c r="CC180" s="62">
        <f t="shared" si="119"/>
        <v>293.33333333333496</v>
      </c>
      <c r="CD180" s="62">
        <f ca="1">AVERAGE(OFFSET($CC$3,0,0,'Données projet'!$E$12+1,1))-AVERAGE(OFFSET($H$3,0,0,'Données projet'!$E$12+1,1))</f>
        <v>255.59755832175625</v>
      </c>
      <c r="CE180" s="62">
        <f t="shared" si="148"/>
        <v>154.0840647586964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2">
        <f t="shared" si="122"/>
        <v>293.33333333333582</v>
      </c>
      <c r="CY180" s="62">
        <f ca="1">AVERAGE(OFFSET($CX$3,0,0,'Données projet'!$E$13+1,1))-AVERAGE(OFFSET($H$3,0,0,'Données projet'!$E$13+1,1))</f>
        <v>292.57482726862594</v>
      </c>
      <c r="CZ180" s="62">
        <f t="shared" si="150"/>
        <v>283.48738729114024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428.8489304403459</v>
      </c>
      <c r="T181" s="62">
        <f t="shared" si="142"/>
        <v>247.01165577562966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475.47920969424894</v>
      </c>
      <c r="AO181" s="62">
        <f t="shared" si="144"/>
        <v>271.73544012419364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-1.250327841262333E-13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290.85271051443431</v>
      </c>
      <c r="BJ181" s="62">
        <f t="shared" si="146"/>
        <v>318.66958823451142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5.4978954722173515E-14</v>
      </c>
      <c r="CA181" s="14">
        <f t="shared" si="170"/>
        <v>8.8550225887742724E-13</v>
      </c>
      <c r="CB181" s="22">
        <f t="shared" si="171"/>
        <v>1.6380047803526383E-12</v>
      </c>
      <c r="CC181" s="62">
        <f t="shared" si="119"/>
        <v>293.33333333333496</v>
      </c>
      <c r="CD181" s="62">
        <f ca="1">AVERAGE(OFFSET($CC$3,0,0,'Données projet'!$E$12+1,1))-AVERAGE(OFFSET($H$3,0,0,'Données projet'!$E$12+1,1))</f>
        <v>255.59755832175625</v>
      </c>
      <c r="CE181" s="62">
        <f t="shared" si="148"/>
        <v>154.0840647586964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2">
        <f t="shared" si="122"/>
        <v>293.33333333333582</v>
      </c>
      <c r="CY181" s="62">
        <f ca="1">AVERAGE(OFFSET($CX$3,0,0,'Données projet'!$E$13+1,1))-AVERAGE(OFFSET($H$3,0,0,'Données projet'!$E$13+1,1))</f>
        <v>292.57482726862594</v>
      </c>
      <c r="CZ181" s="62">
        <f t="shared" si="150"/>
        <v>283.48738729114024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428.8489304403459</v>
      </c>
      <c r="T182" s="62">
        <f t="shared" si="142"/>
        <v>247.01165577562966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475.47920969424894</v>
      </c>
      <c r="AO182" s="62">
        <f t="shared" si="144"/>
        <v>271.73544012419364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-1.250327841262333E-13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290.85271051443431</v>
      </c>
      <c r="BJ182" s="62">
        <f t="shared" si="146"/>
        <v>318.66958823451142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5.4978954722173515E-14</v>
      </c>
      <c r="CA182" s="14">
        <f t="shared" si="170"/>
        <v>8.8550225887742724E-13</v>
      </c>
      <c r="CB182" s="22">
        <f t="shared" si="171"/>
        <v>1.6380047803526383E-12</v>
      </c>
      <c r="CC182" s="62">
        <f t="shared" si="119"/>
        <v>293.33333333333496</v>
      </c>
      <c r="CD182" s="62">
        <f ca="1">AVERAGE(OFFSET($CC$3,0,0,'Données projet'!$E$12+1,1))-AVERAGE(OFFSET($H$3,0,0,'Données projet'!$E$12+1,1))</f>
        <v>255.59755832175625</v>
      </c>
      <c r="CE182" s="62">
        <f t="shared" si="148"/>
        <v>154.0840647586964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2">
        <f t="shared" si="122"/>
        <v>293.33333333333582</v>
      </c>
      <c r="CY182" s="62">
        <f ca="1">AVERAGE(OFFSET($CX$3,0,0,'Données projet'!$E$13+1,1))-AVERAGE(OFFSET($H$3,0,0,'Données projet'!$E$13+1,1))</f>
        <v>292.57482726862594</v>
      </c>
      <c r="CZ182" s="62">
        <f t="shared" si="150"/>
        <v>283.48738729114024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428.8489304403459</v>
      </c>
      <c r="T183" s="62">
        <f t="shared" si="142"/>
        <v>247.01165577562966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475.47920969424894</v>
      </c>
      <c r="AO183" s="62">
        <f t="shared" si="144"/>
        <v>271.73544012419364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-1.250327841262333E-13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290.85271051443431</v>
      </c>
      <c r="BJ183" s="62">
        <f t="shared" si="146"/>
        <v>318.66958823451142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5.4978954722173515E-14</v>
      </c>
      <c r="CA183" s="14">
        <f t="shared" si="170"/>
        <v>8.8550225887742724E-13</v>
      </c>
      <c r="CB183" s="22">
        <f t="shared" si="171"/>
        <v>1.6380047803526383E-12</v>
      </c>
      <c r="CC183" s="62">
        <f t="shared" si="119"/>
        <v>293.33333333333496</v>
      </c>
      <c r="CD183" s="62">
        <f ca="1">AVERAGE(OFFSET($CC$3,0,0,'Données projet'!$E$12+1,1))-AVERAGE(OFFSET($H$3,0,0,'Données projet'!$E$12+1,1))</f>
        <v>255.59755832175625</v>
      </c>
      <c r="CE183" s="62">
        <f t="shared" si="148"/>
        <v>154.0840647586964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2">
        <f t="shared" si="122"/>
        <v>293.33333333333582</v>
      </c>
      <c r="CY183" s="62">
        <f ca="1">AVERAGE(OFFSET($CX$3,0,0,'Données projet'!$E$13+1,1))-AVERAGE(OFFSET($H$3,0,0,'Données projet'!$E$13+1,1))</f>
        <v>292.57482726862594</v>
      </c>
      <c r="CZ183" s="62">
        <f t="shared" si="150"/>
        <v>283.48738729114024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428.8489304403459</v>
      </c>
      <c r="T184" s="62">
        <f t="shared" si="142"/>
        <v>247.01165577562966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475.47920969424894</v>
      </c>
      <c r="AO184" s="62">
        <f t="shared" si="144"/>
        <v>271.73544012419364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-1.250327841262333E-13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290.85271051443431</v>
      </c>
      <c r="BJ184" s="62">
        <f t="shared" si="146"/>
        <v>318.66958823451142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5.4978954722173515E-14</v>
      </c>
      <c r="CA184" s="14">
        <f t="shared" si="170"/>
        <v>8.8550225887742724E-13</v>
      </c>
      <c r="CB184" s="22">
        <f t="shared" si="171"/>
        <v>1.6380047803526383E-12</v>
      </c>
      <c r="CC184" s="62">
        <f t="shared" si="119"/>
        <v>293.33333333333496</v>
      </c>
      <c r="CD184" s="62">
        <f ca="1">AVERAGE(OFFSET($CC$3,0,0,'Données projet'!$E$12+1,1))-AVERAGE(OFFSET($H$3,0,0,'Données projet'!$E$12+1,1))</f>
        <v>255.59755832175625</v>
      </c>
      <c r="CE184" s="62">
        <f t="shared" si="148"/>
        <v>154.0840647586964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2">
        <f t="shared" si="122"/>
        <v>293.33333333333582</v>
      </c>
      <c r="CY184" s="62">
        <f ca="1">AVERAGE(OFFSET($CX$3,0,0,'Données projet'!$E$13+1,1))-AVERAGE(OFFSET($H$3,0,0,'Données projet'!$E$13+1,1))</f>
        <v>292.57482726862594</v>
      </c>
      <c r="CZ184" s="62">
        <f t="shared" si="150"/>
        <v>283.48738729114024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428.8489304403459</v>
      </c>
      <c r="T185" s="62">
        <f t="shared" si="142"/>
        <v>247.01165577562966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475.47920969424894</v>
      </c>
      <c r="AO185" s="62">
        <f t="shared" si="144"/>
        <v>271.73544012419364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-1.250327841262333E-13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290.85271051443431</v>
      </c>
      <c r="BJ185" s="62">
        <f t="shared" si="146"/>
        <v>318.66958823451142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5.4978954722173515E-14</v>
      </c>
      <c r="CA185" s="14">
        <f t="shared" si="170"/>
        <v>8.8550225887742724E-13</v>
      </c>
      <c r="CB185" s="22">
        <f t="shared" si="171"/>
        <v>1.6380047803526383E-12</v>
      </c>
      <c r="CC185" s="62">
        <f t="shared" si="119"/>
        <v>293.33333333333496</v>
      </c>
      <c r="CD185" s="62">
        <f ca="1">AVERAGE(OFFSET($CC$3,0,0,'Données projet'!$E$12+1,1))-AVERAGE(OFFSET($H$3,0,0,'Données projet'!$E$12+1,1))</f>
        <v>255.59755832175625</v>
      </c>
      <c r="CE185" s="62">
        <f t="shared" si="148"/>
        <v>154.0840647586964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2">
        <f t="shared" si="122"/>
        <v>293.33333333333582</v>
      </c>
      <c r="CY185" s="62">
        <f ca="1">AVERAGE(OFFSET($CX$3,0,0,'Données projet'!$E$13+1,1))-AVERAGE(OFFSET($H$3,0,0,'Données projet'!$E$13+1,1))</f>
        <v>292.57482726862594</v>
      </c>
      <c r="CZ185" s="62">
        <f t="shared" si="150"/>
        <v>283.48738729114024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428.8489304403459</v>
      </c>
      <c r="T186" s="62">
        <f t="shared" si="142"/>
        <v>247.01165577562966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475.47920969424894</v>
      </c>
      <c r="AO186" s="62">
        <f t="shared" si="144"/>
        <v>271.73544012419364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-1.250327841262333E-13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290.85271051443431</v>
      </c>
      <c r="BJ186" s="62">
        <f t="shared" si="146"/>
        <v>318.66958823451142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5.4978954722173515E-14</v>
      </c>
      <c r="CA186" s="14">
        <f t="shared" si="170"/>
        <v>8.8550225887742724E-13</v>
      </c>
      <c r="CB186" s="22">
        <f t="shared" si="171"/>
        <v>1.6380047803526383E-12</v>
      </c>
      <c r="CC186" s="62">
        <f t="shared" si="119"/>
        <v>293.33333333333496</v>
      </c>
      <c r="CD186" s="62">
        <f ca="1">AVERAGE(OFFSET($CC$3,0,0,'Données projet'!$E$12+1,1))-AVERAGE(OFFSET($H$3,0,0,'Données projet'!$E$12+1,1))</f>
        <v>255.59755832175625</v>
      </c>
      <c r="CE186" s="62">
        <f t="shared" si="148"/>
        <v>154.0840647586964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2">
        <f t="shared" si="122"/>
        <v>293.33333333333582</v>
      </c>
      <c r="CY186" s="62">
        <f ca="1">AVERAGE(OFFSET($CX$3,0,0,'Données projet'!$E$13+1,1))-AVERAGE(OFFSET($H$3,0,0,'Données projet'!$E$13+1,1))</f>
        <v>292.57482726862594</v>
      </c>
      <c r="CZ186" s="62">
        <f t="shared" si="150"/>
        <v>283.48738729114024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428.8489304403459</v>
      </c>
      <c r="T187" s="62">
        <f t="shared" si="142"/>
        <v>247.01165577562966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475.47920969424894</v>
      </c>
      <c r="AO187" s="62">
        <f t="shared" si="144"/>
        <v>271.73544012419364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-1.250327841262333E-13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290.85271051443431</v>
      </c>
      <c r="BJ187" s="62">
        <f t="shared" si="146"/>
        <v>318.66958823451142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5.4978954722173515E-14</v>
      </c>
      <c r="CA187" s="14">
        <f t="shared" si="170"/>
        <v>8.8550225887742724E-13</v>
      </c>
      <c r="CB187" s="22">
        <f t="shared" si="171"/>
        <v>1.6380047803526383E-12</v>
      </c>
      <c r="CC187" s="62">
        <f t="shared" si="119"/>
        <v>293.33333333333496</v>
      </c>
      <c r="CD187" s="62">
        <f ca="1">AVERAGE(OFFSET($CC$3,0,0,'Données projet'!$E$12+1,1))-AVERAGE(OFFSET($H$3,0,0,'Données projet'!$E$12+1,1))</f>
        <v>255.59755832175625</v>
      </c>
      <c r="CE187" s="62">
        <f t="shared" si="148"/>
        <v>154.0840647586964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2">
        <f t="shared" si="122"/>
        <v>293.33333333333582</v>
      </c>
      <c r="CY187" s="62">
        <f ca="1">AVERAGE(OFFSET($CX$3,0,0,'Données projet'!$E$13+1,1))-AVERAGE(OFFSET($H$3,0,0,'Données projet'!$E$13+1,1))</f>
        <v>292.57482726862594</v>
      </c>
      <c r="CZ187" s="62">
        <f t="shared" si="150"/>
        <v>283.48738729114024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428.8489304403459</v>
      </c>
      <c r="T188" s="62">
        <f t="shared" si="142"/>
        <v>247.01165577562966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475.47920969424894</v>
      </c>
      <c r="AO188" s="62">
        <f t="shared" si="144"/>
        <v>271.73544012419364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-1.250327841262333E-13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290.85271051443431</v>
      </c>
      <c r="BJ188" s="62">
        <f t="shared" si="146"/>
        <v>318.66958823451142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5.4978954722173515E-14</v>
      </c>
      <c r="CA188" s="14">
        <f t="shared" si="170"/>
        <v>8.8550225887742724E-13</v>
      </c>
      <c r="CB188" s="22">
        <f t="shared" si="171"/>
        <v>1.6380047803526383E-12</v>
      </c>
      <c r="CC188" s="62">
        <f t="shared" si="119"/>
        <v>293.33333333333496</v>
      </c>
      <c r="CD188" s="62">
        <f ca="1">AVERAGE(OFFSET($CC$3,0,0,'Données projet'!$E$12+1,1))-AVERAGE(OFFSET($H$3,0,0,'Données projet'!$E$12+1,1))</f>
        <v>255.59755832175625</v>
      </c>
      <c r="CE188" s="62">
        <f t="shared" si="148"/>
        <v>154.0840647586964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2">
        <f t="shared" si="122"/>
        <v>293.33333333333582</v>
      </c>
      <c r="CY188" s="62">
        <f ca="1">AVERAGE(OFFSET($CX$3,0,0,'Données projet'!$E$13+1,1))-AVERAGE(OFFSET($H$3,0,0,'Données projet'!$E$13+1,1))</f>
        <v>292.57482726862594</v>
      </c>
      <c r="CZ188" s="62">
        <f t="shared" si="150"/>
        <v>283.48738729114024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428.8489304403459</v>
      </c>
      <c r="T189" s="62">
        <f t="shared" si="142"/>
        <v>247.01165577562966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475.47920969424894</v>
      </c>
      <c r="AO189" s="62">
        <f t="shared" si="144"/>
        <v>271.73544012419364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-1.250327841262333E-13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290.85271051443431</v>
      </c>
      <c r="BJ189" s="62">
        <f t="shared" si="146"/>
        <v>318.66958823451142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5.4978954722173515E-14</v>
      </c>
      <c r="CA189" s="14">
        <f t="shared" si="170"/>
        <v>8.8550225887742724E-13</v>
      </c>
      <c r="CB189" s="22">
        <f t="shared" si="171"/>
        <v>1.6380047803526383E-12</v>
      </c>
      <c r="CC189" s="62">
        <f t="shared" si="119"/>
        <v>293.33333333333496</v>
      </c>
      <c r="CD189" s="62">
        <f ca="1">AVERAGE(OFFSET($CC$3,0,0,'Données projet'!$E$12+1,1))-AVERAGE(OFFSET($H$3,0,0,'Données projet'!$E$12+1,1))</f>
        <v>255.59755832175625</v>
      </c>
      <c r="CE189" s="62">
        <f t="shared" si="148"/>
        <v>154.0840647586964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2">
        <f t="shared" si="122"/>
        <v>293.33333333333582</v>
      </c>
      <c r="CY189" s="62">
        <f ca="1">AVERAGE(OFFSET($CX$3,0,0,'Données projet'!$E$13+1,1))-AVERAGE(OFFSET($H$3,0,0,'Données projet'!$E$13+1,1))</f>
        <v>292.57482726862594</v>
      </c>
      <c r="CZ189" s="62">
        <f t="shared" si="150"/>
        <v>283.48738729114024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428.8489304403459</v>
      </c>
      <c r="T190" s="62">
        <f t="shared" si="142"/>
        <v>247.01165577562966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475.47920969424894</v>
      </c>
      <c r="AO190" s="62">
        <f t="shared" si="144"/>
        <v>271.73544012419364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-1.250327841262333E-13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290.85271051443431</v>
      </c>
      <c r="BJ190" s="62">
        <f t="shared" si="146"/>
        <v>318.66958823451142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5.4978954722173515E-14</v>
      </c>
      <c r="CA190" s="14">
        <f t="shared" si="170"/>
        <v>8.8550225887742724E-13</v>
      </c>
      <c r="CB190" s="22">
        <f t="shared" si="171"/>
        <v>1.6380047803526383E-12</v>
      </c>
      <c r="CC190" s="62">
        <f t="shared" si="119"/>
        <v>293.33333333333496</v>
      </c>
      <c r="CD190" s="62">
        <f ca="1">AVERAGE(OFFSET($CC$3,0,0,'Données projet'!$E$12+1,1))-AVERAGE(OFFSET($H$3,0,0,'Données projet'!$E$12+1,1))</f>
        <v>255.59755832175625</v>
      </c>
      <c r="CE190" s="62">
        <f t="shared" si="148"/>
        <v>154.0840647586964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2">
        <f t="shared" si="122"/>
        <v>293.33333333333582</v>
      </c>
      <c r="CY190" s="62">
        <f ca="1">AVERAGE(OFFSET($CX$3,0,0,'Données projet'!$E$13+1,1))-AVERAGE(OFFSET($H$3,0,0,'Données projet'!$E$13+1,1))</f>
        <v>292.57482726862594</v>
      </c>
      <c r="CZ190" s="62">
        <f t="shared" si="150"/>
        <v>283.48738729114024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428.8489304403459</v>
      </c>
      <c r="T191" s="62">
        <f t="shared" si="142"/>
        <v>247.01165577562966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475.47920969424894</v>
      </c>
      <c r="AO191" s="62">
        <f t="shared" si="144"/>
        <v>271.73544012419364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-1.250327841262333E-13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290.85271051443431</v>
      </c>
      <c r="BJ191" s="62">
        <f t="shared" si="146"/>
        <v>318.66958823451142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5.4978954722173515E-14</v>
      </c>
      <c r="CA191" s="14">
        <f t="shared" si="170"/>
        <v>8.8550225887742724E-13</v>
      </c>
      <c r="CB191" s="22">
        <f t="shared" si="171"/>
        <v>1.6380047803526383E-12</v>
      </c>
      <c r="CC191" s="62">
        <f t="shared" si="119"/>
        <v>293.33333333333496</v>
      </c>
      <c r="CD191" s="62">
        <f ca="1">AVERAGE(OFFSET($CC$3,0,0,'Données projet'!$E$12+1,1))-AVERAGE(OFFSET($H$3,0,0,'Données projet'!$E$12+1,1))</f>
        <v>255.59755832175625</v>
      </c>
      <c r="CE191" s="62">
        <f t="shared" si="148"/>
        <v>154.0840647586964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2">
        <f t="shared" si="122"/>
        <v>293.33333333333582</v>
      </c>
      <c r="CY191" s="62">
        <f ca="1">AVERAGE(OFFSET($CX$3,0,0,'Données projet'!$E$13+1,1))-AVERAGE(OFFSET($H$3,0,0,'Données projet'!$E$13+1,1))</f>
        <v>292.57482726862594</v>
      </c>
      <c r="CZ191" s="62">
        <f t="shared" si="150"/>
        <v>283.48738729114024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428.8489304403459</v>
      </c>
      <c r="T192" s="62">
        <f t="shared" si="142"/>
        <v>247.01165577562966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475.47920969424894</v>
      </c>
      <c r="AO192" s="62">
        <f t="shared" si="144"/>
        <v>271.73544012419364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-1.250327841262333E-13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290.85271051443431</v>
      </c>
      <c r="BJ192" s="62">
        <f t="shared" si="146"/>
        <v>318.66958823451142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5.4978954722173515E-14</v>
      </c>
      <c r="CA192" s="14">
        <f t="shared" si="170"/>
        <v>8.8550225887742724E-13</v>
      </c>
      <c r="CB192" s="22">
        <f t="shared" si="171"/>
        <v>1.6380047803526383E-12</v>
      </c>
      <c r="CC192" s="62">
        <f t="shared" si="119"/>
        <v>293.33333333333496</v>
      </c>
      <c r="CD192" s="62">
        <f ca="1">AVERAGE(OFFSET($CC$3,0,0,'Données projet'!$E$12+1,1))-AVERAGE(OFFSET($H$3,0,0,'Données projet'!$E$12+1,1))</f>
        <v>255.59755832175625</v>
      </c>
      <c r="CE192" s="62">
        <f t="shared" si="148"/>
        <v>154.0840647586964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2">
        <f t="shared" si="122"/>
        <v>293.33333333333582</v>
      </c>
      <c r="CY192" s="62">
        <f ca="1">AVERAGE(OFFSET($CX$3,0,0,'Données projet'!$E$13+1,1))-AVERAGE(OFFSET($H$3,0,0,'Données projet'!$E$13+1,1))</f>
        <v>292.57482726862594</v>
      </c>
      <c r="CZ192" s="62">
        <f t="shared" si="150"/>
        <v>283.48738729114024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428.8489304403459</v>
      </c>
      <c r="T193" s="62">
        <f t="shared" si="142"/>
        <v>247.01165577562966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475.47920969424894</v>
      </c>
      <c r="AO193" s="62">
        <f t="shared" si="144"/>
        <v>271.73544012419364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-1.250327841262333E-13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290.85271051443431</v>
      </c>
      <c r="BJ193" s="62">
        <f t="shared" si="146"/>
        <v>318.66958823451142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5.4978954722173515E-14</v>
      </c>
      <c r="CA193" s="14">
        <f t="shared" si="170"/>
        <v>8.8550225887742724E-13</v>
      </c>
      <c r="CB193" s="22">
        <f t="shared" si="171"/>
        <v>1.6380047803526383E-12</v>
      </c>
      <c r="CC193" s="62">
        <f t="shared" si="119"/>
        <v>293.33333333333496</v>
      </c>
      <c r="CD193" s="62">
        <f ca="1">AVERAGE(OFFSET($CC$3,0,0,'Données projet'!$E$12+1,1))-AVERAGE(OFFSET($H$3,0,0,'Données projet'!$E$12+1,1))</f>
        <v>255.59755832175625</v>
      </c>
      <c r="CE193" s="62">
        <f t="shared" si="148"/>
        <v>154.0840647586964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2">
        <f t="shared" si="122"/>
        <v>293.33333333333582</v>
      </c>
      <c r="CY193" s="62">
        <f ca="1">AVERAGE(OFFSET($CX$3,0,0,'Données projet'!$E$13+1,1))-AVERAGE(OFFSET($H$3,0,0,'Données projet'!$E$13+1,1))</f>
        <v>292.57482726862594</v>
      </c>
      <c r="CZ193" s="62">
        <f t="shared" si="150"/>
        <v>283.48738729114024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428.8489304403459</v>
      </c>
      <c r="T194" s="62">
        <f t="shared" si="142"/>
        <v>247.01165577562966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475.47920969424894</v>
      </c>
      <c r="AO194" s="62">
        <f t="shared" si="144"/>
        <v>271.73544012419364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-1.250327841262333E-13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290.85271051443431</v>
      </c>
      <c r="BJ194" s="62">
        <f t="shared" si="146"/>
        <v>318.66958823451142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5.4978954722173515E-14</v>
      </c>
      <c r="CA194" s="14">
        <f t="shared" si="170"/>
        <v>8.8550225887742724E-13</v>
      </c>
      <c r="CB194" s="22">
        <f t="shared" si="171"/>
        <v>1.6380047803526383E-12</v>
      </c>
      <c r="CC194" s="62">
        <f t="shared" si="119"/>
        <v>293.33333333333496</v>
      </c>
      <c r="CD194" s="62">
        <f ca="1">AVERAGE(OFFSET($CC$3,0,0,'Données projet'!$E$12+1,1))-AVERAGE(OFFSET($H$3,0,0,'Données projet'!$E$12+1,1))</f>
        <v>255.59755832175625</v>
      </c>
      <c r="CE194" s="62">
        <f t="shared" si="148"/>
        <v>154.0840647586964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2">
        <f t="shared" si="122"/>
        <v>293.33333333333582</v>
      </c>
      <c r="CY194" s="62">
        <f ca="1">AVERAGE(OFFSET($CX$3,0,0,'Données projet'!$E$13+1,1))-AVERAGE(OFFSET($H$3,0,0,'Données projet'!$E$13+1,1))</f>
        <v>292.57482726862594</v>
      </c>
      <c r="CZ194" s="62">
        <f t="shared" si="150"/>
        <v>283.48738729114024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428.8489304403459</v>
      </c>
      <c r="T195" s="62">
        <f t="shared" si="142"/>
        <v>247.01165577562966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475.47920969424894</v>
      </c>
      <c r="AO195" s="62">
        <f t="shared" si="144"/>
        <v>271.73544012419364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-1.250327841262333E-13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290.85271051443431</v>
      </c>
      <c r="BJ195" s="62">
        <f t="shared" si="146"/>
        <v>318.66958823451142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5.4978954722173515E-14</v>
      </c>
      <c r="CA195" s="14">
        <f t="shared" si="170"/>
        <v>8.8550225887742724E-13</v>
      </c>
      <c r="CB195" s="22">
        <f t="shared" si="171"/>
        <v>1.6380047803526383E-12</v>
      </c>
      <c r="CC195" s="62">
        <f t="shared" si="119"/>
        <v>293.33333333333496</v>
      </c>
      <c r="CD195" s="62">
        <f ca="1">AVERAGE(OFFSET($CC$3,0,0,'Données projet'!$E$12+1,1))-AVERAGE(OFFSET($H$3,0,0,'Données projet'!$E$12+1,1))</f>
        <v>255.59755832175625</v>
      </c>
      <c r="CE195" s="62">
        <f t="shared" si="148"/>
        <v>154.0840647586964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2">
        <f t="shared" si="122"/>
        <v>293.33333333333582</v>
      </c>
      <c r="CY195" s="62">
        <f ca="1">AVERAGE(OFFSET($CX$3,0,0,'Données projet'!$E$13+1,1))-AVERAGE(OFFSET($H$3,0,0,'Données projet'!$E$13+1,1))</f>
        <v>292.57482726862594</v>
      </c>
      <c r="CZ195" s="62">
        <f t="shared" si="150"/>
        <v>283.48738729114024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428.8489304403459</v>
      </c>
      <c r="T196" s="62">
        <f t="shared" si="142"/>
        <v>247.01165577562966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475.47920969424894</v>
      </c>
      <c r="AO196" s="62">
        <f t="shared" si="144"/>
        <v>271.73544012419364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-1.250327841262333E-13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290.85271051443431</v>
      </c>
      <c r="BJ196" s="62">
        <f t="shared" si="146"/>
        <v>318.66958823451142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5.4978954722173515E-14</v>
      </c>
      <c r="CA196" s="14">
        <f t="shared" si="170"/>
        <v>8.8550225887742724E-13</v>
      </c>
      <c r="CB196" s="22">
        <f t="shared" si="171"/>
        <v>1.6380047803526383E-12</v>
      </c>
      <c r="CC196" s="62">
        <f t="shared" ref="CC196:CC203" si="195">CB196+(BT196+BU196)*44/12</f>
        <v>293.33333333333496</v>
      </c>
      <c r="CD196" s="62">
        <f ca="1">AVERAGE(OFFSET($CC$3,0,0,'Données projet'!$E$12+1,1))-AVERAGE(OFFSET($H$3,0,0,'Données projet'!$E$12+1,1))</f>
        <v>255.59755832175625</v>
      </c>
      <c r="CE196" s="62">
        <f t="shared" si="148"/>
        <v>154.0840647586964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2">
        <f t="shared" ref="CX196:CX203" si="196">CW196+(CO196+CP196)*44/12</f>
        <v>293.33333333333582</v>
      </c>
      <c r="CY196" s="62">
        <f ca="1">AVERAGE(OFFSET($CX$3,0,0,'Données projet'!$E$13+1,1))-AVERAGE(OFFSET($H$3,0,0,'Données projet'!$E$13+1,1))</f>
        <v>292.57482726862594</v>
      </c>
      <c r="CZ196" s="62">
        <f t="shared" si="150"/>
        <v>283.48738729114024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428.8489304403459</v>
      </c>
      <c r="T197" s="62">
        <f t="shared" ref="T197:T203" si="204">$T$3</f>
        <v>247.01165577562966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475.47920969424894</v>
      </c>
      <c r="AO197" s="62">
        <f t="shared" ref="AO197:AO203" si="205">$AO$3</f>
        <v>271.73544012419364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-1.250327841262333E-13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290.85271051443431</v>
      </c>
      <c r="BJ197" s="62">
        <f t="shared" ref="BJ197:BJ203" si="206">$BJ$3</f>
        <v>318.66958823451142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5.4978954722173515E-14</v>
      </c>
      <c r="CA197" s="14">
        <f t="shared" si="170"/>
        <v>8.8550225887742724E-13</v>
      </c>
      <c r="CB197" s="22">
        <f t="shared" si="171"/>
        <v>1.6380047803526383E-12</v>
      </c>
      <c r="CC197" s="62">
        <f t="shared" si="195"/>
        <v>293.33333333333496</v>
      </c>
      <c r="CD197" s="62">
        <f ca="1">AVERAGE(OFFSET($CC$3,0,0,'Données projet'!$E$12+1,1))-AVERAGE(OFFSET($H$3,0,0,'Données projet'!$E$12+1,1))</f>
        <v>255.59755832175625</v>
      </c>
      <c r="CE197" s="62">
        <f t="shared" ref="CE197:CE203" si="207">$CE$3</f>
        <v>154.0840647586964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2">
        <f t="shared" si="196"/>
        <v>293.33333333333582</v>
      </c>
      <c r="CY197" s="62">
        <f ca="1">AVERAGE(OFFSET($CX$3,0,0,'Données projet'!$E$13+1,1))-AVERAGE(OFFSET($H$3,0,0,'Données projet'!$E$13+1,1))</f>
        <v>292.57482726862594</v>
      </c>
      <c r="CZ197" s="62">
        <f t="shared" ref="CZ197:CZ203" si="208">$CZ$3</f>
        <v>283.48738729114024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428.8489304403459</v>
      </c>
      <c r="T198" s="62">
        <f t="shared" si="204"/>
        <v>247.01165577562966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475.47920969424894</v>
      </c>
      <c r="AO198" s="62">
        <f t="shared" si="205"/>
        <v>271.73544012419364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-1.250327841262333E-13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290.85271051443431</v>
      </c>
      <c r="BJ198" s="62">
        <f t="shared" si="206"/>
        <v>318.66958823451142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5.4978954722173515E-14</v>
      </c>
      <c r="CA198" s="14">
        <f t="shared" si="170"/>
        <v>8.8550225887742724E-13</v>
      </c>
      <c r="CB198" s="22">
        <f t="shared" si="171"/>
        <v>1.6380047803526383E-12</v>
      </c>
      <c r="CC198" s="62">
        <f t="shared" si="195"/>
        <v>293.33333333333496</v>
      </c>
      <c r="CD198" s="62">
        <f ca="1">AVERAGE(OFFSET($CC$3,0,0,'Données projet'!$E$12+1,1))-AVERAGE(OFFSET($H$3,0,0,'Données projet'!$E$12+1,1))</f>
        <v>255.59755832175625</v>
      </c>
      <c r="CE198" s="62">
        <f t="shared" si="207"/>
        <v>154.0840647586964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2">
        <f t="shared" si="196"/>
        <v>293.33333333333582</v>
      </c>
      <c r="CY198" s="62">
        <f ca="1">AVERAGE(OFFSET($CX$3,0,0,'Données projet'!$E$13+1,1))-AVERAGE(OFFSET($H$3,0,0,'Données projet'!$E$13+1,1))</f>
        <v>292.57482726862594</v>
      </c>
      <c r="CZ198" s="62">
        <f t="shared" si="208"/>
        <v>283.48738729114024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428.8489304403459</v>
      </c>
      <c r="T199" s="62">
        <f t="shared" si="204"/>
        <v>247.01165577562966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475.47920969424894</v>
      </c>
      <c r="AO199" s="62">
        <f t="shared" si="205"/>
        <v>271.73544012419364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-1.250327841262333E-13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290.85271051443431</v>
      </c>
      <c r="BJ199" s="62">
        <f t="shared" si="206"/>
        <v>318.66958823451142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5.4978954722173515E-14</v>
      </c>
      <c r="CA199" s="14">
        <f t="shared" si="170"/>
        <v>8.8550225887742724E-13</v>
      </c>
      <c r="CB199" s="22">
        <f t="shared" si="171"/>
        <v>1.6380047803526383E-12</v>
      </c>
      <c r="CC199" s="62">
        <f t="shared" si="195"/>
        <v>293.33333333333496</v>
      </c>
      <c r="CD199" s="62">
        <f ca="1">AVERAGE(OFFSET($CC$3,0,0,'Données projet'!$E$12+1,1))-AVERAGE(OFFSET($H$3,0,0,'Données projet'!$E$12+1,1))</f>
        <v>255.59755832175625</v>
      </c>
      <c r="CE199" s="62">
        <f t="shared" si="207"/>
        <v>154.0840647586964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2">
        <f t="shared" si="196"/>
        <v>293.33333333333582</v>
      </c>
      <c r="CY199" s="62">
        <f ca="1">AVERAGE(OFFSET($CX$3,0,0,'Données projet'!$E$13+1,1))-AVERAGE(OFFSET($H$3,0,0,'Données projet'!$E$13+1,1))</f>
        <v>292.57482726862594</v>
      </c>
      <c r="CZ199" s="62">
        <f t="shared" si="208"/>
        <v>283.48738729114024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428.8489304403459</v>
      </c>
      <c r="T200" s="62">
        <f t="shared" si="204"/>
        <v>247.01165577562966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475.47920969424894</v>
      </c>
      <c r="AO200" s="62">
        <f t="shared" si="205"/>
        <v>271.73544012419364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-1.250327841262333E-13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290.85271051443431</v>
      </c>
      <c r="BJ200" s="62">
        <f t="shared" si="206"/>
        <v>318.66958823451142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5.4978954722173515E-14</v>
      </c>
      <c r="CA200" s="14">
        <f t="shared" si="170"/>
        <v>8.8550225887742724E-13</v>
      </c>
      <c r="CB200" s="22">
        <f t="shared" si="171"/>
        <v>1.6380047803526383E-12</v>
      </c>
      <c r="CC200" s="62">
        <f t="shared" si="195"/>
        <v>293.33333333333496</v>
      </c>
      <c r="CD200" s="62">
        <f ca="1">AVERAGE(OFFSET($CC$3,0,0,'Données projet'!$E$12+1,1))-AVERAGE(OFFSET($H$3,0,0,'Données projet'!$E$12+1,1))</f>
        <v>255.59755832175625</v>
      </c>
      <c r="CE200" s="62">
        <f t="shared" si="207"/>
        <v>154.0840647586964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2">
        <f t="shared" si="196"/>
        <v>293.33333333333582</v>
      </c>
      <c r="CY200" s="62">
        <f ca="1">AVERAGE(OFFSET($CX$3,0,0,'Données projet'!$E$13+1,1))-AVERAGE(OFFSET($H$3,0,0,'Données projet'!$E$13+1,1))</f>
        <v>292.57482726862594</v>
      </c>
      <c r="CZ200" s="62">
        <f t="shared" si="208"/>
        <v>283.48738729114024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428.8489304403459</v>
      </c>
      <c r="T201" s="62">
        <f t="shared" si="204"/>
        <v>247.01165577562966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475.47920969424894</v>
      </c>
      <c r="AO201" s="62">
        <f t="shared" si="205"/>
        <v>271.73544012419364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-1.250327841262333E-13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290.85271051443431</v>
      </c>
      <c r="BJ201" s="62">
        <f t="shared" si="206"/>
        <v>318.66958823451142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5.4978954722173515E-14</v>
      </c>
      <c r="CA201" s="14">
        <f t="shared" si="170"/>
        <v>8.8550225887742724E-13</v>
      </c>
      <c r="CB201" s="22">
        <f t="shared" si="171"/>
        <v>1.6380047803526383E-12</v>
      </c>
      <c r="CC201" s="62">
        <f t="shared" si="195"/>
        <v>293.33333333333496</v>
      </c>
      <c r="CD201" s="62">
        <f ca="1">AVERAGE(OFFSET($CC$3,0,0,'Données projet'!$E$12+1,1))-AVERAGE(OFFSET($H$3,0,0,'Données projet'!$E$12+1,1))</f>
        <v>255.59755832175625</v>
      </c>
      <c r="CE201" s="62">
        <f t="shared" si="207"/>
        <v>154.0840647586964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2">
        <f t="shared" si="196"/>
        <v>293.33333333333582</v>
      </c>
      <c r="CY201" s="62">
        <f ca="1">AVERAGE(OFFSET($CX$3,0,0,'Données projet'!$E$13+1,1))-AVERAGE(OFFSET($H$3,0,0,'Données projet'!$E$13+1,1))</f>
        <v>292.57482726862594</v>
      </c>
      <c r="CZ201" s="62">
        <f t="shared" si="208"/>
        <v>283.48738729114024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428.8489304403459</v>
      </c>
      <c r="T202" s="62">
        <f t="shared" si="204"/>
        <v>247.01165577562966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475.47920969424894</v>
      </c>
      <c r="AO202" s="62">
        <f t="shared" si="205"/>
        <v>271.73544012419364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-1.250327841262333E-13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290.85271051443431</v>
      </c>
      <c r="BJ202" s="62">
        <f t="shared" si="206"/>
        <v>318.66958823451142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5.4978954722173515E-14</v>
      </c>
      <c r="CA202" s="14">
        <f t="shared" si="170"/>
        <v>8.8550225887742724E-13</v>
      </c>
      <c r="CB202" s="22">
        <f t="shared" si="171"/>
        <v>1.6380047803526383E-12</v>
      </c>
      <c r="CC202" s="62">
        <f t="shared" si="195"/>
        <v>293.33333333333496</v>
      </c>
      <c r="CD202" s="62">
        <f ca="1">AVERAGE(OFFSET($CC$3,0,0,'Données projet'!$E$12+1,1))-AVERAGE(OFFSET($H$3,0,0,'Données projet'!$E$12+1,1))</f>
        <v>255.59755832175625</v>
      </c>
      <c r="CE202" s="62">
        <f t="shared" si="207"/>
        <v>154.0840647586964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2">
        <f t="shared" si="196"/>
        <v>293.33333333333582</v>
      </c>
      <c r="CY202" s="62">
        <f ca="1">AVERAGE(OFFSET($CX$3,0,0,'Données projet'!$E$13+1,1))-AVERAGE(OFFSET($H$3,0,0,'Données projet'!$E$13+1,1))</f>
        <v>292.57482726862594</v>
      </c>
      <c r="CZ202" s="62">
        <f t="shared" si="208"/>
        <v>283.48738729114024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428.8489304403459</v>
      </c>
      <c r="T203" s="62">
        <f t="shared" si="204"/>
        <v>247.01165577562966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475.47920969424894</v>
      </c>
      <c r="AO203" s="62">
        <f t="shared" si="205"/>
        <v>271.73544012419364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-1.250327841262333E-13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290.85271051443431</v>
      </c>
      <c r="BJ203" s="62">
        <f t="shared" si="206"/>
        <v>318.66958823451142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5.4978954722173515E-14</v>
      </c>
      <c r="CA203" s="14">
        <f t="shared" si="170"/>
        <v>8.8550225887742724E-13</v>
      </c>
      <c r="CB203" s="22">
        <f t="shared" si="171"/>
        <v>1.6380047803526383E-12</v>
      </c>
      <c r="CC203" s="62">
        <f t="shared" si="195"/>
        <v>293.33333333333496</v>
      </c>
      <c r="CD203" s="62">
        <f ca="1">AVERAGE(OFFSET($CC$3,0,0,'Données projet'!$E$12+1,1))-AVERAGE(OFFSET($H$3,0,0,'Données projet'!$E$12+1,1))</f>
        <v>255.59755832175625</v>
      </c>
      <c r="CE203" s="62">
        <f t="shared" si="207"/>
        <v>154.0840647586964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2">
        <f t="shared" si="196"/>
        <v>293.33333333333582</v>
      </c>
      <c r="CY203" s="62">
        <f ca="1">AVERAGE(OFFSET($CX$3,0,0,'Données projet'!$E$13+1,1))-AVERAGE(OFFSET($H$3,0,0,'Données projet'!$E$13+1,1))</f>
        <v>292.57482726862594</v>
      </c>
      <c r="CZ203" s="62">
        <f t="shared" si="208"/>
        <v>283.48738729114024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1.2054868146447177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1.2054868146447177</v>
      </c>
      <c r="BA205" s="87">
        <f>EXP(LN('Données projet'!B88)/'Données projet'!A88)</f>
        <v>1.2721747796233518</v>
      </c>
      <c r="BV205" s="87">
        <f>EXP(LN('Données projet'!B114)/'Données projet'!A114)</f>
        <v>1.1644235083052243</v>
      </c>
      <c r="CQ205" s="87">
        <f>EXP(LN('Données projet'!B140)/'Données projet'!A140)</f>
        <v>1.2788040393997409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82" zoomScale="90" zoomScaleNormal="90" workbookViewId="0">
      <selection activeCell="L5" sqref="L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1.4580000000000002</v>
      </c>
      <c r="C6" s="154">
        <f ca="1">IF(OR('Données projet'!B9="",'Données projet'!C9="",'Données projet'!C9=0%),0,Calculateur!S3)</f>
        <v>428.8489304403459</v>
      </c>
      <c r="D6" s="154">
        <f>IF(OR('Données projet'!B9="",'Données projet'!C9="",'Données projet'!C9=0%),0,Calculateur!T3)</f>
        <v>247.01165577562966</v>
      </c>
      <c r="E6" s="154">
        <f ca="1">MIN(C6,D6)</f>
        <v>247.01165577562966</v>
      </c>
      <c r="F6" s="154">
        <f ca="1">E6*B6</f>
        <v>360.14299412086808</v>
      </c>
      <c r="G6" s="154">
        <f ca="1">F6*(100%-'Données projet'!$C$24)*(100%-'Données projet'!$C$25)*(100%-'Données projet'!$C$26)*(100%-'Données projet'!$C$27)</f>
        <v>307.92225997334219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10.570500000000001</v>
      </c>
      <c r="K6" s="158">
        <f>J6*(100%-'Données projet'!$C$24)*(100%-'Données projet'!$C$25)*(100%-'Données projet'!$C$26)*(100%-'Données projet'!$C$27)</f>
        <v>9.0377775000000007</v>
      </c>
      <c r="L6" s="159">
        <f ca="1">G6+I6+K6</f>
        <v>316.9600374733422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0.89100000000000013</v>
      </c>
      <c r="C7" s="154">
        <f ca="1">IF(OR('Données projet'!B10="",'Données projet'!C10="",'Données projet'!C10=0%),0,Calculateur!AN3)</f>
        <v>475.47920969424894</v>
      </c>
      <c r="D7" s="154">
        <f>IF(OR('Données projet'!B10="",'Données projet'!C10="",'Données projet'!C10=0%),0,Calculateur!AO3)</f>
        <v>271.73544012419364</v>
      </c>
      <c r="E7" s="154">
        <f t="shared" ref="E7:E15" ca="1" si="0">MIN(C7,D7)</f>
        <v>271.73544012419364</v>
      </c>
      <c r="F7" s="154">
        <f t="shared" ref="F7:F15" ca="1" si="1">E7*B7</f>
        <v>242.11627715065657</v>
      </c>
      <c r="G7" s="154">
        <f ca="1">F7*(100%-'Données projet'!$C$24)*(100%-'Données projet'!$C$25)*(100%-'Données projet'!$C$26)*(100%-'Données projet'!$C$27)</f>
        <v>207.00941696381136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6.4597500000000005</v>
      </c>
      <c r="K7" s="158">
        <f>J7*(100%-'Données projet'!$C$24)*(100%-'Données projet'!$C$25)*(100%-'Données projet'!$C$26)*(100%-'Données projet'!$C$27)</f>
        <v>5.5230862500000004</v>
      </c>
      <c r="L7" s="159">
        <f t="shared" ref="L7:L15" ca="1" si="2">G7+I7+K7</f>
        <v>212.53250321381137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Châtaignier</v>
      </c>
      <c r="B8" s="161">
        <f>'Données projet'!D11</f>
        <v>0.10800000000000001</v>
      </c>
      <c r="C8" s="154">
        <f ca="1">IF(OR('Données projet'!B11="",'Données projet'!C11="",'Données projet'!C11=0%),0,Calculateur!BI3)</f>
        <v>290.85271051443431</v>
      </c>
      <c r="D8" s="154">
        <f>IF(OR('Données projet'!B11="",'Données projet'!C11="",'Données projet'!C11=0%),0,Calculateur!BJ3)</f>
        <v>318.66958823451142</v>
      </c>
      <c r="E8" s="154">
        <f t="shared" ca="1" si="0"/>
        <v>290.85271051443431</v>
      </c>
      <c r="F8" s="154">
        <f t="shared" ca="1" si="1"/>
        <v>31.412092735558907</v>
      </c>
      <c r="G8" s="154">
        <f ca="1">F8*(100%-'Données projet'!$C$24)*(100%-'Données projet'!$C$25)*(100%-'Données projet'!$C$26)*(100%-'Données projet'!$C$27)</f>
        <v>26.857339288902864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2.6730000000000005</v>
      </c>
      <c r="K8" s="158">
        <f>J8*(100%-'Données projet'!$C$24)*(100%-'Données projet'!$C$25)*(100%-'Données projet'!$C$26)*(100%-'Données projet'!$C$27)</f>
        <v>2.2854150000000004</v>
      </c>
      <c r="L8" s="159">
        <f t="shared" ca="1" si="2"/>
        <v>29.142754288902864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Alisier torminal</v>
      </c>
      <c r="B9" s="161">
        <f>'Données projet'!D12</f>
        <v>8.1000000000000003E-2</v>
      </c>
      <c r="C9" s="154">
        <f ca="1">IF(OR('Données projet'!B12="",'Données projet'!C12="",'Données projet'!C12=0%),0,Calculateur!CD3)</f>
        <v>255.59755832175625</v>
      </c>
      <c r="D9" s="154">
        <f>IF(OR('Données projet'!B12="",'Données projet'!C12="",'Données projet'!C12=0%),0,Calculateur!CE3)</f>
        <v>154.0840647586964</v>
      </c>
      <c r="E9" s="154">
        <f t="shared" ca="1" si="0"/>
        <v>154.0840647586964</v>
      </c>
      <c r="F9" s="154">
        <f t="shared" ca="1" si="1"/>
        <v>12.48080924545441</v>
      </c>
      <c r="G9" s="154">
        <f ca="1">F9*(100%-'Données projet'!$C$24)*(100%-'Données projet'!$C$25)*(100%-'Données projet'!$C$26)*(100%-'Données projet'!$C$27)</f>
        <v>10.67109190486352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10.67109190486352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Merisier</v>
      </c>
      <c r="B10" s="161">
        <f>'Données projet'!D13</f>
        <v>8.1000000000000003E-2</v>
      </c>
      <c r="C10" s="154">
        <f ca="1">IF(OR('Données projet'!B13="",'Données projet'!C13="",'Données projet'!C13=0%),0,Calculateur!CY3)</f>
        <v>292.57482726862594</v>
      </c>
      <c r="D10" s="154">
        <f>IF(OR('Données projet'!B13="",'Données projet'!C13="",'Données projet'!C13=0%),0,Calculateur!CZ3)</f>
        <v>283.48738729114024</v>
      </c>
      <c r="E10" s="154">
        <f t="shared" ca="1" si="0"/>
        <v>283.48738729114024</v>
      </c>
      <c r="F10" s="154">
        <f t="shared" ca="1" si="1"/>
        <v>22.96247837058236</v>
      </c>
      <c r="G10" s="154">
        <f ca="1">F10*(100%-'Données projet'!$C$24)*(100%-'Données projet'!$C$25)*(100%-'Données projet'!$C$26)*(100%-'Données projet'!$C$27)</f>
        <v>19.632919006847917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1.11375</v>
      </c>
      <c r="K10" s="158">
        <f>J10*(100%-'Données projet'!$C$24)*(100%-'Données projet'!$C$25)*(100%-'Données projet'!$C$26)*(100%-'Données projet'!$C$27)</f>
        <v>0.95225624999999992</v>
      </c>
      <c r="L10" s="159">
        <f t="shared" ca="1" si="2"/>
        <v>20.585175256847918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669.11465162312038</v>
      </c>
      <c r="G16" s="173">
        <f t="shared" ca="1" si="3"/>
        <v>572.09302713776776</v>
      </c>
      <c r="H16" s="174">
        <f t="shared" si="3"/>
        <v>0</v>
      </c>
      <c r="I16" s="174">
        <f t="shared" si="3"/>
        <v>0</v>
      </c>
      <c r="J16" s="175">
        <f t="shared" si="3"/>
        <v>20.817000000000004</v>
      </c>
      <c r="K16" s="175">
        <f t="shared" si="3"/>
        <v>17.798535000000005</v>
      </c>
      <c r="L16" s="176">
        <f t="shared" ca="1" si="3"/>
        <v>589.89156213776789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Châtaignier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Alisier torminal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Merisier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D1" zoomScale="80" zoomScaleNormal="80" workbookViewId="0">
      <selection activeCell="X25" sqref="X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3" t="s">
        <v>315</v>
      </c>
      <c r="I4" s="323"/>
      <c r="K4" s="320" t="s">
        <v>253</v>
      </c>
      <c r="L4" s="321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1" t="s">
        <v>310</v>
      </c>
      <c r="S7" s="332"/>
      <c r="T7" s="332"/>
      <c r="U7" s="332"/>
      <c r="V7" s="333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795.9366756344125</v>
      </c>
      <c r="U10" s="188">
        <f>'Données projet'!D9</f>
        <v>1.4580000000000002</v>
      </c>
      <c r="V10" s="187">
        <f>U10*T10</f>
        <v>1160.4756730749737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795.9366756344125</v>
      </c>
      <c r="U11" s="188">
        <f>'Données projet'!D10</f>
        <v>0.89100000000000013</v>
      </c>
      <c r="V11" s="187">
        <f t="shared" ref="V11" si="0">U11*T11</f>
        <v>709.17957799026158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Châtaignier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1354.4432004179198</v>
      </c>
      <c r="U12" s="188">
        <f>'Données projet'!D11</f>
        <v>0.10800000000000001</v>
      </c>
      <c r="V12" s="187">
        <f t="shared" ref="V12:V19" si="1">U12*T12</f>
        <v>146.27986564513535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Alisier torminal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393.07683026443067</v>
      </c>
      <c r="U13" s="188">
        <f>'Données projet'!D12</f>
        <v>8.1000000000000003E-2</v>
      </c>
      <c r="V13" s="187">
        <f t="shared" si="1"/>
        <v>31.839223251418886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Merisier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2125.848774320878</v>
      </c>
      <c r="U14" s="188">
        <f>'Données projet'!D13</f>
        <v>8.1000000000000003E-2</v>
      </c>
      <c r="V14" s="187">
        <f t="shared" si="1"/>
        <v>172.19375071999113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4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4"/>
      <c r="H16" s="201"/>
      <c r="I16" s="202"/>
      <c r="J16" s="214"/>
      <c r="K16" s="223"/>
      <c r="L16" s="320" t="s">
        <v>254</v>
      </c>
      <c r="M16" s="321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4"/>
      <c r="J17" s="214"/>
      <c r="K17" s="223"/>
      <c r="L17" s="291" t="s">
        <v>289</v>
      </c>
      <c r="M17" s="293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4"/>
      <c r="J18" s="214"/>
      <c r="K18" s="223"/>
      <c r="L18" s="291" t="s">
        <v>255</v>
      </c>
      <c r="M18" s="293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4"/>
      <c r="H19" s="230" t="s">
        <v>178</v>
      </c>
      <c r="I19" s="230" t="s">
        <v>287</v>
      </c>
      <c r="J19" s="258"/>
      <c r="K19" s="181"/>
      <c r="L19" s="320" t="s">
        <v>288</v>
      </c>
      <c r="M19" s="321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4"/>
      <c r="H20" s="201">
        <v>0</v>
      </c>
      <c r="I20" s="202">
        <v>9250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>
        <v>0</v>
      </c>
      <c r="D23" s="192">
        <f>B23*C23</f>
        <v>0</v>
      </c>
      <c r="E23" s="204"/>
      <c r="F23" s="259"/>
      <c r="H23" s="201"/>
      <c r="I23" s="202"/>
      <c r="K23" s="223"/>
      <c r="L23" s="322" t="s">
        <v>260</v>
      </c>
      <c r="M23" s="322"/>
      <c r="N23" s="322"/>
      <c r="O23" s="25"/>
      <c r="P23" s="25"/>
      <c r="Q23" s="263"/>
      <c r="R23" s="25"/>
      <c r="S23" s="183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-22755.031909318219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4">
        <v>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4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8">
        <f ca="1">T23-T24</f>
        <v>-22755.031909318219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4">
        <v>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5" t="s">
        <v>258</v>
      </c>
      <c r="M26" s="326"/>
      <c r="N26" s="326"/>
      <c r="O26" s="326"/>
      <c r="P26" s="327"/>
      <c r="Q26" s="263"/>
      <c r="R26" s="25"/>
      <c r="S26" s="196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4">
        <v>10</v>
      </c>
      <c r="D27" s="192">
        <f t="shared" si="2"/>
        <v>420</v>
      </c>
      <c r="E27" s="204"/>
      <c r="F27" s="262"/>
      <c r="G27" s="257"/>
      <c r="H27" s="201"/>
      <c r="I27" s="202"/>
      <c r="K27" s="223"/>
      <c r="L27" s="328"/>
      <c r="M27" s="329"/>
      <c r="N27" s="329"/>
      <c r="O27" s="329"/>
      <c r="P27" s="330"/>
      <c r="Q27" s="263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4">
        <v>0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4">
        <v>20</v>
      </c>
      <c r="D29" s="192">
        <f t="shared" si="2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4">
        <v>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4">
        <v>30</v>
      </c>
      <c r="D31" s="192">
        <f t="shared" si="2"/>
        <v>1260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4">
        <v>0</v>
      </c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4">
        <v>40</v>
      </c>
      <c r="D33" s="192">
        <f t="shared" si="2"/>
        <v>1680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4">
        <v>0</v>
      </c>
      <c r="D34" s="192">
        <f t="shared" si="2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4">
        <v>70</v>
      </c>
      <c r="D35" s="192">
        <f t="shared" si="2"/>
        <v>2940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4">
        <v>100</v>
      </c>
      <c r="D36" s="192">
        <f t="shared" si="2"/>
        <v>4200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4">
        <v>110</v>
      </c>
      <c r="D37" s="192">
        <f t="shared" si="2"/>
        <v>4620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4">
        <v>120</v>
      </c>
      <c r="D38" s="192">
        <f t="shared" si="2"/>
        <v>4680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4">
        <v>130</v>
      </c>
      <c r="D39" s="192">
        <f t="shared" si="2"/>
        <v>4550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4">
        <v>140</v>
      </c>
      <c r="D40" s="192">
        <f t="shared" si="2"/>
        <v>4340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4">
        <v>160</v>
      </c>
      <c r="D41" s="192">
        <f t="shared" si="2"/>
        <v>4320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4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4">
        <v>0</v>
      </c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4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4">
        <v>0</v>
      </c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4">
        <v>10</v>
      </c>
      <c r="D58" s="189">
        <f t="shared" si="4"/>
        <v>420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4">
        <v>0</v>
      </c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4">
        <v>20</v>
      </c>
      <c r="D60" s="189">
        <f t="shared" si="4"/>
        <v>840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4">
        <v>0</v>
      </c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4">
        <v>30</v>
      </c>
      <c r="D62" s="189">
        <f t="shared" si="4"/>
        <v>1260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4">
        <v>0</v>
      </c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4">
        <v>40</v>
      </c>
      <c r="D64" s="189">
        <f t="shared" si="4"/>
        <v>1680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4">
        <v>0</v>
      </c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4">
        <v>70</v>
      </c>
      <c r="D66" s="189">
        <f t="shared" si="4"/>
        <v>2940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4">
        <v>100</v>
      </c>
      <c r="D67" s="189">
        <f t="shared" si="4"/>
        <v>4200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4">
        <v>110</v>
      </c>
      <c r="D68" s="189">
        <f t="shared" si="4"/>
        <v>4620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4">
        <v>120</v>
      </c>
      <c r="D69" s="189">
        <f t="shared" si="4"/>
        <v>4680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4">
        <v>130</v>
      </c>
      <c r="D70" s="189">
        <f t="shared" si="4"/>
        <v>4550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4">
        <v>140</v>
      </c>
      <c r="D71" s="189">
        <f t="shared" si="4"/>
        <v>4340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4">
        <v>160</v>
      </c>
      <c r="D72" s="189">
        <f t="shared" si="4"/>
        <v>4320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4">
        <v>200</v>
      </c>
      <c r="D73" s="189">
        <f t="shared" si="4"/>
        <v>58600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Châtaignier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15</v>
      </c>
      <c r="B85" s="191">
        <f>'Données projet'!D88</f>
        <v>0</v>
      </c>
      <c r="C85" s="202">
        <v>0</v>
      </c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20</v>
      </c>
      <c r="B86" s="191">
        <f>'Données projet'!D89</f>
        <v>43</v>
      </c>
      <c r="C86" s="202">
        <v>10</v>
      </c>
      <c r="D86" s="189">
        <f t="shared" ref="D86:D104" si="6">B86*C86</f>
        <v>430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25</v>
      </c>
      <c r="B87" s="191">
        <f>'Données projet'!D90</f>
        <v>0</v>
      </c>
      <c r="C87" s="202">
        <v>0</v>
      </c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30</v>
      </c>
      <c r="B88" s="191">
        <f>'Données projet'!D91</f>
        <v>56</v>
      </c>
      <c r="C88" s="204">
        <v>15</v>
      </c>
      <c r="D88" s="189">
        <f t="shared" si="6"/>
        <v>840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35</v>
      </c>
      <c r="B89" s="191">
        <f>'Données projet'!D92</f>
        <v>0</v>
      </c>
      <c r="C89" s="204">
        <v>0</v>
      </c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40</v>
      </c>
      <c r="B90" s="191">
        <f>'Données projet'!D93</f>
        <v>56</v>
      </c>
      <c r="C90" s="204">
        <v>20</v>
      </c>
      <c r="D90" s="189">
        <f t="shared" si="6"/>
        <v>1120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45</v>
      </c>
      <c r="B91" s="191">
        <f>'Données projet'!D94</f>
        <v>0</v>
      </c>
      <c r="C91" s="204">
        <v>0</v>
      </c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50</v>
      </c>
      <c r="B92" s="191">
        <f>'Données projet'!D95</f>
        <v>39</v>
      </c>
      <c r="C92" s="204">
        <v>30</v>
      </c>
      <c r="D92" s="189">
        <f t="shared" si="6"/>
        <v>1170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55</v>
      </c>
      <c r="B93" s="191">
        <f>'Données projet'!D96</f>
        <v>0</v>
      </c>
      <c r="C93" s="204">
        <v>0</v>
      </c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60</v>
      </c>
      <c r="B94" s="191">
        <f>'Données projet'!D97</f>
        <v>25</v>
      </c>
      <c r="C94" s="204">
        <v>40</v>
      </c>
      <c r="D94" s="189">
        <f t="shared" si="6"/>
        <v>1000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65</v>
      </c>
      <c r="B95" s="191">
        <f>'Données projet'!D98</f>
        <v>0</v>
      </c>
      <c r="C95" s="204">
        <v>0</v>
      </c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70</v>
      </c>
      <c r="B96" s="191">
        <f>'Données projet'!D99</f>
        <v>21</v>
      </c>
      <c r="C96" s="204">
        <v>55</v>
      </c>
      <c r="D96" s="189">
        <f t="shared" si="6"/>
        <v>1155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75</v>
      </c>
      <c r="B97" s="191">
        <f>'Données projet'!D100</f>
        <v>0</v>
      </c>
      <c r="C97" s="204">
        <v>0</v>
      </c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80</v>
      </c>
      <c r="B98" s="191">
        <f>'Données projet'!D101</f>
        <v>285</v>
      </c>
      <c r="C98" s="204">
        <v>60</v>
      </c>
      <c r="D98" s="189">
        <f t="shared" si="6"/>
        <v>17100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4">
        <v>0</v>
      </c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>
        <v>0</v>
      </c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>
        <v>0</v>
      </c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>
        <v>0</v>
      </c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>
        <v>0</v>
      </c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str">
        <f>IF(O102+1&lt;=MIN('Données projet'!$E$9:$E$18),O102+1,"STOP")</f>
        <v>STOP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>
        <v>0</v>
      </c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Alisier torminal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20</v>
      </c>
      <c r="B116" s="191">
        <f>'Données projet'!D114</f>
        <v>0</v>
      </c>
      <c r="C116" s="202">
        <v>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25</v>
      </c>
      <c r="B117" s="191">
        <f>'Données projet'!D115</f>
        <v>0</v>
      </c>
      <c r="C117" s="202">
        <v>0</v>
      </c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30</v>
      </c>
      <c r="B118" s="191">
        <f>'Données projet'!D116</f>
        <v>0</v>
      </c>
      <c r="C118" s="202">
        <v>0</v>
      </c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35</v>
      </c>
      <c r="B119" s="191">
        <f>'Données projet'!D117</f>
        <v>17</v>
      </c>
      <c r="C119" s="204">
        <v>15</v>
      </c>
      <c r="D119" s="189">
        <f t="shared" si="8"/>
        <v>255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40</v>
      </c>
      <c r="B120" s="191">
        <f>'Données projet'!D118</f>
        <v>0</v>
      </c>
      <c r="C120" s="204">
        <v>0</v>
      </c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45</v>
      </c>
      <c r="B121" s="191">
        <f>'Données projet'!D119</f>
        <v>18</v>
      </c>
      <c r="C121" s="204">
        <v>20</v>
      </c>
      <c r="D121" s="189">
        <f t="shared" si="8"/>
        <v>360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50</v>
      </c>
      <c r="B122" s="191">
        <f>'Données projet'!D120</f>
        <v>0</v>
      </c>
      <c r="C122" s="204">
        <v>0</v>
      </c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55</v>
      </c>
      <c r="B123" s="191">
        <f>'Données projet'!D121</f>
        <v>19</v>
      </c>
      <c r="C123" s="204">
        <v>30</v>
      </c>
      <c r="D123" s="189">
        <f t="shared" si="8"/>
        <v>570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60</v>
      </c>
      <c r="B124" s="191">
        <f>'Données projet'!D122</f>
        <v>0</v>
      </c>
      <c r="C124" s="204">
        <v>0</v>
      </c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65</v>
      </c>
      <c r="B125" s="191">
        <f>'Données projet'!D123</f>
        <v>20</v>
      </c>
      <c r="C125" s="204">
        <v>40</v>
      </c>
      <c r="D125" s="189">
        <f t="shared" si="8"/>
        <v>800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70</v>
      </c>
      <c r="B126" s="191">
        <f>'Données projet'!D124</f>
        <v>0</v>
      </c>
      <c r="C126" s="204">
        <v>0</v>
      </c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75</v>
      </c>
      <c r="B127" s="191">
        <f>'Données projet'!D125</f>
        <v>20</v>
      </c>
      <c r="C127" s="204">
        <v>50</v>
      </c>
      <c r="D127" s="189">
        <f t="shared" si="8"/>
        <v>1000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80</v>
      </c>
      <c r="B128" s="191">
        <f>'Données projet'!D126</f>
        <v>0</v>
      </c>
      <c r="C128" s="204">
        <v>0</v>
      </c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85</v>
      </c>
      <c r="B129" s="191">
        <f>'Données projet'!D127</f>
        <v>18</v>
      </c>
      <c r="C129" s="204">
        <v>60</v>
      </c>
      <c r="D129" s="189">
        <f t="shared" si="8"/>
        <v>1080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90</v>
      </c>
      <c r="B130" s="191">
        <f>'Données projet'!D128</f>
        <v>0</v>
      </c>
      <c r="C130" s="204">
        <v>0</v>
      </c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95</v>
      </c>
      <c r="B131" s="191">
        <f>'Données projet'!D129</f>
        <v>18</v>
      </c>
      <c r="C131" s="202">
        <v>70</v>
      </c>
      <c r="D131" s="189">
        <f t="shared" si="8"/>
        <v>1260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100</v>
      </c>
      <c r="B132" s="191">
        <f>'Données projet'!D130</f>
        <v>0</v>
      </c>
      <c r="C132" s="202">
        <v>0</v>
      </c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105</v>
      </c>
      <c r="B133" s="191">
        <f>'Données projet'!D131</f>
        <v>18</v>
      </c>
      <c r="C133" s="202">
        <v>80</v>
      </c>
      <c r="D133" s="189">
        <f t="shared" si="8"/>
        <v>1440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110</v>
      </c>
      <c r="B134" s="191">
        <f>'Données projet'!D132</f>
        <v>0</v>
      </c>
      <c r="C134" s="202">
        <v>0</v>
      </c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120</v>
      </c>
      <c r="B135" s="191">
        <f>'Données projet'!D133</f>
        <v>211</v>
      </c>
      <c r="C135" s="202">
        <v>90</v>
      </c>
      <c r="D135" s="189">
        <f t="shared" si="8"/>
        <v>18990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Merisier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4">
        <v>0</v>
      </c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0</v>
      </c>
      <c r="C148" s="204">
        <v>0</v>
      </c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55</v>
      </c>
      <c r="C149" s="202">
        <v>10</v>
      </c>
      <c r="D149" s="192">
        <f t="shared" si="10"/>
        <v>550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31</v>
      </c>
      <c r="B150" s="185">
        <f>'Données projet'!D143</f>
        <v>36</v>
      </c>
      <c r="C150" s="202">
        <v>10</v>
      </c>
      <c r="D150" s="192">
        <f t="shared" si="10"/>
        <v>360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37</v>
      </c>
      <c r="B151" s="185">
        <f>'Données projet'!D144</f>
        <v>36</v>
      </c>
      <c r="C151" s="202">
        <v>15</v>
      </c>
      <c r="D151" s="192">
        <f t="shared" si="10"/>
        <v>540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44</v>
      </c>
      <c r="B152" s="185">
        <f>'Données projet'!D145</f>
        <v>43</v>
      </c>
      <c r="C152" s="202">
        <v>20</v>
      </c>
      <c r="D152" s="192">
        <f t="shared" si="10"/>
        <v>860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52</v>
      </c>
      <c r="B153" s="185">
        <f>'Données projet'!D146</f>
        <v>48</v>
      </c>
      <c r="C153" s="202">
        <v>40</v>
      </c>
      <c r="D153" s="192">
        <f t="shared" si="10"/>
        <v>1920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5">
        <f>'Données projet'!D147</f>
        <v>47</v>
      </c>
      <c r="C154" s="202">
        <v>50</v>
      </c>
      <c r="D154" s="192">
        <f t="shared" si="10"/>
        <v>2350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69</v>
      </c>
      <c r="B155" s="185">
        <f>'Données projet'!D148</f>
        <v>328</v>
      </c>
      <c r="C155" s="202">
        <v>80</v>
      </c>
      <c r="D155" s="192">
        <f t="shared" si="10"/>
        <v>26240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2">
        <v>0</v>
      </c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4">
        <v>0</v>
      </c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4">
        <v>0</v>
      </c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4">
        <v>0</v>
      </c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4">
        <v>0</v>
      </c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4">
        <v>0</v>
      </c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4">
        <v>0</v>
      </c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4">
        <v>0</v>
      </c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4">
        <v>0</v>
      </c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4">
        <v>0</v>
      </c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4">
        <v>0</v>
      </c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2025-07-21T16:40:49Z</dcterms:modified>
</cp:coreProperties>
</file>