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LBC/GRAND OUEST (PB)/2ROSE-123/Dossier/"/>
    </mc:Choice>
  </mc:AlternateContent>
  <xr:revisionPtr revIDLastSave="117" documentId="8_{3F943275-C66B-49F4-B94D-09FE509ACF11}" xr6:coauthVersionLast="47" xr6:coauthVersionMax="47" xr10:uidLastSave="{C676757D-1DCB-4A2A-AEBD-E3D088B1C2A7}"/>
  <bookViews>
    <workbookView xWindow="-120" yWindow="-16320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5" i="6" l="1"/>
  <c r="E144" i="6"/>
  <c r="E113" i="6"/>
  <c r="E82" i="6"/>
  <c r="E20" i="6"/>
  <c r="E174" i="6"/>
  <c r="E143" i="6"/>
  <c r="E112" i="6"/>
  <c r="E81" i="6"/>
  <c r="E50" i="6"/>
  <c r="E19" i="6"/>
  <c r="E173" i="6"/>
  <c r="E142" i="6"/>
  <c r="E111" i="6"/>
  <c r="E80" i="6"/>
  <c r="E49" i="6"/>
  <c r="E18" i="6"/>
  <c r="E172" i="6"/>
  <c r="E141" i="6"/>
  <c r="E110" i="6"/>
  <c r="E79" i="6"/>
  <c r="E48" i="6"/>
  <c r="E17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V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DH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EA161" i="2"/>
  <c r="EB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A163" i="2"/>
  <c r="EB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H164" i="2"/>
  <c r="DI163" i="2"/>
  <c r="EA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ED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C167" i="2"/>
  <c r="EA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B168" i="2"/>
  <c r="EC168" i="2"/>
  <c r="HI168" i="2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A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B172" i="2"/>
  <c r="EA172" i="2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W175" i="2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H178" i="2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B185" i="2"/>
  <c r="HI185" i="2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HG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V192" i="2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D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EA194" i="2"/>
  <c r="ED193" i="2"/>
  <c r="EB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A195" i="2"/>
  <c r="EB195" i="2"/>
  <c r="ED194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HG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DI200" i="2"/>
  <c r="EA201" i="2"/>
  <c r="ED200" i="2"/>
  <c r="HG201" i="2"/>
  <c r="FS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114" i="2" a="1"/>
  <c r="BC114" i="2" s="1"/>
  <c r="BC65" i="2" a="1"/>
  <c r="BC65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37" i="2" a="1"/>
  <c r="DN137" i="2" s="1"/>
  <c r="CS116" i="2" a="1"/>
  <c r="CS116" i="2" s="1"/>
  <c r="EI195" i="2" a="1"/>
  <c r="EI195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55" i="2" a="1"/>
  <c r="BC55" i="2" s="1"/>
  <c r="BC192" i="2" a="1"/>
  <c r="BC192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56" i="2" a="1"/>
  <c r="CS56" i="2" s="1"/>
  <c r="DN6" i="2" a="1"/>
  <c r="DN6" i="2" s="1"/>
  <c r="DO6" i="2" s="1"/>
  <c r="CS24" i="2" a="1"/>
  <c r="CS24" i="2" s="1"/>
  <c r="CS72" i="2" a="1"/>
  <c r="CS72" i="2" s="1"/>
  <c r="BX107" i="2" a="1"/>
  <c r="BX107" i="2" s="1"/>
  <c r="HJ202" i="2"/>
  <c r="EY202" i="2"/>
  <c r="AX200" i="2"/>
  <c r="BC82" i="2" l="1" a="1"/>
  <c r="BC82" i="2" s="1"/>
  <c r="BC164" i="2" a="1"/>
  <c r="BC164" i="2" s="1"/>
  <c r="BC130" i="2" a="1"/>
  <c r="BC130" i="2" s="1"/>
  <c r="BC126" i="2" a="1"/>
  <c r="BC126" i="2" s="1"/>
  <c r="BC47" i="2" a="1"/>
  <c r="BC47" i="2" s="1"/>
  <c r="BC117" i="2" a="1"/>
  <c r="BC117" i="2" s="1"/>
  <c r="BC181" i="2" a="1"/>
  <c r="BC181" i="2" s="1"/>
  <c r="BC68" i="2" a="1"/>
  <c r="BC68" i="2" s="1"/>
  <c r="DN133" i="2" a="1"/>
  <c r="DN133" i="2" s="1"/>
  <c r="DN190" i="2" a="1"/>
  <c r="DN190" i="2" s="1"/>
  <c r="DN65" i="2" a="1"/>
  <c r="DN65" i="2" s="1"/>
  <c r="DN70" i="2" a="1"/>
  <c r="DN70" i="2" s="1"/>
  <c r="DN124" i="2" a="1"/>
  <c r="DN124" i="2" s="1"/>
  <c r="DN103" i="2" a="1"/>
  <c r="DN103" i="2" s="1"/>
  <c r="DN123" i="2" a="1"/>
  <c r="DN123" i="2" s="1"/>
  <c r="DN63" i="2" a="1"/>
  <c r="DN63" i="2" s="1"/>
  <c r="DN45" i="2" a="1"/>
  <c r="DN45" i="2" s="1"/>
  <c r="DN86" i="2" a="1"/>
  <c r="DN86" i="2" s="1"/>
  <c r="DN162" i="2" a="1"/>
  <c r="DN162" i="2" s="1"/>
  <c r="DN115" i="2" a="1"/>
  <c r="DN115" i="2" s="1"/>
  <c r="DN16" i="2" a="1"/>
  <c r="DN16" i="2" s="1"/>
  <c r="DN132" i="2" a="1"/>
  <c r="DN132" i="2" s="1"/>
  <c r="DN49" i="2" a="1"/>
  <c r="DN49" i="2" s="1"/>
  <c r="DN153" i="2" a="1"/>
  <c r="DN153" i="2" s="1"/>
  <c r="DN164" i="2" a="1"/>
  <c r="DN164" i="2" s="1"/>
  <c r="DN50" i="2" a="1"/>
  <c r="DN50" i="2" s="1"/>
  <c r="DN55" i="2" a="1"/>
  <c r="DN55" i="2" s="1"/>
  <c r="DN113" i="2" a="1"/>
  <c r="DN113" i="2" s="1"/>
  <c r="DN46" i="2" a="1"/>
  <c r="DN46" i="2" s="1"/>
  <c r="DN110" i="2" a="1"/>
  <c r="DN110" i="2" s="1"/>
  <c r="DN38" i="2" a="1"/>
  <c r="DN38" i="2" s="1"/>
  <c r="DN192" i="2" a="1"/>
  <c r="DN192" i="2" s="1"/>
  <c r="DN25" i="2" a="1"/>
  <c r="DN25" i="2" s="1"/>
  <c r="DN30" i="2" a="1"/>
  <c r="DN30" i="2" s="1"/>
  <c r="DN150" i="2" a="1"/>
  <c r="DN150" i="2" s="1"/>
  <c r="DN187" i="2" a="1"/>
  <c r="DN187" i="2" s="1"/>
  <c r="DN31" i="2" a="1"/>
  <c r="DN31" i="2" s="1"/>
  <c r="DN66" i="2" a="1"/>
  <c r="DN66" i="2" s="1"/>
  <c r="DN152" i="2" a="1"/>
  <c r="DN152" i="2" s="1"/>
  <c r="DN135" i="2" a="1"/>
  <c r="DN135" i="2" s="1"/>
  <c r="DN176" i="2" a="1"/>
  <c r="DN176" i="2" s="1"/>
  <c r="DN167" i="2" a="1"/>
  <c r="DN167" i="2" s="1"/>
  <c r="DN80" i="2" a="1"/>
  <c r="DN80" i="2" s="1"/>
  <c r="DN114" i="2" a="1"/>
  <c r="DN114" i="2" s="1"/>
  <c r="DN188" i="2" a="1"/>
  <c r="DN188" i="2" s="1"/>
  <c r="DN29" i="2" a="1"/>
  <c r="DN29" i="2" s="1"/>
  <c r="DN177" i="2" a="1"/>
  <c r="DN177" i="2" s="1"/>
  <c r="DN184" i="2" a="1"/>
  <c r="DN184" i="2" s="1"/>
  <c r="DN170" i="2" a="1"/>
  <c r="DN170" i="2" s="1"/>
  <c r="DN41" i="2" a="1"/>
  <c r="DN41" i="2" s="1"/>
  <c r="DN129" i="2" a="1"/>
  <c r="DN129" i="2" s="1"/>
  <c r="DN43" i="2" a="1"/>
  <c r="DN43" i="2" s="1"/>
  <c r="DN186" i="2" a="1"/>
  <c r="DN186" i="2" s="1"/>
  <c r="AH151" i="2" a="1"/>
  <c r="AH151" i="2" s="1"/>
  <c r="AH62" i="2" a="1"/>
  <c r="AH62" i="2" s="1"/>
  <c r="AH90" i="2" a="1"/>
  <c r="AH90" i="2" s="1"/>
  <c r="FD19" i="2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CD186" i="2" l="1"/>
  <c r="CD172" i="2"/>
  <c r="CD60" i="2"/>
  <c r="CD70" i="2"/>
  <c r="CD142" i="2"/>
  <c r="CD128" i="2"/>
  <c r="CD136" i="2"/>
  <c r="CD122" i="2"/>
  <c r="CD146" i="2"/>
  <c r="CD195" i="2"/>
  <c r="CD168" i="2"/>
  <c r="CD86" i="2"/>
  <c r="CD29" i="2"/>
  <c r="CD132" i="2"/>
  <c r="CD41" i="2"/>
  <c r="CD167" i="2"/>
  <c r="CD57" i="2"/>
  <c r="CD24" i="2"/>
  <c r="CD154" i="2"/>
  <c r="CD10" i="2"/>
  <c r="CD126" i="2"/>
  <c r="CD140" i="2"/>
  <c r="CD194" i="2"/>
  <c r="CD91" i="2"/>
  <c r="CD5" i="2"/>
  <c r="CD34" i="2"/>
  <c r="CD65" i="2"/>
  <c r="CD143" i="2"/>
  <c r="CD102" i="2"/>
  <c r="CD158" i="2"/>
  <c r="CD51" i="2"/>
  <c r="CD81" i="2"/>
  <c r="CD14" i="2"/>
  <c r="CD76" i="2"/>
  <c r="CD190" i="2"/>
  <c r="CD199" i="2"/>
  <c r="CD112" i="2"/>
  <c r="CD69" i="2"/>
  <c r="CD120" i="2"/>
  <c r="CD197" i="2"/>
  <c r="CD58" i="2"/>
  <c r="CD21" i="2"/>
  <c r="CD74" i="2"/>
  <c r="CD157" i="2"/>
  <c r="CD62" i="2"/>
  <c r="CD119" i="2"/>
  <c r="CD115" i="2"/>
  <c r="CD124" i="2"/>
  <c r="CD175" i="2"/>
  <c r="CD96" i="2"/>
  <c r="CD105" i="2"/>
  <c r="CD49" i="2"/>
  <c r="CD68" i="2"/>
  <c r="CD90" i="2"/>
  <c r="CD178" i="2"/>
  <c r="CD110" i="2"/>
  <c r="CD179" i="2"/>
  <c r="CD18" i="2"/>
  <c r="CD170" i="2"/>
  <c r="CD63" i="2"/>
  <c r="CD88" i="2"/>
  <c r="CD138" i="2"/>
  <c r="CD171" i="2"/>
  <c r="CD129" i="2"/>
  <c r="CD48" i="2"/>
  <c r="CD141" i="2"/>
  <c r="CD56" i="2"/>
  <c r="CD191" i="2"/>
  <c r="CD38" i="2"/>
  <c r="CD161" i="2"/>
  <c r="CD75" i="2"/>
  <c r="CD166" i="2"/>
  <c r="CD12" i="2"/>
  <c r="CD139" i="2"/>
  <c r="CD135" i="2"/>
  <c r="CD127" i="2"/>
  <c r="CD31" i="2"/>
  <c r="CD100" i="2"/>
  <c r="CD156" i="2"/>
  <c r="CD145" i="2"/>
  <c r="CD111" i="2"/>
  <c r="CD106" i="2"/>
  <c r="CD93" i="2"/>
  <c r="CD148" i="2"/>
  <c r="CD185" i="2"/>
  <c r="CD196" i="2"/>
  <c r="CD9" i="2"/>
  <c r="CD25" i="2"/>
  <c r="CD47" i="2"/>
  <c r="CD71" i="2"/>
  <c r="CD98" i="2"/>
  <c r="CD104" i="2"/>
  <c r="CD20" i="2"/>
  <c r="CD27" i="2"/>
  <c r="CD45" i="2"/>
  <c r="CD32" i="2"/>
  <c r="CD101" i="2"/>
  <c r="CD151" i="2"/>
  <c r="CD85" i="2"/>
  <c r="CD203" i="2"/>
  <c r="CD108" i="2"/>
  <c r="CD8" i="2"/>
  <c r="CD162" i="2"/>
  <c r="CD43" i="2"/>
  <c r="CD17" i="2"/>
  <c r="CD177" i="2"/>
  <c r="CD134" i="2"/>
  <c r="CD79" i="2"/>
  <c r="CD164" i="2"/>
  <c r="CD36" i="2"/>
  <c r="CD198" i="2"/>
  <c r="CD13" i="2"/>
  <c r="CD11" i="2"/>
  <c r="CD3" i="2"/>
  <c r="C9" i="4" s="1"/>
  <c r="E9" i="4" s="1"/>
  <c r="F9" i="4" s="1"/>
  <c r="G9" i="4" s="1"/>
  <c r="L9" i="4" s="1"/>
  <c r="CD189" i="2"/>
  <c r="CD123" i="2"/>
  <c r="CD181" i="2"/>
  <c r="CD40" i="2"/>
  <c r="CD176" i="2"/>
  <c r="CD149" i="2"/>
  <c r="CD28" i="2"/>
  <c r="CD155" i="2"/>
  <c r="CD118" i="2"/>
  <c r="CD117" i="2"/>
  <c r="CD42" i="2"/>
  <c r="CD35" i="2"/>
  <c r="CD6" i="2"/>
  <c r="CD78" i="2"/>
  <c r="CD165" i="2"/>
  <c r="CD89" i="2"/>
  <c r="CD73" i="2"/>
  <c r="CD77" i="2"/>
  <c r="CD187" i="2"/>
  <c r="CD103" i="2"/>
  <c r="CD173" i="2"/>
  <c r="CD152" i="2"/>
  <c r="CD4" i="2"/>
  <c r="CD44" i="2"/>
  <c r="CD92" i="2"/>
  <c r="CD99" i="2"/>
  <c r="CD133" i="2"/>
  <c r="CD39" i="2"/>
  <c r="CD160" i="2"/>
  <c r="CD163" i="2"/>
  <c r="CD201" i="2"/>
  <c r="CD107" i="2"/>
  <c r="CD125" i="2"/>
  <c r="CD30" i="2"/>
  <c r="CD82" i="2"/>
  <c r="CD83" i="2"/>
  <c r="CD144" i="2"/>
  <c r="CD54" i="2"/>
  <c r="CD182" i="2"/>
  <c r="CD33" i="2"/>
  <c r="CD130" i="2"/>
  <c r="CD37" i="2"/>
  <c r="CD150" i="2"/>
  <c r="CD19" i="2"/>
  <c r="CD87" i="2"/>
  <c r="CD22" i="2"/>
  <c r="CD147" i="2"/>
  <c r="CD95" i="2"/>
  <c r="CD94" i="2"/>
  <c r="CD202" i="2"/>
  <c r="CD66" i="2"/>
  <c r="CD183" i="2"/>
  <c r="CD7" i="2"/>
  <c r="CD159" i="2"/>
  <c r="CD67" i="2"/>
  <c r="CD153" i="2"/>
  <c r="CD97" i="2"/>
  <c r="CD61" i="2"/>
  <c r="CD193" i="2"/>
  <c r="CD84" i="2"/>
  <c r="CD180" i="2"/>
  <c r="CD46" i="2"/>
  <c r="CD116" i="2"/>
  <c r="CD200" i="2"/>
  <c r="CD80" i="2"/>
  <c r="CD114" i="2"/>
  <c r="CD53" i="2"/>
  <c r="CD50" i="2"/>
  <c r="CD72" i="2"/>
  <c r="CD109" i="2"/>
  <c r="CD59" i="2"/>
  <c r="CD52" i="2"/>
  <c r="CD131" i="2"/>
  <c r="CD192" i="2"/>
  <c r="CD23" i="2"/>
  <c r="CD184" i="2"/>
  <c r="CD113" i="2"/>
  <c r="CD121" i="2"/>
  <c r="CD169" i="2"/>
  <c r="CD26" i="2"/>
  <c r="CD174" i="2"/>
  <c r="CD55" i="2"/>
  <c r="CD188" i="2"/>
  <c r="CD137" i="2"/>
  <c r="CD15" i="2"/>
  <c r="CD64" i="2"/>
  <c r="CD16" i="2"/>
  <c r="CY24" i="2"/>
  <c r="CY53" i="2"/>
  <c r="CY170" i="2"/>
  <c r="CY191" i="2"/>
  <c r="CY82" i="2"/>
  <c r="CY106" i="2"/>
  <c r="CY20" i="2"/>
  <c r="CY36" i="2"/>
  <c r="CY88" i="2"/>
  <c r="CY203" i="2"/>
  <c r="CY146" i="2"/>
  <c r="CY11" i="2"/>
  <c r="CY158" i="2"/>
  <c r="CY56" i="2"/>
  <c r="CY54" i="2"/>
  <c r="CY177" i="2"/>
  <c r="CY169" i="2"/>
  <c r="CY181" i="2"/>
  <c r="CY62" i="2"/>
  <c r="CY124" i="2"/>
  <c r="CY182" i="2"/>
  <c r="CY31" i="2"/>
  <c r="CY162" i="2"/>
  <c r="CY186" i="2"/>
  <c r="CY125" i="2"/>
  <c r="CY200" i="2"/>
  <c r="CY185" i="2"/>
  <c r="CY160" i="2"/>
  <c r="CY80" i="2"/>
  <c r="CY27" i="2"/>
  <c r="CY13" i="2"/>
  <c r="CY130" i="2"/>
  <c r="CY114" i="2"/>
  <c r="CY43" i="2"/>
  <c r="CY10" i="2"/>
  <c r="CY103" i="2"/>
  <c r="CY21" i="2"/>
  <c r="CY59" i="2"/>
  <c r="CY108" i="2"/>
  <c r="CY102" i="2"/>
  <c r="CY9" i="2"/>
  <c r="CY126" i="2"/>
  <c r="CY133" i="2"/>
  <c r="CY45" i="2"/>
  <c r="CY91" i="2"/>
  <c r="CY134" i="2"/>
  <c r="CY30" i="2"/>
  <c r="CY41" i="2"/>
  <c r="CY157" i="2"/>
  <c r="CY51" i="2"/>
  <c r="CY15" i="2"/>
  <c r="CY34" i="2"/>
  <c r="CY137" i="2"/>
  <c r="CY44" i="2"/>
  <c r="CY97" i="2"/>
  <c r="CY38" i="2"/>
  <c r="CY168" i="2"/>
  <c r="CY128" i="2"/>
  <c r="CY148" i="2"/>
  <c r="CY18" i="2"/>
  <c r="CY94" i="2"/>
  <c r="CY101" i="2"/>
  <c r="CY89" i="2"/>
  <c r="CY72" i="2"/>
  <c r="CY71" i="2"/>
  <c r="CY164" i="2"/>
  <c r="CY154" i="2"/>
  <c r="CY58" i="2"/>
  <c r="CY86" i="2"/>
  <c r="CY118" i="2"/>
  <c r="CY143" i="2"/>
  <c r="CY152" i="2"/>
  <c r="CY100" i="2"/>
  <c r="CY65" i="2"/>
  <c r="CY66" i="2"/>
  <c r="CY194" i="2"/>
  <c r="CY147" i="2"/>
  <c r="CY199" i="2"/>
  <c r="CY184" i="2"/>
  <c r="CY112" i="2"/>
  <c r="CY150" i="2"/>
  <c r="CY145" i="2"/>
  <c r="CY132" i="2"/>
  <c r="CY37" i="2"/>
  <c r="CY3" i="2"/>
  <c r="C10" i="4" s="1"/>
  <c r="E10" i="4" s="1"/>
  <c r="F10" i="4" s="1"/>
  <c r="G10" i="4" s="1"/>
  <c r="L10" i="4" s="1"/>
  <c r="CY141" i="2"/>
  <c r="CY140" i="2"/>
  <c r="CY196" i="2"/>
  <c r="CY166" i="2"/>
  <c r="CY7" i="2"/>
  <c r="CY16" i="2"/>
  <c r="CY171" i="2"/>
  <c r="CY40" i="2"/>
  <c r="CY22" i="2"/>
  <c r="CY144" i="2"/>
  <c r="CY83" i="2"/>
  <c r="CY195" i="2"/>
  <c r="CY201" i="2"/>
  <c r="CY96" i="2"/>
  <c r="CY61" i="2"/>
  <c r="CY155" i="2"/>
  <c r="CY32" i="2"/>
  <c r="CY113" i="2"/>
  <c r="CY79" i="2"/>
  <c r="CY117" i="2"/>
  <c r="CY172" i="2"/>
  <c r="CY187" i="2"/>
  <c r="CY105" i="2"/>
  <c r="CY127" i="2"/>
  <c r="CY63" i="2"/>
  <c r="CY167" i="2"/>
  <c r="CY129" i="2"/>
  <c r="CY14" i="2"/>
  <c r="CY136" i="2"/>
  <c r="CY47" i="2"/>
  <c r="CY87" i="2"/>
  <c r="CY39" i="2"/>
  <c r="CY156" i="2"/>
  <c r="CY115" i="2"/>
  <c r="CY12" i="2"/>
  <c r="CY78" i="2"/>
  <c r="CY29" i="2"/>
  <c r="CY165" i="2"/>
  <c r="CY81" i="2"/>
  <c r="CY189" i="2"/>
  <c r="CY183" i="2"/>
  <c r="CY46" i="2"/>
  <c r="CY149" i="2"/>
  <c r="CY163" i="2"/>
  <c r="CY153" i="2"/>
  <c r="CY110" i="2"/>
  <c r="CY76" i="2"/>
  <c r="CY190" i="2"/>
  <c r="CY123" i="2"/>
  <c r="CY92" i="2"/>
  <c r="CY142" i="2"/>
  <c r="CY50" i="2"/>
  <c r="CY49" i="2"/>
  <c r="CY98" i="2"/>
  <c r="CY159" i="2"/>
  <c r="CY138" i="2"/>
  <c r="CY161" i="2"/>
  <c r="CY139" i="2"/>
  <c r="CY120" i="2"/>
  <c r="CY35" i="2"/>
  <c r="CY67" i="2"/>
  <c r="CY42" i="2"/>
  <c r="CY131" i="2"/>
  <c r="CY151" i="2"/>
  <c r="CY5" i="2"/>
  <c r="CY193" i="2"/>
  <c r="CY107" i="2"/>
  <c r="CY74" i="2"/>
  <c r="CY25" i="2"/>
  <c r="CY64" i="2"/>
  <c r="CY26" i="2"/>
  <c r="CY122" i="2"/>
  <c r="CY116" i="2"/>
  <c r="CY93" i="2"/>
  <c r="CY17" i="2"/>
  <c r="CY57" i="2"/>
  <c r="CY77" i="2"/>
  <c r="CY192" i="2"/>
  <c r="CY173" i="2"/>
  <c r="CY121" i="2"/>
  <c r="CY178" i="2"/>
  <c r="CY33" i="2"/>
  <c r="CY119" i="2"/>
  <c r="CY75" i="2"/>
  <c r="CY69" i="2"/>
  <c r="CY90" i="2"/>
  <c r="CY111" i="2"/>
  <c r="CY73" i="2"/>
  <c r="CY95" i="2"/>
  <c r="CY197" i="2"/>
  <c r="CY188" i="2"/>
  <c r="CY23" i="2"/>
  <c r="CY52" i="2"/>
  <c r="CY175" i="2"/>
  <c r="CY135" i="2"/>
  <c r="CY4" i="2"/>
  <c r="CY70" i="2"/>
  <c r="CY109" i="2"/>
  <c r="CY84" i="2"/>
  <c r="CY55" i="2"/>
  <c r="CY19" i="2"/>
  <c r="CY174" i="2"/>
  <c r="CY48" i="2"/>
  <c r="CY176" i="2"/>
  <c r="CY179" i="2"/>
  <c r="CY104" i="2"/>
  <c r="CY180" i="2"/>
  <c r="CY68" i="2"/>
  <c r="CY28" i="2"/>
  <c r="CY85" i="2"/>
  <c r="CY8" i="2"/>
  <c r="CY6" i="2"/>
  <c r="CY198" i="2"/>
  <c r="CY202" i="2"/>
  <c r="CY60" i="2"/>
  <c r="CY99" i="2"/>
  <c r="FE196" i="2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68" i="2"/>
  <c r="BI48" i="2"/>
  <c r="BI153" i="2"/>
  <c r="BI57" i="2"/>
  <c r="BI55" i="2"/>
  <c r="BI27" i="2"/>
  <c r="BI38" i="2"/>
  <c r="BI115" i="2"/>
  <c r="BI203" i="2"/>
  <c r="BI143" i="2"/>
  <c r="BI42" i="2"/>
  <c r="BI195" i="2"/>
  <c r="BI167" i="2"/>
  <c r="BI44" i="2"/>
  <c r="BI140" i="2"/>
  <c r="BI12" i="2"/>
  <c r="BI202" i="2"/>
  <c r="BI107" i="2"/>
  <c r="BI70" i="2"/>
  <c r="BI184" i="2"/>
  <c r="BI101" i="2"/>
  <c r="BI126" i="2"/>
  <c r="BI116" i="2"/>
  <c r="BI145" i="2"/>
  <c r="BI78" i="2"/>
  <c r="BI142" i="2"/>
  <c r="BI36" i="2"/>
  <c r="BI170" i="2"/>
  <c r="BI93" i="2"/>
  <c r="BI155" i="2"/>
  <c r="BI164" i="2"/>
  <c r="BI35" i="2"/>
  <c r="BI3" i="2"/>
  <c r="C8" i="4" s="1"/>
  <c r="E8" i="4" s="1"/>
  <c r="F8" i="4" s="1"/>
  <c r="G8" i="4" s="1"/>
  <c r="L8" i="4" s="1"/>
  <c r="BI46" i="2"/>
  <c r="BI40" i="2"/>
  <c r="BI198" i="2"/>
  <c r="BI127" i="2"/>
  <c r="BI96" i="2"/>
  <c r="BI117" i="2"/>
  <c r="BI197" i="2"/>
  <c r="BI97" i="2"/>
  <c r="BI16" i="2"/>
  <c r="BI54" i="2"/>
  <c r="BI194" i="2"/>
  <c r="BI88" i="2"/>
  <c r="BI31" i="2"/>
  <c r="BI174" i="2"/>
  <c r="BI105" i="2"/>
  <c r="BI110" i="2"/>
  <c r="BI4" i="2"/>
  <c r="BI108" i="2"/>
  <c r="BI183" i="2"/>
  <c r="BI103" i="2"/>
  <c r="BI56" i="2"/>
  <c r="BI119" i="2"/>
  <c r="BI7" i="2"/>
  <c r="BI28" i="2"/>
  <c r="BI182" i="2"/>
  <c r="BI81" i="2"/>
  <c r="BI58" i="2"/>
  <c r="BI188" i="2"/>
  <c r="BI92" i="2"/>
  <c r="BI133" i="2"/>
  <c r="BI121" i="2"/>
  <c r="BI162" i="2"/>
  <c r="BI112" i="2"/>
  <c r="BI15" i="2"/>
  <c r="BI91" i="2"/>
  <c r="BI137" i="2"/>
  <c r="BI146" i="2"/>
  <c r="BI179" i="2"/>
  <c r="BI75" i="2"/>
  <c r="BI64" i="2"/>
  <c r="BI199" i="2"/>
  <c r="BI60" i="2"/>
  <c r="BI10" i="2"/>
  <c r="BI50" i="2"/>
  <c r="BI14" i="2"/>
  <c r="BI131" i="2"/>
  <c r="BI41" i="2"/>
  <c r="BI21" i="2"/>
  <c r="BI134" i="2"/>
  <c r="BI90" i="2"/>
  <c r="BI118" i="2"/>
  <c r="BI166" i="2"/>
  <c r="BI106" i="2"/>
  <c r="BI147" i="2"/>
  <c r="BI150" i="2"/>
  <c r="BI175" i="2"/>
  <c r="BI200" i="2"/>
  <c r="BI163" i="2"/>
  <c r="BI111" i="2"/>
  <c r="BI82" i="2"/>
  <c r="BI6" i="2"/>
  <c r="BI17" i="2"/>
  <c r="BI62" i="2"/>
  <c r="BI80" i="2"/>
  <c r="BI76" i="2"/>
  <c r="BI73" i="2"/>
  <c r="BI30" i="2"/>
  <c r="BI99" i="2"/>
  <c r="BI13" i="2"/>
  <c r="BI173" i="2"/>
  <c r="BI139" i="2"/>
  <c r="BI39" i="2"/>
  <c r="BI129" i="2"/>
  <c r="BI122" i="2"/>
  <c r="BI71" i="2"/>
  <c r="BI190" i="2"/>
  <c r="BI136" i="2"/>
  <c r="BI22" i="2"/>
  <c r="BI65" i="2"/>
  <c r="BI95" i="2"/>
  <c r="BI104" i="2"/>
  <c r="BI186" i="2"/>
  <c r="BI100" i="2"/>
  <c r="BI196" i="2"/>
  <c r="BI66" i="2"/>
  <c r="BI51" i="2"/>
  <c r="BI181" i="2"/>
  <c r="BI59" i="2"/>
  <c r="BI34" i="2"/>
  <c r="BI159" i="2"/>
  <c r="BI87" i="2"/>
  <c r="BI124" i="2"/>
  <c r="BI5" i="2"/>
  <c r="BI149" i="2"/>
  <c r="BI86" i="2"/>
  <c r="BI158" i="2"/>
  <c r="BI151" i="2"/>
  <c r="BI141" i="2"/>
  <c r="BI53" i="2"/>
  <c r="BI180" i="2"/>
  <c r="BI102" i="2"/>
  <c r="BI45" i="2"/>
  <c r="BI84" i="2"/>
  <c r="BI77" i="2"/>
  <c r="BI89" i="2"/>
  <c r="BI43" i="2"/>
  <c r="BI9" i="2"/>
  <c r="BI189" i="2"/>
  <c r="BI171" i="2"/>
  <c r="BI94" i="2"/>
  <c r="BI128" i="2"/>
  <c r="BI156" i="2"/>
  <c r="BI177" i="2"/>
  <c r="BI192" i="2"/>
  <c r="BI19" i="2"/>
  <c r="BI32" i="2"/>
  <c r="BI123" i="2"/>
  <c r="BI178" i="2"/>
  <c r="BI193" i="2"/>
  <c r="BI172" i="2"/>
  <c r="BI185" i="2"/>
  <c r="BI191" i="2"/>
  <c r="BI74" i="2"/>
  <c r="BI68" i="2"/>
  <c r="BI152" i="2"/>
  <c r="BI109" i="2"/>
  <c r="BI79" i="2"/>
  <c r="BI120" i="2"/>
  <c r="BI157" i="2"/>
  <c r="BI138" i="2"/>
  <c r="BI8" i="2"/>
  <c r="BI69" i="2"/>
  <c r="BI114" i="2"/>
  <c r="BI52" i="2"/>
  <c r="BI25" i="2"/>
  <c r="BI61" i="2"/>
  <c r="BI132" i="2"/>
  <c r="BI24" i="2"/>
  <c r="BI135" i="2"/>
  <c r="BI165" i="2"/>
  <c r="BI29" i="2"/>
  <c r="BI113" i="2"/>
  <c r="BI148" i="2"/>
  <c r="BI201" i="2"/>
  <c r="BI160" i="2"/>
  <c r="BI187" i="2"/>
  <c r="BI85" i="2"/>
  <c r="BI37" i="2"/>
  <c r="BI176" i="2"/>
  <c r="BI26" i="2"/>
  <c r="BI154" i="2"/>
  <c r="BI33" i="2"/>
  <c r="BI161" i="2"/>
  <c r="BI63" i="2"/>
  <c r="BI98" i="2"/>
  <c r="BI130" i="2"/>
  <c r="BI67" i="2"/>
  <c r="BI20" i="2"/>
  <c r="BI83" i="2"/>
  <c r="BI125" i="2"/>
  <c r="BI11" i="2"/>
  <c r="BI18" i="2"/>
  <c r="BI169" i="2"/>
  <c r="BI49" i="2"/>
  <c r="BI72" i="2"/>
  <c r="BI144" i="2"/>
  <c r="BI23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<sst xmlns="http://schemas.openxmlformats.org/spreadsheetml/2006/main" count="1178" uniqueCount="327">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</sst>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0" xfId="0" applyNumberFormat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4">
    <cellStyle name="Lien hypertexte" xfId="2" builtinId="8"/>
    <cellStyle name="Normal" xfId="0" builtinId="0"/>
    <cellStyle name="Pourcentage" xfId="1" builtinId="5"/>
    <cellStyle name="Pourcentage 2" xfId="3" xr:uid="{90A8979B-40E6-4C77-A66A-438C492C2DAD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11.20539188542012</c:v>
                </c:pt>
                <c:pt idx="2">
                  <c:v>21.927523777049117</c:v>
                </c:pt>
                <c:pt idx="3">
                  <c:v>32.493586948817772</c:v>
                </c:pt>
                <c:pt idx="4">
                  <c:v>42.963445730345995</c:v>
                </c:pt>
                <c:pt idx="5">
                  <c:v>53.364232598299985</c:v>
                </c:pt>
                <c:pt idx="6">
                  <c:v>63.71142505018269</c:v>
                </c:pt>
                <c:pt idx="7">
                  <c:v>74.015000830188157</c:v>
                </c:pt>
                <c:pt idx="8">
                  <c:v>84.28190983106856</c:v>
                </c:pt>
                <c:pt idx="9">
                  <c:v>94.517260312406492</c:v>
                </c:pt>
                <c:pt idx="10">
                  <c:v>104.7249587701631</c:v>
                </c:pt>
                <c:pt idx="11">
                  <c:v>114.90808518941105</c:v>
                </c:pt>
                <c:pt idx="12">
                  <c:v>125.0691274383351</c:v>
                </c:pt>
                <c:pt idx="13">
                  <c:v>135.21013509563227</c:v>
                </c:pt>
                <c:pt idx="14">
                  <c:v>145.33282450800652</c:v>
                </c:pt>
                <c:pt idx="15">
                  <c:v>155.43865293601846</c:v>
                </c:pt>
                <c:pt idx="16">
                  <c:v>165.52887234629307</c:v>
                </c:pt>
                <c:pt idx="17">
                  <c:v>175.60456936445431</c:v>
                </c:pt>
                <c:pt idx="18">
                  <c:v>185.66669555613839</c:v>
                </c:pt>
                <c:pt idx="19">
                  <c:v>195.71609078597473</c:v>
                </c:pt>
                <c:pt idx="20">
                  <c:v>205.75350151859661</c:v>
                </c:pt>
                <c:pt idx="21">
                  <c:v>215.779595355433</c:v>
                </c:pt>
                <c:pt idx="22">
                  <c:v>225.79497272413494</c:v>
                </c:pt>
                <c:pt idx="23">
                  <c:v>235.80017638257266</c:v>
                </c:pt>
                <c:pt idx="24">
                  <c:v>245.79569922332504</c:v>
                </c:pt>
                <c:pt idx="25">
                  <c:v>255.78199074076778</c:v>
                </c:pt>
                <c:pt idx="26">
                  <c:v>265.75946243430144</c:v>
                </c:pt>
                <c:pt idx="27">
                  <c:v>275.72849235693155</c:v>
                </c:pt>
                <c:pt idx="28">
                  <c:v>285.68942897104239</c:v>
                </c:pt>
                <c:pt idx="29">
                  <c:v>295.64259443786659</c:v>
                </c:pt>
                <c:pt idx="30">
                  <c:v>305.58828744048856</c:v>
                </c:pt>
                <c:pt idx="31">
                  <c:v>315.52678561987216</c:v>
                </c:pt>
                <c:pt idx="32">
                  <c:v>325.4583476877346</c:v>
                </c:pt>
                <c:pt idx="33">
                  <c:v>335.38321526789008</c:v>
                </c:pt>
                <c:pt idx="34">
                  <c:v>345.30161450813017</c:v>
                </c:pt>
                <c:pt idx="35">
                  <c:v>355.21375749714207</c:v>
                </c:pt>
                <c:pt idx="36">
                  <c:v>365.1198435149422</c:v>
                </c:pt>
                <c:pt idx="37">
                  <c:v>375.02006014046651</c:v>
                </c:pt>
                <c:pt idx="38">
                  <c:v>384.91458423605405</c:v>
                </c:pt>
                <c:pt idx="39">
                  <c:v>394.80358282538549</c:v>
                </c:pt>
                <c:pt idx="40">
                  <c:v>404.6872138788429</c:v>
                </c:pt>
                <c:pt idx="41">
                  <c:v>414.56562701812322</c:v>
                </c:pt>
                <c:pt idx="42">
                  <c:v>424.43896415017292</c:v>
                </c:pt>
                <c:pt idx="43">
                  <c:v>260.23313016156169</c:v>
                </c:pt>
                <c:pt idx="44">
                  <c:v>278.44681281239997</c:v>
                </c:pt>
                <c:pt idx="45">
                  <c:v>296.63377132490763</c:v>
                </c:pt>
                <c:pt idx="46">
                  <c:v>314.79587436452249</c:v>
                </c:pt>
                <c:pt idx="47">
                  <c:v>332.9347573633475</c:v>
                </c:pt>
                <c:pt idx="48">
                  <c:v>351.05186301791537</c:v>
                </c:pt>
                <c:pt idx="49">
                  <c:v>369.14847298502383</c:v>
                </c:pt>
                <c:pt idx="50">
                  <c:v>285.89441593904411</c:v>
                </c:pt>
                <c:pt idx="51">
                  <c:v>302.88566086690889</c:v>
                </c:pt>
                <c:pt idx="52">
                  <c:v>319.85570298158433</c:v>
                </c:pt>
                <c:pt idx="53">
                  <c:v>336.80582532791021</c:v>
                </c:pt>
                <c:pt idx="54">
                  <c:v>353.7371712740657</c:v>
                </c:pt>
                <c:pt idx="55">
                  <c:v>370.650765814566</c:v>
                </c:pt>
                <c:pt idx="56">
                  <c:v>387.54753278046701</c:v>
                </c:pt>
                <c:pt idx="57">
                  <c:v>324.84229047858202</c:v>
                </c:pt>
                <c:pt idx="58">
                  <c:v>341.43839219104871</c:v>
                </c:pt>
                <c:pt idx="59">
                  <c:v>358.01676189115318</c:v>
                </c:pt>
                <c:pt idx="60">
                  <c:v>374.57833607948623</c:v>
                </c:pt>
                <c:pt idx="61">
                  <c:v>391.12396169935806</c:v>
                </c:pt>
                <c:pt idx="62">
                  <c:v>407.6544082061323</c:v>
                </c:pt>
                <c:pt idx="63">
                  <c:v>424.17037757659017</c:v>
                </c:pt>
                <c:pt idx="64">
                  <c:v>361.34408218599697</c:v>
                </c:pt>
                <c:pt idx="65">
                  <c:v>377.35815934709927</c:v>
                </c:pt>
                <c:pt idx="66">
                  <c:v>393.35744559771814</c:v>
                </c:pt>
                <c:pt idx="67">
                  <c:v>409.34262709633504</c:v>
                </c:pt>
                <c:pt idx="68">
                  <c:v>425.31433205072511</c:v>
                </c:pt>
                <c:pt idx="69">
                  <c:v>441.27313764989566</c:v>
                </c:pt>
                <c:pt idx="70">
                  <c:v>457.21957594103316</c:v>
                </c:pt>
                <c:pt idx="71">
                  <c:v>473.15413884394314</c:v>
                </c:pt>
                <c:pt idx="72">
                  <c:v>397.90541663949875</c:v>
                </c:pt>
                <c:pt idx="73">
                  <c:v>412.95607714276122</c:v>
                </c:pt>
                <c:pt idx="74">
                  <c:v>427.99490547956322</c:v>
                </c:pt>
                <c:pt idx="75">
                  <c:v>443.02237586841375</c:v>
                </c:pt>
                <c:pt idx="76">
                  <c:v>458.03892773940169</c:v>
                </c:pt>
                <c:pt idx="77">
                  <c:v>473.0449693668516</c:v>
                </c:pt>
                <c:pt idx="78">
                  <c:v>488.04088101709573</c:v>
                </c:pt>
                <c:pt idx="79">
                  <c:v>503.02701768929575</c:v>
                </c:pt>
                <c:pt idx="80">
                  <c:v>429.78258246574592</c:v>
                </c:pt>
                <c:pt idx="81">
                  <c:v>443.91184644806668</c:v>
                </c:pt>
                <c:pt idx="82">
                  <c:v>458.03147922778635</c:v>
                </c:pt>
                <c:pt idx="83">
                  <c:v>472.141819469442</c:v>
                </c:pt>
                <c:pt idx="84">
                  <c:v>486.24318394824201</c:v>
                </c:pt>
                <c:pt idx="85">
                  <c:v>500.33586957190164</c:v>
                </c:pt>
                <c:pt idx="86">
                  <c:v>514.42015516287267</c:v>
                </c:pt>
                <c:pt idx="87">
                  <c:v>528.49630303527977</c:v>
                </c:pt>
                <c:pt idx="88">
                  <c:v>453.66372147844731</c:v>
                </c:pt>
                <c:pt idx="89">
                  <c:v>466.73207202169948</c:v>
                </c:pt>
                <c:pt idx="90">
                  <c:v>479.79262513581756</c:v>
                </c:pt>
                <c:pt idx="91">
                  <c:v>492.84562295362815</c:v>
                </c:pt>
                <c:pt idx="92">
                  <c:v>505.89129373820555</c:v>
                </c:pt>
                <c:pt idx="93">
                  <c:v>518.92985302204045</c:v>
                </c:pt>
                <c:pt idx="94">
                  <c:v>531.96150462578419</c:v>
                </c:pt>
                <c:pt idx="95">
                  <c:v>544.98644157199533</c:v>
                </c:pt>
                <c:pt idx="96">
                  <c:v>286.04163182227154</c:v>
                </c:pt>
                <c:pt idx="97">
                  <c:v>294.78943542966084</c:v>
                </c:pt>
                <c:pt idx="98">
                  <c:v>303.53144827169496</c:v>
                </c:pt>
                <c:pt idx="99">
                  <c:v>312.26786078543915</c:v>
                </c:pt>
                <c:pt idx="100">
                  <c:v>320.99885187362952</c:v>
                </c:pt>
                <c:pt idx="101">
                  <c:v>329.72458990487462</c:v>
                </c:pt>
                <c:pt idx="102">
                  <c:v>338.44523360238071</c:v>
                </c:pt>
                <c:pt idx="103">
                  <c:v>347.1609328362394</c:v>
                </c:pt>
                <c:pt idx="104">
                  <c:v>355.87182933195271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1.918435946590699</c:v>
                </c:pt>
                <c:pt idx="2">
                  <c:v>2.373117389980314</c:v>
                </c:pt>
                <c:pt idx="3">
                  <c:v>2.9359817415961924</c:v>
                </c:pt>
                <c:pt idx="4">
                  <c:v>3.6328636551360431</c:v>
                </c:pt>
                <c:pt idx="5">
                  <c:v>4.4957884181579182</c:v>
                </c:pt>
                <c:pt idx="6">
                  <c:v>5.5644601109295779</c:v>
                </c:pt>
                <c:pt idx="7">
                  <c:v>6.8881085532734367</c:v>
                </c:pt>
                <c:pt idx="8">
                  <c:v>8.5277817745591538</c:v>
                </c:pt>
                <c:pt idx="9">
                  <c:v>10.559191761295033</c:v>
                </c:pt>
                <c:pt idx="10">
                  <c:v>13.076247361220192</c:v>
                </c:pt>
                <c:pt idx="11">
                  <c:v>16.195440694835355</c:v>
                </c:pt>
                <c:pt idx="12">
                  <c:v>20.06129379028172</c:v>
                </c:pt>
                <c:pt idx="13">
                  <c:v>24.853122337627141</c:v>
                </c:pt>
                <c:pt idx="14">
                  <c:v>30.793435845145144</c:v>
                </c:pt>
                <c:pt idx="15">
                  <c:v>38.158371047819237</c:v>
                </c:pt>
                <c:pt idx="16">
                  <c:v>47.290651867981289</c:v>
                </c:pt>
                <c:pt idx="17">
                  <c:v>58.615689164308343</c:v>
                </c:pt>
                <c:pt idx="18">
                  <c:v>72.661582657654549</c:v>
                </c:pt>
                <c:pt idx="19">
                  <c:v>90.083972919469474</c:v>
                </c:pt>
                <c:pt idx="20">
                  <c:v>111.69692202220851</c:v>
                </c:pt>
                <c:pt idx="21">
                  <c:v>138.51128842117049</c:v>
                </c:pt>
                <c:pt idx="22">
                  <c:v>171.78241860309038</c:v>
                </c:pt>
                <c:pt idx="23">
                  <c:v>124.07225894849046</c:v>
                </c:pt>
                <c:pt idx="24">
                  <c:v>144.64512045327049</c:v>
                </c:pt>
                <c:pt idx="25">
                  <c:v>165.1478824141137</c:v>
                </c:pt>
                <c:pt idx="26">
                  <c:v>185.59048254953419</c:v>
                </c:pt>
                <c:pt idx="27">
                  <c:v>205.98048401362226</c:v>
                </c:pt>
                <c:pt idx="28">
                  <c:v>178.51850048567601</c:v>
                </c:pt>
                <c:pt idx="29">
                  <c:v>200.02348598066854</c:v>
                </c:pt>
                <c:pt idx="30">
                  <c:v>221.47486264149299</c:v>
                </c:pt>
                <c:pt idx="31">
                  <c:v>242.87855360298769</c:v>
                </c:pt>
                <c:pt idx="32">
                  <c:v>264.23935165042923</c:v>
                </c:pt>
                <c:pt idx="33">
                  <c:v>285.56121089534162</c:v>
                </c:pt>
                <c:pt idx="34">
                  <c:v>242.26244165420408</c:v>
                </c:pt>
                <c:pt idx="35">
                  <c:v>263.73520381427102</c:v>
                </c:pt>
                <c:pt idx="36">
                  <c:v>285.1685350174958</c:v>
                </c:pt>
                <c:pt idx="37">
                  <c:v>306.56581456468069</c:v>
                </c:pt>
                <c:pt idx="38">
                  <c:v>327.9299114637476</c:v>
                </c:pt>
                <c:pt idx="39">
                  <c:v>349.26329041321316</c:v>
                </c:pt>
                <c:pt idx="40">
                  <c:v>370.56809051054279</c:v>
                </c:pt>
                <c:pt idx="41">
                  <c:v>391.84618490100002</c:v>
                </c:pt>
                <c:pt idx="42">
                  <c:v>319.87385016852937</c:v>
                </c:pt>
                <c:pt idx="43">
                  <c:v>339.97241120235782</c:v>
                </c:pt>
                <c:pt idx="44">
                  <c:v>360.04484296464358</c:v>
                </c:pt>
                <c:pt idx="45">
                  <c:v>380.09280633515499</c:v>
                </c:pt>
                <c:pt idx="46">
                  <c:v>400.11777275179605</c:v>
                </c:pt>
                <c:pt idx="47">
                  <c:v>420.12105441362888</c:v>
                </c:pt>
                <c:pt idx="48">
                  <c:v>440.10382843073722</c:v>
                </c:pt>
                <c:pt idx="49">
                  <c:v>460.06715635927225</c:v>
                </c:pt>
                <c:pt idx="50">
                  <c:v>480.01200016945177</c:v>
                </c:pt>
                <c:pt idx="51">
                  <c:v>408.79839326527775</c:v>
                </c:pt>
                <c:pt idx="52">
                  <c:v>426.75219446239686</c:v>
                </c:pt>
                <c:pt idx="53">
                  <c:v>444.68975682178706</c:v>
                </c:pt>
                <c:pt idx="54">
                  <c:v>462.61182724795117</c:v>
                </c:pt>
                <c:pt idx="55">
                  <c:v>480.51909008117696</c:v>
                </c:pt>
                <c:pt idx="56">
                  <c:v>498.41217452232013</c:v>
                </c:pt>
                <c:pt idx="57">
                  <c:v>516.29166093616936</c:v>
                </c:pt>
                <c:pt idx="58">
                  <c:v>534.15808623651117</c:v>
                </c:pt>
                <c:pt idx="59">
                  <c:v>552.0119485135134</c:v>
                </c:pt>
                <c:pt idx="60">
                  <c:v>569.85371103158241</c:v>
                </c:pt>
                <c:pt idx="61">
                  <c:v>496.54621081777736</c:v>
                </c:pt>
                <c:pt idx="62">
                  <c:v>511.61287446770933</c:v>
                </c:pt>
                <c:pt idx="63">
                  <c:v>526.6701695557424</c:v>
                </c:pt>
                <c:pt idx="64">
                  <c:v>541.71840154308029</c:v>
                </c:pt>
                <c:pt idx="65">
                  <c:v>556.7578575437193</c:v>
                </c:pt>
                <c:pt idx="66">
                  <c:v>571.78880790256073</c:v>
                </c:pt>
                <c:pt idx="67">
                  <c:v>586.81150759902118</c:v>
                </c:pt>
                <c:pt idx="68">
                  <c:v>601.82619749950163</c:v>
                </c:pt>
                <c:pt idx="69">
                  <c:v>616.83310547843132</c:v>
                </c:pt>
                <c:pt idx="70">
                  <c:v>631.83244742460067</c:v>
                </c:pt>
                <c:pt idx="71">
                  <c:v>558.51065903898916</c:v>
                </c:pt>
                <c:pt idx="72">
                  <c:v>570.86927504318601</c:v>
                </c:pt>
                <c:pt idx="73">
                  <c:v>583.22230315943</c:v>
                </c:pt>
                <c:pt idx="74">
                  <c:v>595.5698783876577</c:v>
                </c:pt>
                <c:pt idx="75">
                  <c:v>607.91212967537479</c:v>
                </c:pt>
                <c:pt idx="76">
                  <c:v>620.24918030895208</c:v>
                </c:pt>
                <c:pt idx="77">
                  <c:v>632.58114827218651</c:v>
                </c:pt>
                <c:pt idx="78">
                  <c:v>644.90814657545729</c:v>
                </c:pt>
                <c:pt idx="79">
                  <c:v>657.23028355841973</c:v>
                </c:pt>
                <c:pt idx="80">
                  <c:v>669.54766316883126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8.5641026373908407</c:v>
                </c:pt>
                <c:pt idx="2">
                  <c:v>16.750171356925268</c:v>
                </c:pt>
                <c:pt idx="3">
                  <c:v>24.814154097107675</c:v>
                </c:pt>
                <c:pt idx="4">
                  <c:v>32.802880198990124</c:v>
                </c:pt>
                <c:pt idx="5">
                  <c:v>40.737574255104683</c:v>
                </c:pt>
                <c:pt idx="6">
                  <c:v>48.630343659183183</c:v>
                </c:pt>
                <c:pt idx="7">
                  <c:v>56.488993579825284</c:v>
                </c:pt>
                <c:pt idx="8">
                  <c:v>64.318960625108559</c:v>
                </c:pt>
                <c:pt idx="9">
                  <c:v>72.124240771129223</c:v>
                </c:pt>
                <c:pt idx="10">
                  <c:v>79.90788990497127</c:v>
                </c:pt>
                <c:pt idx="11">
                  <c:v>87.672317369098337</c:v>
                </c:pt>
                <c:pt idx="12">
                  <c:v>95.419469317897367</c:v>
                </c:pt>
                <c:pt idx="13">
                  <c:v>103.1509490503684</c:v>
                </c:pt>
                <c:pt idx="14">
                  <c:v>110.86809919217301</c:v>
                </c:pt>
                <c:pt idx="15">
                  <c:v>118.57205969680662</c:v>
                </c:pt>
                <c:pt idx="16">
                  <c:v>126.26380992497417</c:v>
                </c:pt>
                <c:pt idx="17">
                  <c:v>133.94419989808699</c:v>
                </c:pt>
                <c:pt idx="18">
                  <c:v>141.61397398582207</c:v>
                </c:pt>
                <c:pt idx="19">
                  <c:v>149.27378917886855</c:v>
                </c:pt>
                <c:pt idx="20">
                  <c:v>156.92422940503644</c:v>
                </c:pt>
                <c:pt idx="21">
                  <c:v>164.56581690077618</c:v>
                </c:pt>
                <c:pt idx="22">
                  <c:v>172.19902135532388</c:v>
                </c:pt>
                <c:pt idx="23">
                  <c:v>179.82426734527743</c:v>
                </c:pt>
                <c:pt idx="24">
                  <c:v>187.44194043971996</c:v>
                </c:pt>
                <c:pt idx="25">
                  <c:v>195.05239225914997</c:v>
                </c:pt>
                <c:pt idx="26">
                  <c:v>202.65594470219867</c:v>
                </c:pt>
                <c:pt idx="27">
                  <c:v>210.25289350379276</c:v>
                </c:pt>
                <c:pt idx="28">
                  <c:v>217.84351125136371</c:v>
                </c:pt>
                <c:pt idx="29">
                  <c:v>225.4280499580608</c:v>
                </c:pt>
                <c:pt idx="30">
                  <c:v>233.00674327106756</c:v>
                </c:pt>
                <c:pt idx="31">
                  <c:v>240.57980837720436</c:v>
                </c:pt>
                <c:pt idx="32">
                  <c:v>248.14744765573963</c:v>
                </c:pt>
                <c:pt idx="33">
                  <c:v>255.70985011879577</c:v>
                </c:pt>
                <c:pt idx="34">
                  <c:v>263.26719267225525</c:v>
                </c:pt>
                <c:pt idx="35">
                  <c:v>270.81964122415599</c:v>
                </c:pt>
                <c:pt idx="36">
                  <c:v>278.36735166285297</c:v>
                </c:pt>
                <c:pt idx="37">
                  <c:v>285.91047072343866</c:v>
                </c:pt>
                <c:pt idx="38">
                  <c:v>293.44913675786432</c:v>
                </c:pt>
                <c:pt idx="39">
                  <c:v>300.98348042171295</c:v>
                </c:pt>
                <c:pt idx="40">
                  <c:v>308.51362528855435</c:v>
                </c:pt>
                <c:pt idx="41">
                  <c:v>316.03968840113345</c:v>
                </c:pt>
                <c:pt idx="42">
                  <c:v>323.56178076727167</c:v>
                </c:pt>
                <c:pt idx="43">
                  <c:v>257.93750690505584</c:v>
                </c:pt>
                <c:pt idx="44">
                  <c:v>276.14526868684135</c:v>
                </c:pt>
                <c:pt idx="45">
                  <c:v>294.3260789194498</c:v>
                </c:pt>
                <c:pt idx="46">
                  <c:v>312.48183631468436</c:v>
                </c:pt>
                <c:pt idx="47">
                  <c:v>330.61420092587235</c:v>
                </c:pt>
                <c:pt idx="48">
                  <c:v>348.72463586437283</c:v>
                </c:pt>
                <c:pt idx="49">
                  <c:v>366.81443989188602</c:v>
                </c:pt>
                <c:pt idx="50">
                  <c:v>384.88477324479385</c:v>
                </c:pt>
                <c:pt idx="51">
                  <c:v>334.65025498820768</c:v>
                </c:pt>
                <c:pt idx="52">
                  <c:v>353.10838038745561</c:v>
                </c:pt>
                <c:pt idx="53">
                  <c:v>371.54536746252899</c:v>
                </c:pt>
                <c:pt idx="54">
                  <c:v>389.96241232638954</c:v>
                </c:pt>
                <c:pt idx="55">
                  <c:v>408.3605889295356</c:v>
                </c:pt>
                <c:pt idx="56">
                  <c:v>426.74086659214868</c:v>
                </c:pt>
                <c:pt idx="57">
                  <c:v>445.10412435808092</c:v>
                </c:pt>
                <c:pt idx="58">
                  <c:v>463.45116285675294</c:v>
                </c:pt>
                <c:pt idx="59">
                  <c:v>394.85081282897653</c:v>
                </c:pt>
                <c:pt idx="60">
                  <c:v>412.6644383964213</c:v>
                </c:pt>
                <c:pt idx="61">
                  <c:v>430.46147656489694</c:v>
                </c:pt>
                <c:pt idx="62">
                  <c:v>448.24270933823431</c:v>
                </c:pt>
                <c:pt idx="63">
                  <c:v>466.0088516444161</c:v>
                </c:pt>
                <c:pt idx="64">
                  <c:v>483.76055947940108</c:v>
                </c:pt>
                <c:pt idx="65">
                  <c:v>501.49843679360833</c:v>
                </c:pt>
                <c:pt idx="66">
                  <c:v>519.22304135366949</c:v>
                </c:pt>
                <c:pt idx="67">
                  <c:v>440.49264125358167</c:v>
                </c:pt>
                <c:pt idx="68">
                  <c:v>457.5236501544295</c:v>
                </c:pt>
                <c:pt idx="69">
                  <c:v>474.54112349078923</c:v>
                </c:pt>
                <c:pt idx="70">
                  <c:v>491.54561476931968</c:v>
                </c:pt>
                <c:pt idx="71">
                  <c:v>508.53763609585832</c:v>
                </c:pt>
                <c:pt idx="72">
                  <c:v>525.51766258042323</c:v>
                </c:pt>
                <c:pt idx="73">
                  <c:v>542.48613614347107</c:v>
                </c:pt>
                <c:pt idx="74">
                  <c:v>559.4434688213463</c:v>
                </c:pt>
                <c:pt idx="75">
                  <c:v>485.29860499528695</c:v>
                </c:pt>
                <c:pt idx="76">
                  <c:v>501.93248910958238</c:v>
                </c:pt>
                <c:pt idx="77">
                  <c:v>518.55471213509702</c:v>
                </c:pt>
                <c:pt idx="78">
                  <c:v>535.16570030783839</c:v>
                </c:pt>
                <c:pt idx="79">
                  <c:v>551.76585126050918</c:v>
                </c:pt>
                <c:pt idx="80">
                  <c:v>568.35553676247412</c:v>
                </c:pt>
                <c:pt idx="81">
                  <c:v>584.93510512333023</c:v>
                </c:pt>
                <c:pt idx="82">
                  <c:v>601.50488330993562</c:v>
                </c:pt>
                <c:pt idx="83">
                  <c:v>618.06517881816455</c:v>
                </c:pt>
                <c:pt idx="84">
                  <c:v>634.61628133374438</c:v>
                </c:pt>
                <c:pt idx="85">
                  <c:v>533.02796493069138</c:v>
                </c:pt>
                <c:pt idx="86">
                  <c:v>548.89118988157031</c:v>
                </c:pt>
                <c:pt idx="87">
                  <c:v>564.74480274574603</c:v>
                </c:pt>
                <c:pt idx="88">
                  <c:v>580.58911121317794</c:v>
                </c:pt>
                <c:pt idx="89">
                  <c:v>596.42440482023801</c:v>
                </c:pt>
                <c:pt idx="90">
                  <c:v>612.2509564842436</c:v>
                </c:pt>
                <c:pt idx="91">
                  <c:v>628.0690238711569</c:v>
                </c:pt>
                <c:pt idx="92">
                  <c:v>643.87885061841985</c:v>
                </c:pt>
                <c:pt idx="93">
                  <c:v>659.68066743151769</c:v>
                </c:pt>
                <c:pt idx="94">
                  <c:v>675.47469307008441</c:v>
                </c:pt>
                <c:pt idx="95">
                  <c:v>572.83722659071452</c:v>
                </c:pt>
                <c:pt idx="96">
                  <c:v>588.21087078119456</c:v>
                </c:pt>
                <c:pt idx="97">
                  <c:v>603.57614857633223</c:v>
                </c:pt>
                <c:pt idx="98">
                  <c:v>618.93330283910791</c:v>
                </c:pt>
                <c:pt idx="99">
                  <c:v>634.28256340509904</c:v>
                </c:pt>
                <c:pt idx="100">
                  <c:v>649.62414808612709</c:v>
                </c:pt>
                <c:pt idx="101">
                  <c:v>664.95826357422709</c:v>
                </c:pt>
                <c:pt idx="102">
                  <c:v>680.28510625795423</c:v>
                </c:pt>
                <c:pt idx="103">
                  <c:v>695.60486296134877</c:v>
                </c:pt>
                <c:pt idx="104">
                  <c:v>710.91771161446911</c:v>
                </c:pt>
                <c:pt idx="105">
                  <c:v>611.3521021020731</c:v>
                </c:pt>
                <c:pt idx="106">
                  <c:v>626.49159753762979</c:v>
                </c:pt>
                <c:pt idx="107">
                  <c:v>641.62352318685794</c:v>
                </c:pt>
                <c:pt idx="108">
                  <c:v>656.74808261198393</c:v>
                </c:pt>
                <c:pt idx="109">
                  <c:v>671.86546924103743</c:v>
                </c:pt>
                <c:pt idx="110">
                  <c:v>686.97586709375025</c:v>
                </c:pt>
                <c:pt idx="111">
                  <c:v>702.07945144031191</c:v>
                </c:pt>
                <c:pt idx="112">
                  <c:v>717.17638940053257</c:v>
                </c:pt>
                <c:pt idx="113">
                  <c:v>732.26684048997402</c:v>
                </c:pt>
                <c:pt idx="114">
                  <c:v>747.35095711875499</c:v>
                </c:pt>
                <c:pt idx="115">
                  <c:v>655.85624900138566</c:v>
                </c:pt>
                <c:pt idx="116">
                  <c:v>671.08262465023415</c:v>
                </c:pt>
                <c:pt idx="117">
                  <c:v>686.30190130011806</c:v>
                </c:pt>
                <c:pt idx="118">
                  <c:v>701.51425844303503</c:v>
                </c:pt>
                <c:pt idx="119">
                  <c:v>716.71986715745197</c:v>
                </c:pt>
                <c:pt idx="120">
                  <c:v>731.9188906764839</c:v>
                </c:pt>
                <c:pt idx="121">
                  <c:v>747.11148490646144</c:v>
                </c:pt>
                <c:pt idx="122">
                  <c:v>762.29779890116197</c:v>
                </c:pt>
                <c:pt idx="123">
                  <c:v>777.4779752963168</c:v>
                </c:pt>
                <c:pt idx="124">
                  <c:v>792.65215070845068</c:v>
                </c:pt>
                <c:pt idx="125">
                  <c:v>708.15897088118447</c:v>
                </c:pt>
                <c:pt idx="126">
                  <c:v>723.51002509571629</c:v>
                </c:pt>
                <c:pt idx="127">
                  <c:v>738.85443683817709</c:v>
                </c:pt>
                <c:pt idx="128">
                  <c:v>754.19236338172016</c:v>
                </c:pt>
                <c:pt idx="129">
                  <c:v>769.52395508640473</c:v>
                </c:pt>
                <c:pt idx="130">
                  <c:v>784.84935583757169</c:v>
                </c:pt>
                <c:pt idx="131">
                  <c:v>800.16870344823099</c:v>
                </c:pt>
                <c:pt idx="132">
                  <c:v>815.48213002906016</c:v>
                </c:pt>
                <c:pt idx="133">
                  <c:v>830.78976232919547</c:v>
                </c:pt>
                <c:pt idx="134">
                  <c:v>846.09172205062214</c:v>
                </c:pt>
                <c:pt idx="135">
                  <c:v>757.28768467884549</c:v>
                </c:pt>
                <c:pt idx="136">
                  <c:v>772.78705124330099</c:v>
                </c:pt>
                <c:pt idx="137">
                  <c:v>788.28012003213962</c:v>
                </c:pt>
                <c:pt idx="138">
                  <c:v>803.76703215089447</c:v>
                </c:pt>
                <c:pt idx="139">
                  <c:v>819.24792282918395</c:v>
                </c:pt>
                <c:pt idx="140">
                  <c:v>834.72292177407928</c:v>
                </c:pt>
                <c:pt idx="141">
                  <c:v>850.19215349593026</c:v>
                </c:pt>
                <c:pt idx="142">
                  <c:v>865.655737609271</c:v>
                </c:pt>
                <c:pt idx="143">
                  <c:v>881.11378911112968</c:v>
                </c:pt>
                <c:pt idx="144">
                  <c:v>896.56641863881293</c:v>
                </c:pt>
                <c:pt idx="145">
                  <c:v>806.17522547859323</c:v>
                </c:pt>
                <c:pt idx="146">
                  <c:v>821.97007970060247</c:v>
                </c:pt>
                <c:pt idx="147">
                  <c:v>837.75882317181595</c:v>
                </c:pt>
                <c:pt idx="148">
                  <c:v>853.54158716852999</c:v>
                </c:pt>
                <c:pt idx="149">
                  <c:v>869.31849772135058</c:v>
                </c:pt>
                <c:pt idx="150">
                  <c:v>885.0896759181478</c:v>
                </c:pt>
                <c:pt idx="151">
                  <c:v>900.85523818431557</c:v>
                </c:pt>
                <c:pt idx="152">
                  <c:v>916.61529654241701</c:v>
                </c:pt>
                <c:pt idx="153">
                  <c:v>932.36995885306271</c:v>
                </c:pt>
                <c:pt idx="154">
                  <c:v>948.11932903868717</c:v>
                </c:pt>
                <c:pt idx="155">
                  <c:v>859.72606876661303</c:v>
                </c:pt>
                <c:pt idx="156">
                  <c:v>875.72426983086791</c:v>
                </c:pt>
                <c:pt idx="157">
                  <c:v>891.71662406952885</c:v>
                </c:pt>
                <c:pt idx="158">
                  <c:v>907.70325100068385</c:v>
                </c:pt>
                <c:pt idx="159">
                  <c:v>923.68426559393322</c:v>
                </c:pt>
                <c:pt idx="160">
                  <c:v>939.65977852079175</c:v>
                </c:pt>
                <c:pt idx="161">
                  <c:v>955.62989638719603</c:v>
                </c:pt>
                <c:pt idx="162">
                  <c:v>971.59472194968396</c:v>
                </c:pt>
                <c:pt idx="163">
                  <c:v>987.5543543166408</c:v>
                </c:pt>
                <c:pt idx="164">
                  <c:v>1003.5088891358791</c:v>
                </c:pt>
                <c:pt idx="165">
                  <c:v>906.99142386114011</c:v>
                </c:pt>
                <c:pt idx="166">
                  <c:v>923.16761448039449</c:v>
                </c:pt>
                <c:pt idx="167">
                  <c:v>939.33816477131688</c:v>
                </c:pt>
                <c:pt idx="168">
                  <c:v>955.50318539760417</c:v>
                </c:pt>
                <c:pt idx="169">
                  <c:v>971.66278297777069</c:v>
                </c:pt>
                <c:pt idx="170">
                  <c:v>987.81706029919678</c:v>
                </c:pt>
                <c:pt idx="171">
                  <c:v>1003.9661165174626</c:v>
                </c:pt>
                <c:pt idx="172">
                  <c:v>1020.110047342211</c:v>
                </c:pt>
                <c:pt idx="173">
                  <c:v>1036.2489452106438</c:v>
                </c:pt>
                <c:pt idx="174">
                  <c:v>1052.3828994496685</c:v>
                </c:pt>
                <c:pt idx="175">
                  <c:v>655.42683872404962</c:v>
                </c:pt>
                <c:pt idx="176">
                  <c:v>665.6904538499931</c:v>
                </c:pt>
                <c:pt idx="177">
                  <c:v>675.95081434243241</c:v>
                </c:pt>
                <c:pt idx="178">
                  <c:v>461.98583471884461</c:v>
                </c:pt>
                <c:pt idx="179">
                  <c:v>468.23678805666754</c:v>
                </c:pt>
                <c:pt idx="180">
                  <c:v>474.48596332749122</c:v>
                </c:pt>
                <c:pt idx="181">
                  <c:v>328.57803905562486</c:v>
                </c:pt>
                <c:pt idx="182">
                  <c:v>332.35523417935661</c:v>
                </c:pt>
                <c:pt idx="183">
                  <c:v>336.13148279796388</c:v>
                </c:pt>
                <c:pt idx="184">
                  <c:v>1.039519189921296E-11</c:v>
                </c:pt>
                <c:pt idx="185">
                  <c:v>1.039519189921296E-11</c:v>
                </c:pt>
                <c:pt idx="186">
                  <c:v>1.039519189921296E-11</c:v>
                </c:pt>
                <c:pt idx="187">
                  <c:v>1.039519189921296E-11</c:v>
                </c:pt>
                <c:pt idx="188">
                  <c:v>1.039519189921296E-11</c:v>
                </c:pt>
                <c:pt idx="189">
                  <c:v>1.039519189921296E-11</c:v>
                </c:pt>
                <c:pt idx="190">
                  <c:v>1.039519189921296E-11</c:v>
                </c:pt>
                <c:pt idx="191">
                  <c:v>1.039519189921296E-11</c:v>
                </c:pt>
                <c:pt idx="192">
                  <c:v>1.039519189921296E-11</c:v>
                </c:pt>
                <c:pt idx="193">
                  <c:v>1.039519189921296E-11</c:v>
                </c:pt>
                <c:pt idx="194">
                  <c:v>1.039519189921296E-11</c:v>
                </c:pt>
                <c:pt idx="195">
                  <c:v>1.039519189921296E-11</c:v>
                </c:pt>
                <c:pt idx="196">
                  <c:v>1.039519189921296E-11</c:v>
                </c:pt>
                <c:pt idx="197">
                  <c:v>1.039519189921296E-11</c:v>
                </c:pt>
                <c:pt idx="198">
                  <c:v>1.039519189921296E-11</c:v>
                </c:pt>
                <c:pt idx="199">
                  <c:v>1.039519189921296E-11</c:v>
                </c:pt>
                <c:pt idx="200">
                  <c:v>1.039519189921296E-11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9.5616949382660383</c:v>
                </c:pt>
                <c:pt idx="2">
                  <c:v>18.705313109464633</c:v>
                </c:pt>
                <c:pt idx="3">
                  <c:v>27.713913471041348</c:v>
                </c:pt>
                <c:pt idx="4">
                  <c:v>36.63928571324923</c:v>
                </c:pt>
                <c:pt idx="5">
                  <c:v>45.504902621489315</c:v>
                </c:pt>
                <c:pt idx="6">
                  <c:v>54.324154052570456</c:v>
                </c:pt>
                <c:pt idx="7">
                  <c:v>63.105671929451027</c:v>
                </c:pt>
                <c:pt idx="8">
                  <c:v>71.855468727259591</c:v>
                </c:pt>
                <c:pt idx="9">
                  <c:v>80.577963691700518</c:v>
                </c:pt>
                <c:pt idx="10">
                  <c:v>89.276536401515969</c:v>
                </c:pt>
                <c:pt idx="11">
                  <c:v>97.953851406261848</c:v>
                </c:pt>
                <c:pt idx="12">
                  <c:v>106.6120610047026</c:v>
                </c:pt>
                <c:pt idx="13">
                  <c:v>115.25293832361577</c:v>
                </c:pt>
                <c:pt idx="14">
                  <c:v>123.87796820488852</c:v>
                </c:pt>
                <c:pt idx="15">
                  <c:v>132.4884113504034</c:v>
                </c:pt>
                <c:pt idx="16">
                  <c:v>141.08535085862869</c:v>
                </c:pt>
                <c:pt idx="17">
                  <c:v>149.66972678860873</c:v>
                </c:pt>
                <c:pt idx="18">
                  <c:v>158.24236235660359</c:v>
                </c:pt>
                <c:pt idx="19">
                  <c:v>166.80398414435732</c:v>
                </c:pt>
                <c:pt idx="20">
                  <c:v>175.35523793162534</c:v>
                </c:pt>
                <c:pt idx="21">
                  <c:v>183.89670127221041</c:v>
                </c:pt>
                <c:pt idx="22">
                  <c:v>192.42889360669196</c:v>
                </c:pt>
                <c:pt idx="23">
                  <c:v>200.95228448450212</c:v>
                </c:pt>
                <c:pt idx="24">
                  <c:v>209.4673003157277</c:v>
                </c:pt>
                <c:pt idx="25">
                  <c:v>217.97432996590248</c:v>
                </c:pt>
                <c:pt idx="26">
                  <c:v>226.47372943043516</c:v>
                </c:pt>
                <c:pt idx="27">
                  <c:v>234.96582576966659</c:v>
                </c:pt>
                <c:pt idx="28">
                  <c:v>243.45092044456825</c:v>
                </c:pt>
                <c:pt idx="29">
                  <c:v>251.92929216251972</c:v>
                </c:pt>
                <c:pt idx="30">
                  <c:v>260.40119931953944</c:v>
                </c:pt>
                <c:pt idx="31">
                  <c:v>268.86688210773553</c:v>
                </c:pt>
                <c:pt idx="32">
                  <c:v>277.32656434318966</c:v>
                </c:pt>
                <c:pt idx="33">
                  <c:v>285.78045505893664</c:v>
                </c:pt>
                <c:pt idx="34">
                  <c:v>294.2287498994304</c:v>
                </c:pt>
                <c:pt idx="35">
                  <c:v>302.67163234634512</c:v>
                </c:pt>
                <c:pt idx="36">
                  <c:v>311.10927480034724</c:v>
                </c:pt>
                <c:pt idx="37">
                  <c:v>319.5418395392914</c:v>
                </c:pt>
                <c:pt idx="38">
                  <c:v>327.96947956991511</c:v>
                </c:pt>
                <c:pt idx="39">
                  <c:v>336.39233938735816</c:v>
                </c:pt>
                <c:pt idx="40">
                  <c:v>344.81055565459184</c:v>
                </c:pt>
                <c:pt idx="41">
                  <c:v>353.2242578119924</c:v>
                </c:pt>
                <c:pt idx="42">
                  <c:v>361.6335686257687</c:v>
                </c:pt>
                <c:pt idx="43">
                  <c:v>288.27072916376034</c:v>
                </c:pt>
                <c:pt idx="44">
                  <c:v>308.62518568141826</c:v>
                </c:pt>
                <c:pt idx="45">
                  <c:v>328.94983583510964</c:v>
                </c:pt>
                <c:pt idx="46">
                  <c:v>349.24677945570858</c:v>
                </c:pt>
                <c:pt idx="47">
                  <c:v>369.51785243596299</c:v>
                </c:pt>
                <c:pt idx="48">
                  <c:v>389.76467286577935</c:v>
                </c:pt>
                <c:pt idx="49">
                  <c:v>409.98867707683922</c:v>
                </c:pt>
                <c:pt idx="50">
                  <c:v>430.19114820235546</c:v>
                </c:pt>
                <c:pt idx="51">
                  <c:v>374.0299946718726</c:v>
                </c:pt>
                <c:pt idx="52">
                  <c:v>394.66558084481431</c:v>
                </c:pt>
                <c:pt idx="53">
                  <c:v>415.27778963859856</c:v>
                </c:pt>
                <c:pt idx="54">
                  <c:v>435.8679438632073</c:v>
                </c:pt>
                <c:pt idx="55">
                  <c:v>456.43723122622731</c:v>
                </c:pt>
                <c:pt idx="56">
                  <c:v>476.98672372207147</c:v>
                </c:pt>
                <c:pt idx="57">
                  <c:v>497.51739350639696</c:v>
                </c:pt>
                <c:pt idx="58">
                  <c:v>518.0301260144621</c:v>
                </c:pt>
                <c:pt idx="59">
                  <c:v>441.33318735024449</c:v>
                </c:pt>
                <c:pt idx="60">
                  <c:v>461.24899603079712</c:v>
                </c:pt>
                <c:pt idx="61">
                  <c:v>481.14646030941248</c:v>
                </c:pt>
                <c:pt idx="62">
                  <c:v>501.02644502286307</c:v>
                </c:pt>
                <c:pt idx="63">
                  <c:v>520.88974082713423</c:v>
                </c:pt>
                <c:pt idx="64">
                  <c:v>540.73707320387359</c:v>
                </c:pt>
                <c:pt idx="65">
                  <c:v>560.56911007631913</c:v>
                </c:pt>
                <c:pt idx="66">
                  <c:v>580.38646829195295</c:v>
                </c:pt>
                <c:pt idx="67">
                  <c:v>492.36159904668904</c:v>
                </c:pt>
                <c:pt idx="68">
                  <c:v>511.40290568116535</c:v>
                </c:pt>
                <c:pt idx="69">
                  <c:v>530.42924301057599</c:v>
                </c:pt>
                <c:pt idx="70">
                  <c:v>549.44122317119627</c:v>
                </c:pt>
                <c:pt idx="71">
                  <c:v>568.43941251314141</c:v>
                </c:pt>
                <c:pt idx="72">
                  <c:v>587.42433647196356</c:v>
                </c:pt>
                <c:pt idx="73">
                  <c:v>606.39648377808339</c:v>
                </c:pt>
                <c:pt idx="74">
                  <c:v>625.35631011236683</c:v>
                </c:pt>
                <c:pt idx="75">
                  <c:v>542.45669606323679</c:v>
                </c:pt>
                <c:pt idx="76">
                  <c:v>561.05440928576149</c:v>
                </c:pt>
                <c:pt idx="77">
                  <c:v>579.63922623081567</c:v>
                </c:pt>
                <c:pt idx="78">
                  <c:v>598.21161828301217</c:v>
                </c:pt>
                <c:pt idx="79">
                  <c:v>616.77202519388391</c:v>
                </c:pt>
                <c:pt idx="80">
                  <c:v>635.3208581120781</c:v>
                </c:pt>
                <c:pt idx="81">
                  <c:v>653.85850224152387</c:v>
                </c:pt>
                <c:pt idx="82">
                  <c:v>672.38531918270314</c:v>
                </c:pt>
                <c:pt idx="83">
                  <c:v>690.90164900267018</c:v>
                </c:pt>
                <c:pt idx="84">
                  <c:v>709.40781207181215</c:v>
                </c:pt>
                <c:pt idx="85">
                  <c:v>595.82145440707143</c:v>
                </c:pt>
                <c:pt idx="86">
                  <c:v>613.55789548994426</c:v>
                </c:pt>
                <c:pt idx="87">
                  <c:v>631.2837063358362</c:v>
                </c:pt>
                <c:pt idx="88">
                  <c:v>648.99922722644521</c:v>
                </c:pt>
                <c:pt idx="89">
                  <c:v>666.70477836698205</c:v>
                </c:pt>
                <c:pt idx="90">
                  <c:v>684.40066158324714</c:v>
                </c:pt>
                <c:pt idx="91">
                  <c:v>702.08716183420108</c:v>
                </c:pt>
                <c:pt idx="92">
                  <c:v>719.76454856432804</c:v>
                </c:pt>
                <c:pt idx="93">
                  <c:v>737.43307691635209</c:v>
                </c:pt>
                <c:pt idx="94">
                  <c:v>755.09298882179371</c:v>
                </c:pt>
                <c:pt idx="95">
                  <c:v>640.33183130100645</c:v>
                </c:pt>
                <c:pt idx="96">
                  <c:v>657.52115573561741</c:v>
                </c:pt>
                <c:pt idx="97">
                  <c:v>674.70122757316892</c:v>
                </c:pt>
                <c:pt idx="98">
                  <c:v>691.87231540164976</c:v>
                </c:pt>
                <c:pt idx="99">
                  <c:v>709.0346734017312</c:v>
                </c:pt>
                <c:pt idx="100">
                  <c:v>726.18854245672571</c:v>
                </c:pt>
                <c:pt idx="101">
                  <c:v>743.33415115230719</c:v>
                </c:pt>
                <c:pt idx="102">
                  <c:v>760.4717166792833</c:v>
                </c:pt>
                <c:pt idx="103">
                  <c:v>777.60144565083658</c:v>
                </c:pt>
                <c:pt idx="104">
                  <c:v>794.72353484408177</c:v>
                </c:pt>
                <c:pt idx="105">
                  <c:v>683.39563744279849</c:v>
                </c:pt>
                <c:pt idx="106">
                  <c:v>700.32340506833361</c:v>
                </c:pt>
                <c:pt idx="107">
                  <c:v>717.24280108580388</c:v>
                </c:pt>
                <c:pt idx="108">
                  <c:v>734.15405061955198</c:v>
                </c:pt>
                <c:pt idx="109">
                  <c:v>751.05736758627074</c:v>
                </c:pt>
                <c:pt idx="110">
                  <c:v>767.95295549779041</c:v>
                </c:pt>
                <c:pt idx="111">
                  <c:v>784.84100818961235</c:v>
                </c:pt>
                <c:pt idx="112">
                  <c:v>801.7217104835396</c:v>
                </c:pt>
                <c:pt idx="113">
                  <c:v>818.59523879165329</c:v>
                </c:pt>
                <c:pt idx="114">
                  <c:v>835.46176166795476</c:v>
                </c:pt>
                <c:pt idx="115">
                  <c:v>733.15686072460585</c:v>
                </c:pt>
                <c:pt idx="116">
                  <c:v>750.18203757377194</c:v>
                </c:pt>
                <c:pt idx="117">
                  <c:v>767.199363469898</c:v>
                </c:pt>
                <c:pt idx="118">
                  <c:v>784.20903691748515</c:v>
                </c:pt>
                <c:pt idx="119">
                  <c:v>801.21124711630875</c:v>
                </c:pt>
                <c:pt idx="120">
                  <c:v>818.20617458978086</c:v>
                </c:pt>
                <c:pt idx="121">
                  <c:v>835.19399175844899</c:v>
                </c:pt>
                <c:pt idx="122">
                  <c:v>852.17486346445639</c:v>
                </c:pt>
                <c:pt idx="123">
                  <c:v>869.14894745207482</c:v>
                </c:pt>
                <c:pt idx="124">
                  <c:v>886.1163948087933</c:v>
                </c:pt>
                <c:pt idx="125">
                  <c:v>791.63883779902199</c:v>
                </c:pt>
                <c:pt idx="126">
                  <c:v>808.80371461740867</c:v>
                </c:pt>
                <c:pt idx="127">
                  <c:v>825.96124536678508</c:v>
                </c:pt>
                <c:pt idx="128">
                  <c:v>843.1116039792995</c:v>
                </c:pt>
                <c:pt idx="129">
                  <c:v>860.25495674174408</c:v>
                </c:pt>
                <c:pt idx="130">
                  <c:v>877.39146278036435</c:v>
                </c:pt>
                <c:pt idx="131">
                  <c:v>894.52127450587011</c:v>
                </c:pt>
                <c:pt idx="132">
                  <c:v>911.64453802262517</c:v>
                </c:pt>
                <c:pt idx="133">
                  <c:v>928.76139350553524</c:v>
                </c:pt>
                <c:pt idx="134">
                  <c:v>945.87197554774275</c:v>
                </c:pt>
                <c:pt idx="135">
                  <c:v>846.57269862596866</c:v>
                </c:pt>
                <c:pt idx="136">
                  <c:v>863.90366853717831</c:v>
                </c:pt>
                <c:pt idx="137">
                  <c:v>881.22767358744534</c:v>
                </c:pt>
                <c:pt idx="138">
                  <c:v>898.54486982875926</c:v>
                </c:pt>
                <c:pt idx="139">
                  <c:v>915.85540681479506</c:v>
                </c:pt>
                <c:pt idx="140">
                  <c:v>933.15942799170989</c:v>
                </c:pt>
                <c:pt idx="141">
                  <c:v>950.45707105848317</c:v>
                </c:pt>
                <c:pt idx="142">
                  <c:v>967.74846829969408</c:v>
                </c:pt>
                <c:pt idx="143">
                  <c:v>985.03374689331122</c:v>
                </c:pt>
                <c:pt idx="144">
                  <c:v>1002.3130291957826</c:v>
                </c:pt>
                <c:pt idx="145">
                  <c:v>901.23767646995248</c:v>
                </c:pt>
                <c:pt idx="146">
                  <c:v>918.89929586045457</c:v>
                </c:pt>
                <c:pt idx="147">
                  <c:v>936.55415722524458</c:v>
                </c:pt>
                <c:pt idx="148">
                  <c:v>954.20240574592299</c:v>
                </c:pt>
                <c:pt idx="149">
                  <c:v>971.84418080275736</c:v>
                </c:pt>
                <c:pt idx="150">
                  <c:v>989.47961630972395</c:v>
                </c:pt>
                <c:pt idx="151">
                  <c:v>1007.108841024456</c:v>
                </c:pt>
                <c:pt idx="152">
                  <c:v>1024.7319788353882</c:v>
                </c:pt>
                <c:pt idx="153">
                  <c:v>1042.349149028156</c:v>
                </c:pt>
                <c:pt idx="154">
                  <c:v>1059.9604665330687</c:v>
                </c:pt>
                <c:pt idx="155">
                  <c:v>961.1178977893378</c:v>
                </c:pt>
                <c:pt idx="156">
                  <c:v>979.00714902772279</c:v>
                </c:pt>
                <c:pt idx="157">
                  <c:v>996.88993412159937</c:v>
                </c:pt>
                <c:pt idx="158">
                  <c:v>1014.7663852488846</c:v>
                </c:pt>
                <c:pt idx="159">
                  <c:v>1032.6366295572141</c:v>
                </c:pt>
                <c:pt idx="160">
                  <c:v>1050.5007894408673</c:v>
                </c:pt>
                <c:pt idx="161">
                  <c:v>1068.3589827979044</c:v>
                </c:pt>
                <c:pt idx="162">
                  <c:v>1086.211323269242</c:v>
                </c:pt>
                <c:pt idx="163">
                  <c:v>1104.0579204612179</c:v>
                </c:pt>
                <c:pt idx="164">
                  <c:v>1121.8988801530404</c:v>
                </c:pt>
                <c:pt idx="165">
                  <c:v>1013.9704095406892</c:v>
                </c:pt>
                <c:pt idx="166">
                  <c:v>1032.0589003654065</c:v>
                </c:pt>
                <c:pt idx="167">
                  <c:v>1050.1411534158851</c:v>
                </c:pt>
                <c:pt idx="168">
                  <c:v>1068.2172910777583</c:v>
                </c:pt>
                <c:pt idx="169">
                  <c:v>1086.2874312629961</c:v>
                </c:pt>
                <c:pt idx="170">
                  <c:v>1104.3516876466244</c:v>
                </c:pt>
                <c:pt idx="171">
                  <c:v>1122.4101698871759</c:v>
                </c:pt>
                <c:pt idx="172">
                  <c:v>1140.4629838322371</c:v>
                </c:pt>
                <c:pt idx="173">
                  <c:v>1158.510231710324</c:v>
                </c:pt>
                <c:pt idx="174">
                  <c:v>1176.5520123102044</c:v>
                </c:pt>
                <c:pt idx="175">
                  <c:v>732.67672240369313</c:v>
                </c:pt>
                <c:pt idx="176">
                  <c:v>744.15284084631367</c:v>
                </c:pt>
                <c:pt idx="177">
                  <c:v>755.62535991176446</c:v>
                </c:pt>
                <c:pt idx="178">
                  <c:v>516.39182276754491</c:v>
                </c:pt>
                <c:pt idx="179">
                  <c:v>523.38068013229065</c:v>
                </c:pt>
                <c:pt idx="180">
                  <c:v>530.36757109014115</c:v>
                </c:pt>
                <c:pt idx="181">
                  <c:v>367.24151226883578</c:v>
                </c:pt>
                <c:pt idx="182">
                  <c:v>371.46425432265534</c:v>
                </c:pt>
                <c:pt idx="183">
                  <c:v>375.68594961378062</c:v>
                </c:pt>
                <c:pt idx="184">
                  <c:v>1.1507534481029384E-11</c:v>
                </c:pt>
                <c:pt idx="185">
                  <c:v>1.1507534481029384E-11</c:v>
                </c:pt>
                <c:pt idx="186">
                  <c:v>1.1507534481029384E-11</c:v>
                </c:pt>
                <c:pt idx="187">
                  <c:v>1.1507534481029384E-11</c:v>
                </c:pt>
                <c:pt idx="188">
                  <c:v>1.1507534481029384E-11</c:v>
                </c:pt>
                <c:pt idx="189">
                  <c:v>1.1507534481029384E-11</c:v>
                </c:pt>
                <c:pt idx="190">
                  <c:v>1.1507534481029384E-11</c:v>
                </c:pt>
                <c:pt idx="191">
                  <c:v>1.1507534481029384E-11</c:v>
                </c:pt>
                <c:pt idx="192">
                  <c:v>1.1507534481029384E-11</c:v>
                </c:pt>
                <c:pt idx="193">
                  <c:v>1.1507534481029384E-11</c:v>
                </c:pt>
                <c:pt idx="194">
                  <c:v>1.1507534481029384E-11</c:v>
                </c:pt>
                <c:pt idx="195">
                  <c:v>1.1507534481029384E-11</c:v>
                </c:pt>
                <c:pt idx="196">
                  <c:v>1.1507534481029384E-11</c:v>
                </c:pt>
                <c:pt idx="197">
                  <c:v>1.1507534481029384E-11</c:v>
                </c:pt>
                <c:pt idx="198">
                  <c:v>1.1507534481029384E-11</c:v>
                </c:pt>
                <c:pt idx="199">
                  <c:v>1.1507534481029384E-11</c:v>
                </c:pt>
                <c:pt idx="200">
                  <c:v>1.1507534481029384E-11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10.697873679121644</c:v>
                </c:pt>
                <c:pt idx="2">
                  <c:v>20.932516085076113</c:v>
                </c:pt>
                <c:pt idx="3">
                  <c:v>31.01755804255291</c:v>
                </c:pt>
                <c:pt idx="4">
                  <c:v>41.010382802769584</c:v>
                </c:pt>
                <c:pt idx="5">
                  <c:v>50.936998336325331</c:v>
                </c:pt>
                <c:pt idx="6">
                  <c:v>60.812240675513003</c:v>
                </c:pt>
                <c:pt idx="7">
                  <c:v>70.645674036708257</c:v>
                </c:pt>
                <c:pt idx="8">
                  <c:v>80.443960274211804</c:v>
                </c:pt>
                <c:pt idx="9">
                  <c:v>90.211995935680207</c:v>
                </c:pt>
                <c:pt idx="10">
                  <c:v>99.953525612267143</c:v>
                </c:pt>
                <c:pt idx="11">
                  <c:v>109.67150163899915</c:v>
                </c:pt>
                <c:pt idx="12">
                  <c:v>119.36830877431153</c:v>
                </c:pt>
                <c:pt idx="13">
                  <c:v>129.04591165206915</c:v>
                </c:pt>
                <c:pt idx="14">
                  <c:v>138.70595548495052</c:v>
                </c:pt>
                <c:pt idx="15">
                  <c:v>148.34983713732183</c:v>
                </c:pt>
                <c:pt idx="16">
                  <c:v>157.97875668802465</c:v>
                </c:pt>
                <c:pt idx="17">
                  <c:v>167.59375572746134</c:v>
                </c:pt>
                <c:pt idx="18">
                  <c:v>177.1957463836101</c:v>
                </c:pt>
                <c:pt idx="19">
                  <c:v>186.78553371289306</c:v>
                </c:pt>
                <c:pt idx="20">
                  <c:v>196.36383324270105</c:v>
                </c:pt>
                <c:pt idx="21">
                  <c:v>205.93128490570788</c:v>
                </c:pt>
                <c:pt idx="22">
                  <c:v>215.48846424482792</c:v>
                </c:pt>
                <c:pt idx="23">
                  <c:v>225.03589152331995</c:v>
                </c:pt>
                <c:pt idx="24">
                  <c:v>234.57403920581942</c:v>
                </c:pt>
                <c:pt idx="25">
                  <c:v>244.10333815739855</c:v>
                </c:pt>
                <c:pt idx="26">
                  <c:v>253.62418282285617</c:v>
                </c:pt>
                <c:pt idx="27">
                  <c:v>263.13693558678312</c:v>
                </c:pt>
                <c:pt idx="28">
                  <c:v>272.64193046953295</c:v>
                </c:pt>
                <c:pt idx="29">
                  <c:v>282.13947628035925</c:v>
                </c:pt>
                <c:pt idx="30">
                  <c:v>291.62985932341957</c:v>
                </c:pt>
                <c:pt idx="31">
                  <c:v>301.11334573284222</c:v>
                </c:pt>
                <c:pt idx="32">
                  <c:v>310.59018349803188</c:v>
                </c:pt>
                <c:pt idx="33">
                  <c:v>320.06060422869842</c:v>
                </c:pt>
                <c:pt idx="34">
                  <c:v>329.52482469993373</c:v>
                </c:pt>
                <c:pt idx="35">
                  <c:v>338.98304821040489</c:v>
                </c:pt>
                <c:pt idx="36">
                  <c:v>348.4354657809638</c:v>
                </c:pt>
                <c:pt idx="37">
                  <c:v>357.8822572163333</c:v>
                </c:pt>
                <c:pt idx="38">
                  <c:v>367.32359204878929</c:v>
                </c:pt>
                <c:pt idx="39">
                  <c:v>376.75963037971229</c:v>
                </c:pt>
                <c:pt idx="40">
                  <c:v>386.19052363239865</c:v>
                </c:pt>
                <c:pt idx="41">
                  <c:v>395.61641522747095</c:v>
                </c:pt>
                <c:pt idx="42">
                  <c:v>405.03744119053925</c:v>
                </c:pt>
                <c:pt idx="43">
                  <c:v>322.8503321336421</c:v>
                </c:pt>
                <c:pt idx="44">
                  <c:v>345.65261463855882</c:v>
                </c:pt>
                <c:pt idx="45">
                  <c:v>368.42187153426613</c:v>
                </c:pt>
                <c:pt idx="46">
                  <c:v>391.16042944449879</c:v>
                </c:pt>
                <c:pt idx="47">
                  <c:v>413.87032254814943</c:v>
                </c:pt>
                <c:pt idx="48">
                  <c:v>436.55334369740831</c:v>
                </c:pt>
                <c:pt idx="49">
                  <c:v>459.21108435538889</c:v>
                </c:pt>
                <c:pt idx="50">
                  <c:v>481.84496624049012</c:v>
                </c:pt>
                <c:pt idx="51">
                  <c:v>418.92536354716867</c:v>
                </c:pt>
                <c:pt idx="52">
                  <c:v>442.04399684646955</c:v>
                </c:pt>
                <c:pt idx="53">
                  <c:v>465.13672788579447</c:v>
                </c:pt>
                <c:pt idx="54">
                  <c:v>488.20502234561246</c:v>
                </c:pt>
                <c:pt idx="55">
                  <c:v>511.25019621222356</c:v>
                </c:pt>
                <c:pt idx="56">
                  <c:v>534.27343726111724</c:v>
                </c:pt>
                <c:pt idx="57">
                  <c:v>557.2758226459124</c:v>
                </c:pt>
                <c:pt idx="58">
                  <c:v>580.25833343356715</c:v>
                </c:pt>
                <c:pt idx="59">
                  <c:v>494.32808234008002</c:v>
                </c:pt>
                <c:pt idx="60">
                  <c:v>516.64117991970966</c:v>
                </c:pt>
                <c:pt idx="61">
                  <c:v>538.9339518047916</c:v>
                </c:pt>
                <c:pt idx="62">
                  <c:v>561.20735623905227</c:v>
                </c:pt>
                <c:pt idx="63">
                  <c:v>583.46226927351302</c:v>
                </c:pt>
                <c:pt idx="64">
                  <c:v>605.6994947456833</c:v>
                </c:pt>
                <c:pt idx="65">
                  <c:v>627.91977271805001</c:v>
                </c:pt>
                <c:pt idx="66">
                  <c:v>650.12378666089182</c:v>
                </c:pt>
                <c:pt idx="67">
                  <c:v>551.49929368420896</c:v>
                </c:pt>
                <c:pt idx="68">
                  <c:v>572.83315745325365</c:v>
                </c:pt>
                <c:pt idx="69">
                  <c:v>594.15043515296759</c:v>
                </c:pt>
                <c:pt idx="70">
                  <c:v>615.45180503358813</c:v>
                </c:pt>
                <c:pt idx="71">
                  <c:v>636.73789461404351</c:v>
                </c:pt>
                <c:pt idx="72">
                  <c:v>658.00928607970911</c:v>
                </c:pt>
                <c:pt idx="73">
                  <c:v>679.26652094648159</c:v>
                </c:pt>
                <c:pt idx="74">
                  <c:v>700.51010411117386</c:v>
                </c:pt>
                <c:pt idx="75">
                  <c:v>607.6261930138877</c:v>
                </c:pt>
                <c:pt idx="76">
                  <c:v>628.46351561893096</c:v>
                </c:pt>
                <c:pt idx="77">
                  <c:v>649.2865490802036</c:v>
                </c:pt>
                <c:pt idx="78">
                  <c:v>670.09581569435466</c:v>
                </c:pt>
                <c:pt idx="79">
                  <c:v>690.89180270841234</c:v>
                </c:pt>
                <c:pt idx="80">
                  <c:v>711.6749656772563</c:v>
                </c:pt>
                <c:pt idx="81">
                  <c:v>732.44573140888122</c:v>
                </c:pt>
                <c:pt idx="82">
                  <c:v>753.20450055853701</c:v>
                </c:pt>
                <c:pt idx="83">
                  <c:v>773.95164992232174</c:v>
                </c:pt>
                <c:pt idx="84">
                  <c:v>794.68753447232154</c:v>
                </c:pt>
                <c:pt idx="85">
                  <c:v>667.41776999548608</c:v>
                </c:pt>
                <c:pt idx="86">
                  <c:v>687.29052425067437</c:v>
                </c:pt>
                <c:pt idx="87">
                  <c:v>707.15150014696167</c:v>
                </c:pt>
                <c:pt idx="88">
                  <c:v>727.00107471827221</c:v>
                </c:pt>
                <c:pt idx="89">
                  <c:v>746.83960275367644</c:v>
                </c:pt>
                <c:pt idx="90">
                  <c:v>766.66741867776</c:v>
                </c:pt>
                <c:pt idx="91">
                  <c:v>786.48483822656135</c:v>
                </c:pt>
                <c:pt idx="92">
                  <c:v>806.29215994599724</c:v>
                </c:pt>
                <c:pt idx="93">
                  <c:v>826.08966653555683</c:v>
                </c:pt>
                <c:pt idx="94">
                  <c:v>845.87762605664727</c:v>
                </c:pt>
                <c:pt idx="95">
                  <c:v>717.28956795524971</c:v>
                </c:pt>
                <c:pt idx="96">
                  <c:v>736.54961945805428</c:v>
                </c:pt>
                <c:pt idx="97">
                  <c:v>755.79941903429062</c:v>
                </c:pt>
                <c:pt idx="98">
                  <c:v>775.03926428087334</c:v>
                </c:pt>
                <c:pt idx="99">
                  <c:v>794.26943683133288</c:v>
                </c:pt>
                <c:pt idx="100">
                  <c:v>813.49020358565576</c:v>
                </c:pt>
                <c:pt idx="101">
                  <c:v>832.70181781797999</c:v>
                </c:pt>
                <c:pt idx="102">
                  <c:v>851.9045201768713</c:v>
                </c:pt>
                <c:pt idx="103">
                  <c:v>871.09853959083068</c:v>
                </c:pt>
                <c:pt idx="104">
                  <c:v>890.28409408994401</c:v>
                </c:pt>
                <c:pt idx="105">
                  <c:v>765.54130988373345</c:v>
                </c:pt>
                <c:pt idx="106">
                  <c:v>784.50857392504258</c:v>
                </c:pt>
                <c:pt idx="107">
                  <c:v>803.46656218025703</c:v>
                </c:pt>
                <c:pt idx="108">
                  <c:v>822.41552408834184</c:v>
                </c:pt>
                <c:pt idx="109">
                  <c:v>841.35569667012578</c:v>
                </c:pt>
                <c:pt idx="110">
                  <c:v>860.28730541779544</c:v>
                </c:pt>
                <c:pt idx="111">
                  <c:v>879.21056510211349</c:v>
                </c:pt>
                <c:pt idx="112">
                  <c:v>898.12568050661673</c:v>
                </c:pt>
                <c:pt idx="113">
                  <c:v>917.03284709682532</c:v>
                </c:pt>
                <c:pt idx="114">
                  <c:v>935.93225163146724</c:v>
                </c:pt>
                <c:pt idx="115">
                  <c:v>821.29817553157011</c:v>
                </c:pt>
                <c:pt idx="116">
                  <c:v>840.37488669161155</c:v>
                </c:pt>
                <c:pt idx="117">
                  <c:v>859.44289895408508</c:v>
                </c:pt>
                <c:pt idx="118">
                  <c:v>878.50243226302939</c:v>
                </c:pt>
                <c:pt idx="119">
                  <c:v>897.5536962527982</c:v>
                </c:pt>
                <c:pt idx="120">
                  <c:v>916.59689094428916</c:v>
                </c:pt>
                <c:pt idx="121">
                  <c:v>935.63220738038171</c:v>
                </c:pt>
                <c:pt idx="122">
                  <c:v>954.65982820704437</c:v>
                </c:pt>
                <c:pt idx="123">
                  <c:v>973.67992820576626</c:v>
                </c:pt>
                <c:pt idx="124">
                  <c:v>992.69267478228574</c:v>
                </c:pt>
                <c:pt idx="125">
                  <c:v>886.82763841790768</c:v>
                </c:pt>
                <c:pt idx="126">
                  <c:v>906.0612140289677</c:v>
                </c:pt>
                <c:pt idx="127">
                  <c:v>925.28665015663967</c:v>
                </c:pt>
                <c:pt idx="128">
                  <c:v>944.50413951866597</c:v>
                </c:pt>
                <c:pt idx="129">
                  <c:v>963.71386636169325</c:v>
                </c:pt>
                <c:pt idx="130">
                  <c:v>982.91600699844412</c:v>
                </c:pt>
                <c:pt idx="131">
                  <c:v>1002.1107303007938</c:v>
                </c:pt>
                <c:pt idx="132">
                  <c:v>1021.2981981531499</c:v>
                </c:pt>
                <c:pt idx="133">
                  <c:v>1040.4785658700523</c:v>
                </c:pt>
                <c:pt idx="134">
                  <c:v>1059.651982581415</c:v>
                </c:pt>
                <c:pt idx="135">
                  <c:v>948.38241021406191</c:v>
                </c:pt>
                <c:pt idx="136">
                  <c:v>967.80238678660589</c:v>
                </c:pt>
                <c:pt idx="137">
                  <c:v>987.21464625632098</c:v>
                </c:pt>
                <c:pt idx="138">
                  <c:v>1006.6193615296376</c:v>
                </c:pt>
                <c:pt idx="139">
                  <c:v>1026.0166983128211</c:v>
                </c:pt>
                <c:pt idx="140">
                  <c:v>1045.4068155449734</c:v>
                </c:pt>
                <c:pt idx="141">
                  <c:v>1064.7898657972935</c:v>
                </c:pt>
                <c:pt idx="142">
                  <c:v>1084.1659956417957</c:v>
                </c:pt>
                <c:pt idx="143">
                  <c:v>1103.5353459923433</c:v>
                </c:pt>
                <c:pt idx="144">
                  <c:v>1122.898052420529</c:v>
                </c:pt>
                <c:pt idx="145">
                  <c:v>1009.6367828368379</c:v>
                </c:pt>
                <c:pt idx="146">
                  <c:v>1029.4275392466598</c:v>
                </c:pt>
                <c:pt idx="147">
                  <c:v>1049.2108077281839</c:v>
                </c:pt>
                <c:pt idx="148">
                  <c:v>1068.9867491433936</c:v>
                </c:pt>
                <c:pt idx="149">
                  <c:v>1088.7555179263629</c:v>
                </c:pt>
                <c:pt idx="150">
                  <c:v>1108.5172624544873</c:v>
                </c:pt>
                <c:pt idx="151">
                  <c:v>1128.272125391906</c:v>
                </c:pt>
                <c:pt idx="152">
                  <c:v>1148.020244007663</c:v>
                </c:pt>
                <c:pt idx="153">
                  <c:v>1167.7617504708739</c:v>
                </c:pt>
                <c:pt idx="154">
                  <c:v>1187.4967721249293</c:v>
                </c:pt>
                <c:pt idx="155">
                  <c:v>1076.7360030319949</c:v>
                </c:pt>
                <c:pt idx="156">
                  <c:v>1096.7821175700071</c:v>
                </c:pt>
                <c:pt idx="157">
                  <c:v>1116.8210675856417</c:v>
                </c:pt>
                <c:pt idx="158">
                  <c:v>1136.8529995327315</c:v>
                </c:pt>
                <c:pt idx="159">
                  <c:v>1156.8780542915299</c:v>
                </c:pt>
                <c:pt idx="160">
                  <c:v>1176.8963674755485</c:v>
                </c:pt>
                <c:pt idx="161">
                  <c:v>1196.9080697164607</c:v>
                </c:pt>
                <c:pt idx="162">
                  <c:v>1216.9132869290058</c:v>
                </c:pt>
                <c:pt idx="163">
                  <c:v>1236.9121405575863</c:v>
                </c:pt>
                <c:pt idx="164">
                  <c:v>1256.904747806125</c:v>
                </c:pt>
                <c:pt idx="165">
                  <c:v>1135.9610461473376</c:v>
                </c:pt>
                <c:pt idx="166">
                  <c:v>1156.2306607786661</c:v>
                </c:pt>
                <c:pt idx="167">
                  <c:v>1176.493363923086</c:v>
                </c:pt>
                <c:pt idx="168">
                  <c:v>1196.7492911845277</c:v>
                </c:pt>
                <c:pt idx="169">
                  <c:v>1216.9985732100788</c:v>
                </c:pt>
                <c:pt idx="170">
                  <c:v>1237.24133595227</c:v>
                </c:pt>
                <c:pt idx="171">
                  <c:v>1257.477700913337</c:v>
                </c:pt>
                <c:pt idx="172">
                  <c:v>1277.7077853729659</c:v>
                </c:pt>
                <c:pt idx="173">
                  <c:v>1297.9317026008948</c:v>
                </c:pt>
                <c:pt idx="174">
                  <c:v>1318.1495620556013</c:v>
                </c:pt>
                <c:pt idx="175">
                  <c:v>820.76018197597557</c:v>
                </c:pt>
                <c:pt idx="176">
                  <c:v>833.61916023035883</c:v>
                </c:pt>
                <c:pt idx="177">
                  <c:v>846.47415035576603</c:v>
                </c:pt>
                <c:pt idx="178">
                  <c:v>578.42276692687403</c:v>
                </c:pt>
                <c:pt idx="179">
                  <c:v>586.25314140438206</c:v>
                </c:pt>
                <c:pt idx="180">
                  <c:v>594.08133709263075</c:v>
                </c:pt>
                <c:pt idx="181">
                  <c:v>411.32009984337014</c:v>
                </c:pt>
                <c:pt idx="182">
                  <c:v>416.05091276052389</c:v>
                </c:pt>
                <c:pt idx="183">
                  <c:v>420.78056585906558</c:v>
                </c:pt>
                <c:pt idx="184">
                  <c:v>1.2763269807694063E-11</c:v>
                </c:pt>
                <c:pt idx="185">
                  <c:v>1.2763269807694063E-11</c:v>
                </c:pt>
                <c:pt idx="186">
                  <c:v>1.2763269807694063E-11</c:v>
                </c:pt>
                <c:pt idx="187">
                  <c:v>1.2763269807694063E-11</c:v>
                </c:pt>
                <c:pt idx="188">
                  <c:v>1.2763269807694063E-11</c:v>
                </c:pt>
                <c:pt idx="189">
                  <c:v>1.2763269807694063E-11</c:v>
                </c:pt>
                <c:pt idx="190">
                  <c:v>1.2763269807694063E-11</c:v>
                </c:pt>
                <c:pt idx="191">
                  <c:v>1.2763269807694063E-11</c:v>
                </c:pt>
                <c:pt idx="192">
                  <c:v>1.2763269807694063E-11</c:v>
                </c:pt>
                <c:pt idx="193">
                  <c:v>1.2763269807694063E-11</c:v>
                </c:pt>
                <c:pt idx="194">
                  <c:v>1.2763269807694063E-11</c:v>
                </c:pt>
                <c:pt idx="195">
                  <c:v>1.2763269807694063E-11</c:v>
                </c:pt>
                <c:pt idx="196">
                  <c:v>1.2763269807694063E-11</c:v>
                </c:pt>
                <c:pt idx="197">
                  <c:v>1.2763269807694063E-11</c:v>
                </c:pt>
                <c:pt idx="198">
                  <c:v>1.2763269807694063E-11</c:v>
                </c:pt>
                <c:pt idx="199">
                  <c:v>1.2763269807694063E-11</c:v>
                </c:pt>
                <c:pt idx="200">
                  <c:v>1.2763269807694063E-11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2.8947863134240333</c:v>
                </c:pt>
                <c:pt idx="2">
                  <c:v>3.7521220187837465</c:v>
                </c:pt>
                <c:pt idx="3">
                  <c:v>4.8643831409622402</c:v>
                </c:pt>
                <c:pt idx="4">
                  <c:v>6.3076539875120945</c:v>
                </c:pt>
                <c:pt idx="5">
                  <c:v>8.1808057091026161</c:v>
                </c:pt>
                <c:pt idx="6">
                  <c:v>10.612342756268571</c:v>
                </c:pt>
                <c:pt idx="7">
                  <c:v>13.769312464295311</c:v>
                </c:pt>
                <c:pt idx="8">
                  <c:v>17.868901147279992</c:v>
                </c:pt>
                <c:pt idx="9">
                  <c:v>23.193528899141501</c:v>
                </c:pt>
                <c:pt idx="10">
                  <c:v>30.110501433229135</c:v>
                </c:pt>
                <c:pt idx="11">
                  <c:v>39.474015486961818</c:v>
                </c:pt>
                <c:pt idx="12">
                  <c:v>48.776942901623102</c:v>
                </c:pt>
                <c:pt idx="13">
                  <c:v>58.032566554667405</c:v>
                </c:pt>
                <c:pt idx="14">
                  <c:v>67.249535349304267</c:v>
                </c:pt>
                <c:pt idx="15">
                  <c:v>76.433914226248405</c:v>
                </c:pt>
                <c:pt idx="16">
                  <c:v>88.307424226932554</c:v>
                </c:pt>
                <c:pt idx="17">
                  <c:v>100.14081843559984</c:v>
                </c:pt>
                <c:pt idx="18">
                  <c:v>111.939515567703</c:v>
                </c:pt>
                <c:pt idx="19">
                  <c:v>123.70769426705674</c:v>
                </c:pt>
                <c:pt idx="20">
                  <c:v>135.44867077218274</c:v>
                </c:pt>
                <c:pt idx="21">
                  <c:v>96.446835612119642</c:v>
                </c:pt>
                <c:pt idx="22">
                  <c:v>107.76449501518044</c:v>
                </c:pt>
                <c:pt idx="23">
                  <c:v>119.05287806218496</c:v>
                </c:pt>
                <c:pt idx="24">
                  <c:v>130.31515592254621</c:v>
                </c:pt>
                <c:pt idx="25">
                  <c:v>141.55390545051856</c:v>
                </c:pt>
                <c:pt idx="26">
                  <c:v>124.4422715561264</c:v>
                </c:pt>
                <c:pt idx="27">
                  <c:v>135.44867077218274</c:v>
                </c:pt>
                <c:pt idx="28">
                  <c:v>146.43353271796315</c:v>
                </c:pt>
                <c:pt idx="29">
                  <c:v>157.39870247339442</c:v>
                </c:pt>
                <c:pt idx="30">
                  <c:v>168.34574659970932</c:v>
                </c:pt>
                <c:pt idx="31">
                  <c:v>149.35943432337433</c:v>
                </c:pt>
                <c:pt idx="32">
                  <c:v>159.58951541202774</c:v>
                </c:pt>
                <c:pt idx="33">
                  <c:v>169.80405753154631</c:v>
                </c:pt>
                <c:pt idx="34">
                  <c:v>180.0041281478268</c:v>
                </c:pt>
                <c:pt idx="35">
                  <c:v>190.19066370027167</c:v>
                </c:pt>
                <c:pt idx="36">
                  <c:v>170.53310214648332</c:v>
                </c:pt>
                <c:pt idx="37">
                  <c:v>180.0041281478268</c:v>
                </c:pt>
                <c:pt idx="38">
                  <c:v>189.4634846798111</c:v>
                </c:pt>
                <c:pt idx="39">
                  <c:v>198.911837132518</c:v>
                </c:pt>
                <c:pt idx="40">
                  <c:v>208.34978244075822</c:v>
                </c:pt>
                <c:pt idx="41">
                  <c:v>188.97866252857997</c:v>
                </c:pt>
                <c:pt idx="42">
                  <c:v>197.45893605819876</c:v>
                </c:pt>
                <c:pt idx="43">
                  <c:v>205.93075783265544</c:v>
                </c:pt>
                <c:pt idx="44">
                  <c:v>214.3945250013644</c:v>
                </c:pt>
                <c:pt idx="45">
                  <c:v>222.85060075554998</c:v>
                </c:pt>
                <c:pt idx="46">
                  <c:v>204.23705003754878</c:v>
                </c:pt>
                <c:pt idx="47">
                  <c:v>212.21887632373463</c:v>
                </c:pt>
                <c:pt idx="48">
                  <c:v>220.19378499862137</c:v>
                </c:pt>
                <c:pt idx="49">
                  <c:v>228.16206225141846</c:v>
                </c:pt>
                <c:pt idx="50">
                  <c:v>236.12397262360059</c:v>
                </c:pt>
                <c:pt idx="51">
                  <c:v>218.26109325373406</c:v>
                </c:pt>
                <c:pt idx="52">
                  <c:v>225.74811687122531</c:v>
                </c:pt>
                <c:pt idx="53">
                  <c:v>233.22945328448384</c:v>
                </c:pt>
                <c:pt idx="54">
                  <c:v>240.70531089310836</c:v>
                </c:pt>
                <c:pt idx="55">
                  <c:v>248.17588407773692</c:v>
                </c:pt>
                <c:pt idx="56">
                  <c:v>230.33411312840326</c:v>
                </c:pt>
                <c:pt idx="57">
                  <c:v>236.60631352423798</c:v>
                </c:pt>
                <c:pt idx="58">
                  <c:v>242.87472308772553</c:v>
                </c:pt>
                <c:pt idx="59">
                  <c:v>249.13945361026489</c:v>
                </c:pt>
                <c:pt idx="60">
                  <c:v>255.40061079374721</c:v>
                </c:pt>
                <c:pt idx="61">
                  <c:v>239.74098502440231</c:v>
                </c:pt>
                <c:pt idx="62">
                  <c:v>245.76658779902257</c:v>
                </c:pt>
                <c:pt idx="63">
                  <c:v>251.78883490429266</c:v>
                </c:pt>
                <c:pt idx="64">
                  <c:v>257.80781804825421</c:v>
                </c:pt>
                <c:pt idx="65">
                  <c:v>263.82362430075239</c:v>
                </c:pt>
                <c:pt idx="66">
                  <c:v>248.89856916975501</c:v>
                </c:pt>
                <c:pt idx="67">
                  <c:v>254.43758435569455</c:v>
                </c:pt>
                <c:pt idx="68">
                  <c:v>259.97386986565402</c:v>
                </c:pt>
                <c:pt idx="69">
                  <c:v>265.50749212536306</c:v>
                </c:pt>
                <c:pt idx="70">
                  <c:v>271.03851456134942</c:v>
                </c:pt>
                <c:pt idx="71">
                  <c:v>256.36355503466297</c:v>
                </c:pt>
                <c:pt idx="72">
                  <c:v>260.93642844508491</c:v>
                </c:pt>
                <c:pt idx="73">
                  <c:v>265.50749212536306</c:v>
                </c:pt>
                <c:pt idx="74">
                  <c:v>270.07678168542827</c:v>
                </c:pt>
                <c:pt idx="75">
                  <c:v>274.64433142982591</c:v>
                </c:pt>
                <c:pt idx="76">
                  <c:v>262.13951392097641</c:v>
                </c:pt>
                <c:pt idx="77">
                  <c:v>266.46959408660371</c:v>
                </c:pt>
                <c:pt idx="78">
                  <c:v>270.79808855395521</c:v>
                </c:pt>
                <c:pt idx="79">
                  <c:v>275.12502629249087</c:v>
                </c:pt>
                <c:pt idx="80">
                  <c:v>279.45043528446814</c:v>
                </c:pt>
                <c:pt idx="81">
                  <c:v>267.6721114637474</c:v>
                </c:pt>
                <c:pt idx="82">
                  <c:v>271.51935218223554</c:v>
                </c:pt>
                <c:pt idx="83">
                  <c:v>275.36536664429372</c:v>
                </c:pt>
                <c:pt idx="84">
                  <c:v>279.2101744269815</c:v>
                </c:pt>
                <c:pt idx="85">
                  <c:v>283.05379452318999</c:v>
                </c:pt>
                <c:pt idx="86">
                  <c:v>272.2405727016648</c:v>
                </c:pt>
                <c:pt idx="87">
                  <c:v>275.8460332123957</c:v>
                </c:pt>
                <c:pt idx="88">
                  <c:v>279.45043528446791</c:v>
                </c:pt>
                <c:pt idx="89">
                  <c:v>283.05379452318994</c:v>
                </c:pt>
                <c:pt idx="90">
                  <c:v>286.65612610337257</c:v>
                </c:pt>
                <c:pt idx="91">
                  <c:v>276.80730993793668</c:v>
                </c:pt>
                <c:pt idx="92">
                  <c:v>280.1711900671994</c:v>
                </c:pt>
                <c:pt idx="93">
                  <c:v>283.53416445003472</c:v>
                </c:pt>
                <c:pt idx="94">
                  <c:v>286.89624536695209</c:v>
                </c:pt>
                <c:pt idx="95">
                  <c:v>290.25744478659226</c:v>
                </c:pt>
                <c:pt idx="96">
                  <c:v>280.65167014301926</c:v>
                </c:pt>
                <c:pt idx="97">
                  <c:v>284.25468516355772</c:v>
                </c:pt>
                <c:pt idx="98">
                  <c:v>287.85667749117118</c:v>
                </c:pt>
                <c:pt idx="99">
                  <c:v>291.45766175336968</c:v>
                </c:pt>
                <c:pt idx="100">
                  <c:v>295.05765218605126</c:v>
                </c:pt>
                <c:pt idx="101">
                  <c:v>280.65167014301943</c:v>
                </c:pt>
                <c:pt idx="102">
                  <c:v>280.65167014301943</c:v>
                </c:pt>
                <c:pt idx="103">
                  <c:v>280.65167014301943</c:v>
                </c:pt>
                <c:pt idx="104">
                  <c:v>280.65167014301943</c:v>
                </c:pt>
                <c:pt idx="105">
                  <c:v>280.65167014301943</c:v>
                </c:pt>
                <c:pt idx="106">
                  <c:v>280.65167014301943</c:v>
                </c:pt>
                <c:pt idx="107">
                  <c:v>280.65167014301943</c:v>
                </c:pt>
                <c:pt idx="108">
                  <c:v>280.65167014301943</c:v>
                </c:pt>
                <c:pt idx="109">
                  <c:v>280.65167014301943</c:v>
                </c:pt>
                <c:pt idx="110">
                  <c:v>280.65167014301943</c:v>
                </c:pt>
                <c:pt idx="111">
                  <c:v>280.65167014301943</c:v>
                </c:pt>
                <c:pt idx="112">
                  <c:v>280.65167014301943</c:v>
                </c:pt>
                <c:pt idx="113">
                  <c:v>280.65167014301943</c:v>
                </c:pt>
                <c:pt idx="114">
                  <c:v>280.65167014301943</c:v>
                </c:pt>
                <c:pt idx="115">
                  <c:v>280.65167014301943</c:v>
                </c:pt>
                <c:pt idx="116">
                  <c:v>280.65167014301943</c:v>
                </c:pt>
                <c:pt idx="117">
                  <c:v>280.65167014301943</c:v>
                </c:pt>
                <c:pt idx="118">
                  <c:v>280.65167014301943</c:v>
                </c:pt>
                <c:pt idx="119">
                  <c:v>280.65167014301943</c:v>
                </c:pt>
                <c:pt idx="120">
                  <c:v>280.65167014301943</c:v>
                </c:pt>
                <c:pt idx="121">
                  <c:v>280.65167014301943</c:v>
                </c:pt>
                <c:pt idx="122">
                  <c:v>280.65167014301943</c:v>
                </c:pt>
                <c:pt idx="123">
                  <c:v>280.65167014301943</c:v>
                </c:pt>
                <c:pt idx="124">
                  <c:v>280.65167014301943</c:v>
                </c:pt>
                <c:pt idx="125">
                  <c:v>280.65167014301943</c:v>
                </c:pt>
                <c:pt idx="126">
                  <c:v>280.65167014301943</c:v>
                </c:pt>
                <c:pt idx="127">
                  <c:v>280.65167014301943</c:v>
                </c:pt>
                <c:pt idx="128">
                  <c:v>280.65167014301943</c:v>
                </c:pt>
                <c:pt idx="129">
                  <c:v>280.65167014301943</c:v>
                </c:pt>
                <c:pt idx="130">
                  <c:v>280.65167014301943</c:v>
                </c:pt>
                <c:pt idx="131">
                  <c:v>280.65167014301943</c:v>
                </c:pt>
                <c:pt idx="132">
                  <c:v>280.65167014301943</c:v>
                </c:pt>
                <c:pt idx="133">
                  <c:v>280.65167014301943</c:v>
                </c:pt>
                <c:pt idx="134">
                  <c:v>280.65167014301943</c:v>
                </c:pt>
                <c:pt idx="135">
                  <c:v>280.65167014301943</c:v>
                </c:pt>
                <c:pt idx="136">
                  <c:v>280.65167014301943</c:v>
                </c:pt>
                <c:pt idx="137">
                  <c:v>280.65167014301943</c:v>
                </c:pt>
                <c:pt idx="138">
                  <c:v>280.65167014301943</c:v>
                </c:pt>
                <c:pt idx="139">
                  <c:v>280.65167014301943</c:v>
                </c:pt>
                <c:pt idx="140">
                  <c:v>280.65167014301943</c:v>
                </c:pt>
                <c:pt idx="141">
                  <c:v>280.65167014301943</c:v>
                </c:pt>
                <c:pt idx="142">
                  <c:v>280.65167014301943</c:v>
                </c:pt>
                <c:pt idx="143">
                  <c:v>280.65167014301943</c:v>
                </c:pt>
                <c:pt idx="144">
                  <c:v>280.65167014301943</c:v>
                </c:pt>
                <c:pt idx="145">
                  <c:v>280.65167014301943</c:v>
                </c:pt>
                <c:pt idx="146">
                  <c:v>280.65167014301943</c:v>
                </c:pt>
                <c:pt idx="147">
                  <c:v>280.65167014301943</c:v>
                </c:pt>
                <c:pt idx="148">
                  <c:v>280.65167014301943</c:v>
                </c:pt>
                <c:pt idx="149">
                  <c:v>280.65167014301943</c:v>
                </c:pt>
                <c:pt idx="150">
                  <c:v>280.65167014301943</c:v>
                </c:pt>
                <c:pt idx="151">
                  <c:v>280.65167014301943</c:v>
                </c:pt>
                <c:pt idx="152">
                  <c:v>280.65167014301943</c:v>
                </c:pt>
                <c:pt idx="153">
                  <c:v>280.65167014301943</c:v>
                </c:pt>
                <c:pt idx="154">
                  <c:v>280.65167014301943</c:v>
                </c:pt>
                <c:pt idx="155">
                  <c:v>280.65167014301943</c:v>
                </c:pt>
                <c:pt idx="156">
                  <c:v>280.65167014301943</c:v>
                </c:pt>
                <c:pt idx="157">
                  <c:v>280.65167014301943</c:v>
                </c:pt>
                <c:pt idx="158">
                  <c:v>280.65167014301943</c:v>
                </c:pt>
                <c:pt idx="159">
                  <c:v>280.65167014301943</c:v>
                </c:pt>
                <c:pt idx="160">
                  <c:v>280.65167014301943</c:v>
                </c:pt>
                <c:pt idx="161">
                  <c:v>280.65167014301943</c:v>
                </c:pt>
                <c:pt idx="162">
                  <c:v>280.65167014301943</c:v>
                </c:pt>
                <c:pt idx="163">
                  <c:v>280.65167014301943</c:v>
                </c:pt>
                <c:pt idx="164">
                  <c:v>280.65167014301943</c:v>
                </c:pt>
                <c:pt idx="165">
                  <c:v>280.65167014301943</c:v>
                </c:pt>
                <c:pt idx="166">
                  <c:v>280.65167014301943</c:v>
                </c:pt>
                <c:pt idx="167">
                  <c:v>280.65167014301943</c:v>
                </c:pt>
                <c:pt idx="168">
                  <c:v>280.65167014301943</c:v>
                </c:pt>
                <c:pt idx="169">
                  <c:v>280.65167014301943</c:v>
                </c:pt>
                <c:pt idx="170">
                  <c:v>280.65167014301943</c:v>
                </c:pt>
                <c:pt idx="171">
                  <c:v>280.65167014301943</c:v>
                </c:pt>
                <c:pt idx="172">
                  <c:v>280.65167014301943</c:v>
                </c:pt>
                <c:pt idx="173">
                  <c:v>280.65167014301943</c:v>
                </c:pt>
                <c:pt idx="174">
                  <c:v>280.65167014301943</c:v>
                </c:pt>
                <c:pt idx="175">
                  <c:v>280.65167014301943</c:v>
                </c:pt>
                <c:pt idx="176">
                  <c:v>280.65167014301943</c:v>
                </c:pt>
                <c:pt idx="177">
                  <c:v>280.65167014301943</c:v>
                </c:pt>
                <c:pt idx="178">
                  <c:v>280.65167014301943</c:v>
                </c:pt>
                <c:pt idx="179">
                  <c:v>280.65167014301943</c:v>
                </c:pt>
                <c:pt idx="180">
                  <c:v>280.65167014301943</c:v>
                </c:pt>
                <c:pt idx="181">
                  <c:v>280.65167014301943</c:v>
                </c:pt>
                <c:pt idx="182">
                  <c:v>280.65167014301943</c:v>
                </c:pt>
                <c:pt idx="183">
                  <c:v>280.65167014301943</c:v>
                </c:pt>
                <c:pt idx="184">
                  <c:v>280.65167014301943</c:v>
                </c:pt>
                <c:pt idx="185">
                  <c:v>280.65167014301943</c:v>
                </c:pt>
                <c:pt idx="186">
                  <c:v>280.65167014301943</c:v>
                </c:pt>
                <c:pt idx="187">
                  <c:v>280.65167014301943</c:v>
                </c:pt>
                <c:pt idx="188">
                  <c:v>280.65167014301943</c:v>
                </c:pt>
                <c:pt idx="189">
                  <c:v>280.65167014301943</c:v>
                </c:pt>
                <c:pt idx="190">
                  <c:v>280.65167014301943</c:v>
                </c:pt>
                <c:pt idx="191">
                  <c:v>280.65167014301943</c:v>
                </c:pt>
                <c:pt idx="192">
                  <c:v>280.65167014301943</c:v>
                </c:pt>
                <c:pt idx="193">
                  <c:v>280.65167014301943</c:v>
                </c:pt>
                <c:pt idx="194">
                  <c:v>280.65167014301943</c:v>
                </c:pt>
                <c:pt idx="195">
                  <c:v>280.65167014301943</c:v>
                </c:pt>
                <c:pt idx="196">
                  <c:v>280.65167014301943</c:v>
                </c:pt>
                <c:pt idx="197">
                  <c:v>280.65167014301943</c:v>
                </c:pt>
                <c:pt idx="198">
                  <c:v>280.65167014301943</c:v>
                </c:pt>
                <c:pt idx="199">
                  <c:v>280.65167014301943</c:v>
                </c:pt>
                <c:pt idx="200">
                  <c:v>280.65167014301943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G33" sqref="G3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3" zoomScale="70" zoomScaleNormal="70" workbookViewId="0">
      <selection activeCell="B62" sqref="B62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9.2260000000000009</v>
      </c>
      <c r="D5" s="270" t="s">
        <v>229</v>
      </c>
      <c r="E5" s="271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0.65151515151515149</v>
      </c>
      <c r="D9" s="33">
        <f t="shared" ref="D9:D18" si="0">C9*$C$5</f>
        <v>6.0108787878787879</v>
      </c>
      <c r="E9" s="34">
        <v>105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35</v>
      </c>
      <c r="C10" s="32">
        <v>0.29545454545454547</v>
      </c>
      <c r="D10" s="33">
        <f t="shared" si="0"/>
        <v>2.7258636363636368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1.3257575757575758E-2</v>
      </c>
      <c r="D11" s="33">
        <f t="shared" si="0"/>
        <v>0.12231439393939396</v>
      </c>
      <c r="E11" s="34">
        <v>183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1.3257575757575758E-2</v>
      </c>
      <c r="D12" s="33">
        <f t="shared" si="0"/>
        <v>0.12231439393939396</v>
      </c>
      <c r="E12" s="34">
        <v>183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16</v>
      </c>
      <c r="C13" s="32">
        <v>1.3257575757575758E-2</v>
      </c>
      <c r="D13" s="33">
        <f t="shared" si="0"/>
        <v>0.12231439393939396</v>
      </c>
      <c r="E13" s="34">
        <v>183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13</v>
      </c>
      <c r="C14" s="32">
        <v>1.3257575757575758E-2</v>
      </c>
      <c r="D14" s="33">
        <f t="shared" si="0"/>
        <v>0.12231439393939396</v>
      </c>
      <c r="E14" s="34">
        <v>100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1.0000000000000002</v>
      </c>
      <c r="D19" s="38">
        <f>SUM(D9:D18)</f>
        <v>9.2260000000000026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42</v>
      </c>
      <c r="B36" s="60">
        <v>416.76</v>
      </c>
      <c r="C36" s="60">
        <v>1</v>
      </c>
      <c r="D36" s="60">
        <v>182.39</v>
      </c>
      <c r="E36" s="51">
        <v>0.5</v>
      </c>
      <c r="F36" s="51">
        <v>0.5</v>
      </c>
      <c r="G36" s="51">
        <v>0</v>
      </c>
      <c r="H36" s="51">
        <v>0</v>
      </c>
      <c r="I36" s="49">
        <f>IFERROR(B36/A36,"")</f>
        <v>9.9228571428571435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49</v>
      </c>
      <c r="B37" s="60">
        <v>361.26</v>
      </c>
      <c r="C37" s="60">
        <v>2</v>
      </c>
      <c r="D37" s="60">
        <v>100.16</v>
      </c>
      <c r="E37" s="51">
        <v>0.5</v>
      </c>
      <c r="F37" s="51">
        <v>0.5</v>
      </c>
      <c r="G37" s="51">
        <v>0</v>
      </c>
      <c r="H37" s="51">
        <v>0</v>
      </c>
      <c r="I37" s="53">
        <f t="shared" ref="I37:I55" si="1">IF(A37&lt;&gt;0,(B37-(B36-D36))/(A37-A36),"")</f>
        <v>18.127142857142854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56</v>
      </c>
      <c r="B38" s="60">
        <v>379.71</v>
      </c>
      <c r="C38" s="60">
        <v>3</v>
      </c>
      <c r="D38" s="60">
        <v>79.39</v>
      </c>
      <c r="E38" s="51">
        <v>0.7</v>
      </c>
      <c r="F38" s="51">
        <v>0.3</v>
      </c>
      <c r="G38" s="51">
        <v>0</v>
      </c>
      <c r="H38" s="51">
        <v>0</v>
      </c>
      <c r="I38" s="53">
        <f t="shared" si="1"/>
        <v>16.944285714285709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63</v>
      </c>
      <c r="B39" s="60">
        <v>416.49</v>
      </c>
      <c r="C39" s="60">
        <v>4</v>
      </c>
      <c r="D39" s="60">
        <v>79.099999999999994</v>
      </c>
      <c r="E39" s="51">
        <v>0.7</v>
      </c>
      <c r="F39" s="51">
        <v>0.3</v>
      </c>
      <c r="G39" s="51">
        <v>0</v>
      </c>
      <c r="H39" s="51">
        <v>0</v>
      </c>
      <c r="I39" s="49">
        <f t="shared" si="1"/>
        <v>16.595714285714287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71</v>
      </c>
      <c r="B40" s="60">
        <v>465.79</v>
      </c>
      <c r="C40" s="60">
        <v>5</v>
      </c>
      <c r="D40" s="60">
        <v>90.8</v>
      </c>
      <c r="E40" s="51">
        <v>0.7</v>
      </c>
      <c r="F40" s="51">
        <v>0.3</v>
      </c>
      <c r="G40" s="51">
        <v>0</v>
      </c>
      <c r="H40" s="51">
        <v>0</v>
      </c>
      <c r="I40" s="49">
        <f t="shared" si="1"/>
        <v>16.050000000000004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79</v>
      </c>
      <c r="B41" s="60">
        <v>495.91</v>
      </c>
      <c r="C41" s="60">
        <v>6</v>
      </c>
      <c r="D41" s="60">
        <v>87.99</v>
      </c>
      <c r="E41" s="51">
        <v>0.7</v>
      </c>
      <c r="F41" s="51">
        <v>0.3</v>
      </c>
      <c r="G41" s="51">
        <v>0</v>
      </c>
      <c r="H41" s="51">
        <v>0</v>
      </c>
      <c r="I41" s="53">
        <f t="shared" si="1"/>
        <v>15.115000000000002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87</v>
      </c>
      <c r="B42" s="60">
        <v>521.62</v>
      </c>
      <c r="C42" s="60">
        <v>7</v>
      </c>
      <c r="D42" s="60">
        <v>88.62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14.212499999999999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95</v>
      </c>
      <c r="B43" s="60">
        <v>538.28</v>
      </c>
      <c r="C43" s="60">
        <v>8</v>
      </c>
      <c r="D43" s="60">
        <v>268.81</v>
      </c>
      <c r="E43" s="51">
        <v>0.7</v>
      </c>
      <c r="F43" s="51">
        <v>0.3</v>
      </c>
      <c r="G43" s="51">
        <v>0</v>
      </c>
      <c r="H43" s="51">
        <v>0</v>
      </c>
      <c r="I43" s="49">
        <f t="shared" si="1"/>
        <v>13.159999999999997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105</v>
      </c>
      <c r="B44" s="60">
        <v>356.68</v>
      </c>
      <c r="C44" s="60">
        <v>9</v>
      </c>
      <c r="D44" s="60">
        <v>356.68</v>
      </c>
      <c r="E44" s="51">
        <v>0.7</v>
      </c>
      <c r="F44" s="51">
        <v>0.3</v>
      </c>
      <c r="G44" s="51">
        <v>0</v>
      </c>
      <c r="H44" s="51">
        <v>0</v>
      </c>
      <c r="I44" s="49">
        <f t="shared" si="1"/>
        <v>8.7210000000000036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22</v>
      </c>
      <c r="B62" s="60">
        <v>129.07</v>
      </c>
      <c r="C62" s="60">
        <v>1</v>
      </c>
      <c r="D62" s="60">
        <v>52.41</v>
      </c>
      <c r="E62" s="51">
        <v>0.1</v>
      </c>
      <c r="F62" s="51">
        <v>0.8</v>
      </c>
      <c r="G62" s="51">
        <v>0</v>
      </c>
      <c r="H62" s="51">
        <v>0.1</v>
      </c>
      <c r="I62" s="53">
        <f>IFERROR(B62/A62,"")</f>
        <v>5.8668181818181813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27</v>
      </c>
      <c r="B63" s="60">
        <v>155.49</v>
      </c>
      <c r="C63" s="60">
        <v>2</v>
      </c>
      <c r="D63" s="60">
        <v>37.840000000000003</v>
      </c>
      <c r="E63" s="51">
        <v>0.1</v>
      </c>
      <c r="F63" s="51">
        <v>0.8</v>
      </c>
      <c r="G63" s="51">
        <v>0</v>
      </c>
      <c r="H63" s="51">
        <v>0.1</v>
      </c>
      <c r="I63" s="49">
        <f>IF(A63&lt;&gt;0,(B63-(B62-D62))/(A63-A62),"")</f>
        <v>15.766000000000002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33</v>
      </c>
      <c r="B64" s="60">
        <v>217.34</v>
      </c>
      <c r="C64" s="60">
        <v>3</v>
      </c>
      <c r="D64" s="60">
        <v>50.41</v>
      </c>
      <c r="E64" s="51">
        <v>0.3</v>
      </c>
      <c r="F64" s="51">
        <v>0.5</v>
      </c>
      <c r="G64" s="51">
        <v>0</v>
      </c>
      <c r="H64" s="51">
        <v>0.2</v>
      </c>
      <c r="I64" s="49">
        <f>IF(A64&lt;&gt;0,(B64-(B63-D63))/(A64-A63),"")</f>
        <v>16.614999999999998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41</v>
      </c>
      <c r="B65" s="60">
        <v>300.54000000000002</v>
      </c>
      <c r="C65" s="60">
        <v>4</v>
      </c>
      <c r="D65" s="60">
        <v>72.13</v>
      </c>
      <c r="E65" s="51">
        <v>0.3</v>
      </c>
      <c r="F65" s="51">
        <v>0.5</v>
      </c>
      <c r="G65" s="51">
        <v>0</v>
      </c>
      <c r="H65" s="51">
        <v>0.2</v>
      </c>
      <c r="I65" s="49">
        <f>IF(A65&lt;&gt;0,(B65-(B64-D64))/(A65-A64),"")</f>
        <v>16.701250000000002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50</v>
      </c>
      <c r="B66" s="60">
        <v>369.94</v>
      </c>
      <c r="C66" s="60">
        <v>5</v>
      </c>
      <c r="D66" s="60">
        <v>70.2</v>
      </c>
      <c r="E66" s="51">
        <v>0.7</v>
      </c>
      <c r="F66" s="51">
        <v>0.3</v>
      </c>
      <c r="G66" s="51">
        <v>0</v>
      </c>
      <c r="H66" s="51">
        <v>0</v>
      </c>
      <c r="I66" s="49">
        <f t="shared" ref="I66:I81" si="2">IF(A66&lt;&gt;0,(B66-(B65-D65))/(A66-A65),"")</f>
        <v>15.725555555555552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60</v>
      </c>
      <c r="B67" s="60">
        <v>440.94</v>
      </c>
      <c r="C67" s="60">
        <v>6</v>
      </c>
      <c r="D67" s="60">
        <v>69.849999999999994</v>
      </c>
      <c r="E67" s="51">
        <v>0.7</v>
      </c>
      <c r="F67" s="51">
        <v>0.3</v>
      </c>
      <c r="G67" s="51">
        <v>0</v>
      </c>
      <c r="H67" s="51">
        <v>0</v>
      </c>
      <c r="I67" s="49">
        <f t="shared" si="2"/>
        <v>14.12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70</v>
      </c>
      <c r="B68" s="60">
        <v>490.06</v>
      </c>
      <c r="C68" s="60">
        <v>7</v>
      </c>
      <c r="D68" s="60">
        <v>67.88</v>
      </c>
      <c r="E68" s="51">
        <v>0.7</v>
      </c>
      <c r="F68" s="51">
        <v>0.3</v>
      </c>
      <c r="G68" s="51">
        <v>0</v>
      </c>
      <c r="H68" s="51">
        <v>0</v>
      </c>
      <c r="I68" s="49">
        <f t="shared" si="2"/>
        <v>11.896999999999997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80</v>
      </c>
      <c r="B69" s="50">
        <v>520</v>
      </c>
      <c r="C69" s="50">
        <v>8</v>
      </c>
      <c r="D69" s="50">
        <v>520</v>
      </c>
      <c r="E69" s="51">
        <v>0.7</v>
      </c>
      <c r="F69" s="51">
        <v>0.3</v>
      </c>
      <c r="G69" s="51">
        <v>0</v>
      </c>
      <c r="H69" s="51">
        <v>0</v>
      </c>
      <c r="I69" s="49">
        <f t="shared" si="2"/>
        <v>9.782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42</v>
      </c>
      <c r="B88" s="60">
        <v>163.26</v>
      </c>
      <c r="C88" s="60">
        <v>1</v>
      </c>
      <c r="D88" s="60">
        <v>43.21</v>
      </c>
      <c r="E88" s="51">
        <v>0.3</v>
      </c>
      <c r="F88" s="51">
        <v>0</v>
      </c>
      <c r="G88" s="51">
        <v>0</v>
      </c>
      <c r="H88" s="87">
        <v>0.7</v>
      </c>
      <c r="I88" s="53">
        <f>IFERROR(B88/A88,"")</f>
        <v>3.887142857142857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50</v>
      </c>
      <c r="B89" s="60">
        <v>195.02</v>
      </c>
      <c r="C89" s="60">
        <v>2</v>
      </c>
      <c r="D89" s="60">
        <v>35.58</v>
      </c>
      <c r="E89" s="51">
        <v>0.3</v>
      </c>
      <c r="F89" s="51">
        <v>0</v>
      </c>
      <c r="G89" s="51">
        <v>0</v>
      </c>
      <c r="H89" s="87">
        <v>0.7</v>
      </c>
      <c r="I89" s="53">
        <f t="shared" ref="I89:I107" si="3">IF(A89&lt;&gt;0,(B89-(B88-D88))/(A89-A88),"")</f>
        <v>9.3712500000000034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58</v>
      </c>
      <c r="B90" s="60">
        <v>235.87</v>
      </c>
      <c r="C90" s="60">
        <v>3</v>
      </c>
      <c r="D90" s="60">
        <v>44.93</v>
      </c>
      <c r="E90" s="87">
        <v>0.3</v>
      </c>
      <c r="F90" s="87">
        <v>0</v>
      </c>
      <c r="G90" s="87">
        <v>0</v>
      </c>
      <c r="H90" s="87">
        <v>0.7</v>
      </c>
      <c r="I90" s="53">
        <f t="shared" si="3"/>
        <v>9.5537500000000009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66</v>
      </c>
      <c r="B91" s="60">
        <v>264.95999999999998</v>
      </c>
      <c r="C91" s="60">
        <v>4</v>
      </c>
      <c r="D91" s="60">
        <v>49.91</v>
      </c>
      <c r="E91" s="87">
        <v>0.6</v>
      </c>
      <c r="F91" s="87">
        <v>0</v>
      </c>
      <c r="G91" s="87">
        <v>0</v>
      </c>
      <c r="H91" s="87">
        <v>0.4</v>
      </c>
      <c r="I91" s="53">
        <f t="shared" si="3"/>
        <v>9.2524999999999977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74</v>
      </c>
      <c r="B92" s="60">
        <v>285.98</v>
      </c>
      <c r="C92" s="60">
        <v>5</v>
      </c>
      <c r="D92" s="60">
        <v>47.4</v>
      </c>
      <c r="E92" s="87">
        <v>0.6</v>
      </c>
      <c r="F92" s="87">
        <v>0</v>
      </c>
      <c r="G92" s="87">
        <v>0</v>
      </c>
      <c r="H92" s="87">
        <v>0.4</v>
      </c>
      <c r="I92" s="53">
        <f t="shared" si="3"/>
        <v>8.8662500000000044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84</v>
      </c>
      <c r="B93" s="60">
        <v>325.35000000000002</v>
      </c>
      <c r="C93" s="60">
        <v>6</v>
      </c>
      <c r="D93" s="60">
        <v>61.47</v>
      </c>
      <c r="E93" s="87">
        <v>0.6</v>
      </c>
      <c r="F93" s="87">
        <v>0</v>
      </c>
      <c r="G93" s="87">
        <v>0</v>
      </c>
      <c r="H93" s="87">
        <v>0.4</v>
      </c>
      <c r="I93" s="53">
        <f t="shared" si="3"/>
        <v>8.6770000000000014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94</v>
      </c>
      <c r="B94" s="60">
        <v>346.79</v>
      </c>
      <c r="C94" s="60">
        <v>7</v>
      </c>
      <c r="D94" s="60">
        <v>61.85</v>
      </c>
      <c r="E94" s="87">
        <v>0.6</v>
      </c>
      <c r="F94" s="87">
        <v>0</v>
      </c>
      <c r="G94" s="87">
        <v>0</v>
      </c>
      <c r="H94" s="87">
        <v>0.4</v>
      </c>
      <c r="I94" s="53">
        <f t="shared" si="3"/>
        <v>8.2910000000000021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104</v>
      </c>
      <c r="B95" s="60">
        <v>365.41</v>
      </c>
      <c r="C95" s="60">
        <v>8</v>
      </c>
      <c r="D95" s="60">
        <v>60.19</v>
      </c>
      <c r="E95" s="87">
        <v>0.6</v>
      </c>
      <c r="F95" s="87">
        <v>0</v>
      </c>
      <c r="G95" s="87">
        <v>0</v>
      </c>
      <c r="H95" s="87">
        <v>0.4</v>
      </c>
      <c r="I95" s="53">
        <f t="shared" si="3"/>
        <v>8.0470000000000024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114</v>
      </c>
      <c r="B96" s="60">
        <v>384.57</v>
      </c>
      <c r="C96" s="60">
        <v>9</v>
      </c>
      <c r="D96" s="60">
        <v>56.07</v>
      </c>
      <c r="E96" s="87">
        <v>0.6</v>
      </c>
      <c r="F96" s="87">
        <v>0</v>
      </c>
      <c r="G96" s="87">
        <v>0</v>
      </c>
      <c r="H96" s="87">
        <v>0.4</v>
      </c>
      <c r="I96" s="53">
        <f t="shared" si="3"/>
        <v>7.9349999999999969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124</v>
      </c>
      <c r="B97" s="60">
        <v>408.42</v>
      </c>
      <c r="C97" s="60">
        <v>10</v>
      </c>
      <c r="D97" s="60">
        <v>52.53</v>
      </c>
      <c r="E97" s="87">
        <v>0.6</v>
      </c>
      <c r="F97" s="87">
        <v>0</v>
      </c>
      <c r="G97" s="87">
        <v>0</v>
      </c>
      <c r="H97" s="87">
        <v>0.4</v>
      </c>
      <c r="I97" s="53">
        <f t="shared" si="3"/>
        <v>7.9920000000000018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134</v>
      </c>
      <c r="B98" s="60">
        <v>436.59</v>
      </c>
      <c r="C98" s="60">
        <v>11</v>
      </c>
      <c r="D98" s="60">
        <v>54.95</v>
      </c>
      <c r="E98" s="87">
        <v>0.6</v>
      </c>
      <c r="F98" s="87">
        <v>0</v>
      </c>
      <c r="G98" s="87">
        <v>0</v>
      </c>
      <c r="H98" s="87">
        <v>0.4</v>
      </c>
      <c r="I98" s="53">
        <f t="shared" si="3"/>
        <v>8.0699999999999985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144</v>
      </c>
      <c r="B99" s="60">
        <v>463.23</v>
      </c>
      <c r="C99" s="60">
        <v>12</v>
      </c>
      <c r="D99" s="60">
        <v>56.01</v>
      </c>
      <c r="E99" s="87">
        <v>0.6</v>
      </c>
      <c r="F99" s="87">
        <v>0</v>
      </c>
      <c r="G99" s="87">
        <v>0</v>
      </c>
      <c r="H99" s="87">
        <v>0.4</v>
      </c>
      <c r="I99" s="53">
        <f t="shared" si="3"/>
        <v>8.1590000000000025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154</v>
      </c>
      <c r="B100" s="60">
        <v>490.47</v>
      </c>
      <c r="C100" s="60">
        <v>13</v>
      </c>
      <c r="D100" s="60">
        <v>55.13</v>
      </c>
      <c r="E100" s="65">
        <v>0.6</v>
      </c>
      <c r="F100" s="65">
        <v>0</v>
      </c>
      <c r="G100" s="65">
        <v>0</v>
      </c>
      <c r="H100" s="65">
        <v>0.4</v>
      </c>
      <c r="I100" s="53">
        <f t="shared" si="3"/>
        <v>8.3249999999999993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164</v>
      </c>
      <c r="B101" s="60">
        <v>519.77</v>
      </c>
      <c r="C101" s="60">
        <v>14</v>
      </c>
      <c r="D101" s="60">
        <v>59.58</v>
      </c>
      <c r="E101" s="65">
        <v>0.6</v>
      </c>
      <c r="F101" s="65">
        <v>0</v>
      </c>
      <c r="G101" s="65">
        <v>0</v>
      </c>
      <c r="H101" s="65">
        <v>0.4</v>
      </c>
      <c r="I101" s="53">
        <f t="shared" si="3"/>
        <v>8.4429999999999943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>
        <v>174</v>
      </c>
      <c r="B102" s="50">
        <v>545.65</v>
      </c>
      <c r="C102" s="60">
        <v>15</v>
      </c>
      <c r="D102" s="50">
        <v>214.77</v>
      </c>
      <c r="E102" s="54">
        <v>0.6</v>
      </c>
      <c r="F102" s="54">
        <v>0</v>
      </c>
      <c r="G102" s="54">
        <v>0</v>
      </c>
      <c r="H102" s="54">
        <v>0.4</v>
      </c>
      <c r="I102" s="53">
        <f t="shared" si="3"/>
        <v>8.5459999999999976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>
        <v>177</v>
      </c>
      <c r="B103" s="50">
        <v>347.04</v>
      </c>
      <c r="C103" s="60">
        <v>16</v>
      </c>
      <c r="D103" s="50">
        <v>115.19</v>
      </c>
      <c r="E103" s="54">
        <v>0.6</v>
      </c>
      <c r="F103" s="54">
        <v>0</v>
      </c>
      <c r="G103" s="54">
        <v>0</v>
      </c>
      <c r="H103" s="54">
        <v>0.4</v>
      </c>
      <c r="I103" s="53">
        <f t="shared" si="3"/>
        <v>5.3866666666666747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>
        <v>180</v>
      </c>
      <c r="B104" s="50">
        <v>241.62</v>
      </c>
      <c r="C104" s="60">
        <v>17</v>
      </c>
      <c r="D104" s="50">
        <v>77.72</v>
      </c>
      <c r="E104" s="54">
        <v>0.6</v>
      </c>
      <c r="F104" s="54">
        <v>0</v>
      </c>
      <c r="G104" s="54">
        <v>0</v>
      </c>
      <c r="H104" s="54">
        <v>0.4</v>
      </c>
      <c r="I104" s="53">
        <f t="shared" si="3"/>
        <v>3.2566666666666606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>
        <v>183</v>
      </c>
      <c r="B105" s="50">
        <v>169.76</v>
      </c>
      <c r="C105" s="50">
        <v>18</v>
      </c>
      <c r="D105" s="50">
        <v>169.76</v>
      </c>
      <c r="E105" s="54">
        <v>0.6</v>
      </c>
      <c r="F105" s="54">
        <v>0</v>
      </c>
      <c r="G105" s="54">
        <v>0</v>
      </c>
      <c r="H105" s="54">
        <v>0.4</v>
      </c>
      <c r="I105" s="53">
        <f t="shared" si="3"/>
        <v>1.9533333333333285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42</v>
      </c>
      <c r="B114" s="60">
        <v>163.26</v>
      </c>
      <c r="C114" s="50">
        <v>1</v>
      </c>
      <c r="D114" s="60">
        <v>43.21</v>
      </c>
      <c r="E114" s="51">
        <v>0.3</v>
      </c>
      <c r="F114" s="51">
        <v>0</v>
      </c>
      <c r="G114" s="51">
        <v>0</v>
      </c>
      <c r="H114" s="51">
        <v>0.7</v>
      </c>
      <c r="I114" s="53">
        <f>IFERROR(B114/A114,"")</f>
        <v>3.887142857142857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50</v>
      </c>
      <c r="B115" s="60">
        <v>195.02</v>
      </c>
      <c r="C115" s="50">
        <v>2</v>
      </c>
      <c r="D115" s="60">
        <v>35.58</v>
      </c>
      <c r="E115" s="51">
        <v>0.3</v>
      </c>
      <c r="F115" s="51">
        <v>0</v>
      </c>
      <c r="G115" s="51">
        <v>0</v>
      </c>
      <c r="H115" s="51">
        <v>0.7</v>
      </c>
      <c r="I115" s="53">
        <f t="shared" ref="I115:I133" si="4">IF(A115&lt;&gt;0,(B115-(B114-D114))/(A115-A114),"")</f>
        <v>9.3712500000000034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58</v>
      </c>
      <c r="B116" s="60">
        <v>235.87</v>
      </c>
      <c r="C116" s="50">
        <v>3</v>
      </c>
      <c r="D116" s="60">
        <v>44.93</v>
      </c>
      <c r="E116" s="51">
        <v>0.3</v>
      </c>
      <c r="F116" s="51">
        <v>0</v>
      </c>
      <c r="G116" s="51">
        <v>0</v>
      </c>
      <c r="H116" s="51">
        <v>0.7</v>
      </c>
      <c r="I116" s="53">
        <f t="shared" si="4"/>
        <v>9.5537500000000009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66</v>
      </c>
      <c r="B117" s="60">
        <v>264.95999999999998</v>
      </c>
      <c r="C117" s="50">
        <v>4</v>
      </c>
      <c r="D117" s="60">
        <v>49.91</v>
      </c>
      <c r="E117" s="51">
        <v>0.6</v>
      </c>
      <c r="F117" s="51">
        <v>0</v>
      </c>
      <c r="G117" s="51">
        <v>0</v>
      </c>
      <c r="H117" s="51">
        <v>0.4</v>
      </c>
      <c r="I117" s="53">
        <f t="shared" si="4"/>
        <v>9.2524999999999977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74</v>
      </c>
      <c r="B118" s="60">
        <v>285.98</v>
      </c>
      <c r="C118" s="50">
        <v>5</v>
      </c>
      <c r="D118" s="60">
        <v>47.4</v>
      </c>
      <c r="E118" s="51">
        <v>0.6</v>
      </c>
      <c r="F118" s="51">
        <v>0</v>
      </c>
      <c r="G118" s="51">
        <v>0</v>
      </c>
      <c r="H118" s="51">
        <v>0.4</v>
      </c>
      <c r="I118" s="53">
        <f t="shared" si="4"/>
        <v>8.8662500000000044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84</v>
      </c>
      <c r="B119" s="60">
        <v>325.35000000000002</v>
      </c>
      <c r="C119" s="50">
        <v>6</v>
      </c>
      <c r="D119" s="60">
        <v>61.47</v>
      </c>
      <c r="E119" s="51">
        <v>0.6</v>
      </c>
      <c r="F119" s="51">
        <v>0</v>
      </c>
      <c r="G119" s="51">
        <v>0</v>
      </c>
      <c r="H119" s="51">
        <v>0.4</v>
      </c>
      <c r="I119" s="53">
        <f t="shared" si="4"/>
        <v>8.6770000000000014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94</v>
      </c>
      <c r="B120" s="60">
        <v>346.79</v>
      </c>
      <c r="C120" s="60">
        <v>7</v>
      </c>
      <c r="D120" s="60">
        <v>61.85</v>
      </c>
      <c r="E120" s="87">
        <v>0.6</v>
      </c>
      <c r="F120" s="87">
        <v>0</v>
      </c>
      <c r="G120" s="87">
        <v>0</v>
      </c>
      <c r="H120" s="87">
        <v>0.4</v>
      </c>
      <c r="I120" s="53">
        <f t="shared" si="4"/>
        <v>8.2910000000000021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104</v>
      </c>
      <c r="B121" s="60">
        <v>365.41</v>
      </c>
      <c r="C121" s="60">
        <v>8</v>
      </c>
      <c r="D121" s="60">
        <v>60.19</v>
      </c>
      <c r="E121" s="87">
        <v>0.6</v>
      </c>
      <c r="F121" s="87">
        <v>0</v>
      </c>
      <c r="G121" s="87">
        <v>0</v>
      </c>
      <c r="H121" s="87">
        <v>0.4</v>
      </c>
      <c r="I121" s="53">
        <f t="shared" si="4"/>
        <v>8.0470000000000024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114</v>
      </c>
      <c r="B122" s="60">
        <v>384.57</v>
      </c>
      <c r="C122" s="60">
        <v>9</v>
      </c>
      <c r="D122" s="60">
        <v>56.07</v>
      </c>
      <c r="E122" s="87">
        <v>0.6</v>
      </c>
      <c r="F122" s="87">
        <v>0</v>
      </c>
      <c r="G122" s="87">
        <v>0</v>
      </c>
      <c r="H122" s="87">
        <v>0.4</v>
      </c>
      <c r="I122" s="53">
        <f t="shared" si="4"/>
        <v>7.9349999999999969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124</v>
      </c>
      <c r="B123" s="60">
        <v>408.42</v>
      </c>
      <c r="C123" s="60">
        <v>10</v>
      </c>
      <c r="D123" s="60">
        <v>52.53</v>
      </c>
      <c r="E123" s="87">
        <v>0.6</v>
      </c>
      <c r="F123" s="87">
        <v>0</v>
      </c>
      <c r="G123" s="87">
        <v>0</v>
      </c>
      <c r="H123" s="87">
        <v>0.4</v>
      </c>
      <c r="I123" s="53">
        <f t="shared" si="4"/>
        <v>7.9920000000000018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134</v>
      </c>
      <c r="B124" s="60">
        <v>436.59</v>
      </c>
      <c r="C124" s="60">
        <v>11</v>
      </c>
      <c r="D124" s="60">
        <v>54.95</v>
      </c>
      <c r="E124" s="87">
        <v>0.6</v>
      </c>
      <c r="F124" s="87">
        <v>0</v>
      </c>
      <c r="G124" s="87">
        <v>0</v>
      </c>
      <c r="H124" s="87">
        <v>0.4</v>
      </c>
      <c r="I124" s="53">
        <f t="shared" si="4"/>
        <v>8.0699999999999985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>
        <v>144</v>
      </c>
      <c r="B125" s="60">
        <v>463.23</v>
      </c>
      <c r="C125" s="60">
        <v>12</v>
      </c>
      <c r="D125" s="60">
        <v>56.01</v>
      </c>
      <c r="E125" s="87">
        <v>0.6</v>
      </c>
      <c r="F125" s="87">
        <v>0</v>
      </c>
      <c r="G125" s="87">
        <v>0</v>
      </c>
      <c r="H125" s="87">
        <v>0.4</v>
      </c>
      <c r="I125" s="53">
        <f t="shared" si="4"/>
        <v>8.1590000000000025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>
        <v>154</v>
      </c>
      <c r="B126" s="60">
        <v>490.47</v>
      </c>
      <c r="C126" s="60">
        <v>13</v>
      </c>
      <c r="D126" s="60">
        <v>55.13</v>
      </c>
      <c r="E126" s="65">
        <v>0.6</v>
      </c>
      <c r="F126" s="65">
        <v>0</v>
      </c>
      <c r="G126" s="65">
        <v>0</v>
      </c>
      <c r="H126" s="65">
        <v>0.4</v>
      </c>
      <c r="I126" s="53">
        <f t="shared" si="4"/>
        <v>8.3249999999999993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>
        <v>164</v>
      </c>
      <c r="B127" s="60">
        <v>519.77</v>
      </c>
      <c r="C127" s="60">
        <v>14</v>
      </c>
      <c r="D127" s="60">
        <v>59.58</v>
      </c>
      <c r="E127" s="65">
        <v>0.6</v>
      </c>
      <c r="F127" s="65">
        <v>0</v>
      </c>
      <c r="G127" s="65">
        <v>0</v>
      </c>
      <c r="H127" s="65">
        <v>0.4</v>
      </c>
      <c r="I127" s="53">
        <f t="shared" si="4"/>
        <v>8.4429999999999943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>
        <v>174</v>
      </c>
      <c r="B128" s="50">
        <v>545.65</v>
      </c>
      <c r="C128" s="50">
        <v>15</v>
      </c>
      <c r="D128" s="50">
        <v>214.77</v>
      </c>
      <c r="E128" s="54">
        <v>0.6</v>
      </c>
      <c r="F128" s="54">
        <v>0</v>
      </c>
      <c r="G128" s="54">
        <v>0</v>
      </c>
      <c r="H128" s="54">
        <v>0.4</v>
      </c>
      <c r="I128" s="53">
        <f t="shared" si="4"/>
        <v>8.5459999999999976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>
        <v>177</v>
      </c>
      <c r="B129" s="50">
        <v>347.04</v>
      </c>
      <c r="C129" s="50">
        <v>16</v>
      </c>
      <c r="D129" s="50">
        <v>115.19</v>
      </c>
      <c r="E129" s="54">
        <v>0.6</v>
      </c>
      <c r="F129" s="54">
        <v>0</v>
      </c>
      <c r="G129" s="54">
        <v>0</v>
      </c>
      <c r="H129" s="54">
        <v>0.4</v>
      </c>
      <c r="I129" s="53">
        <f t="shared" si="4"/>
        <v>5.3866666666666747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>
        <v>180</v>
      </c>
      <c r="B130" s="50">
        <v>241.62</v>
      </c>
      <c r="C130" s="50">
        <v>17</v>
      </c>
      <c r="D130" s="50">
        <v>77.72</v>
      </c>
      <c r="E130" s="54">
        <v>0.6</v>
      </c>
      <c r="F130" s="54">
        <v>0</v>
      </c>
      <c r="G130" s="54">
        <v>0</v>
      </c>
      <c r="H130" s="54">
        <v>0.4</v>
      </c>
      <c r="I130" s="53">
        <f t="shared" si="4"/>
        <v>3.2566666666666606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>
        <v>183</v>
      </c>
      <c r="B131" s="50">
        <v>169.76</v>
      </c>
      <c r="C131" s="50">
        <v>18</v>
      </c>
      <c r="D131" s="50">
        <v>169.76</v>
      </c>
      <c r="E131" s="54">
        <v>0.6</v>
      </c>
      <c r="F131" s="54">
        <v>0</v>
      </c>
      <c r="G131" s="54">
        <v>0</v>
      </c>
      <c r="H131" s="54">
        <v>0.4</v>
      </c>
      <c r="I131" s="53">
        <f t="shared" si="4"/>
        <v>1.9533333333333285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vert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42</v>
      </c>
      <c r="B140" s="60">
        <v>163.26</v>
      </c>
      <c r="C140" s="50">
        <v>1</v>
      </c>
      <c r="D140" s="60">
        <v>43.21</v>
      </c>
      <c r="E140" s="51">
        <v>0.3</v>
      </c>
      <c r="F140" s="51">
        <v>0</v>
      </c>
      <c r="G140" s="51">
        <v>0</v>
      </c>
      <c r="H140" s="51">
        <v>0.7</v>
      </c>
      <c r="I140" s="57">
        <f>IFERROR(B140/A140,"")</f>
        <v>3.887142857142857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50</v>
      </c>
      <c r="B141" s="60">
        <v>195.02</v>
      </c>
      <c r="C141" s="50">
        <v>2</v>
      </c>
      <c r="D141" s="60">
        <v>35.58</v>
      </c>
      <c r="E141" s="51">
        <v>0.3</v>
      </c>
      <c r="F141" s="51">
        <v>0</v>
      </c>
      <c r="G141" s="51">
        <v>0</v>
      </c>
      <c r="H141" s="51">
        <v>0.7</v>
      </c>
      <c r="I141" s="57">
        <f t="shared" ref="I141:I159" si="5">IF(A141&lt;&gt;0,(B141-(B140-D140))/(A141-A140),"")</f>
        <v>9.3712500000000034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58</v>
      </c>
      <c r="B142" s="60">
        <v>235.87</v>
      </c>
      <c r="C142" s="50">
        <v>3</v>
      </c>
      <c r="D142" s="60">
        <v>44.93</v>
      </c>
      <c r="E142" s="51">
        <v>0.3</v>
      </c>
      <c r="F142" s="51">
        <v>0</v>
      </c>
      <c r="G142" s="51">
        <v>0</v>
      </c>
      <c r="H142" s="51">
        <v>0.7</v>
      </c>
      <c r="I142" s="57">
        <f t="shared" si="5"/>
        <v>9.5537500000000009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66</v>
      </c>
      <c r="B143" s="60">
        <v>264.95999999999998</v>
      </c>
      <c r="C143" s="50">
        <v>4</v>
      </c>
      <c r="D143" s="60">
        <v>49.91</v>
      </c>
      <c r="E143" s="51">
        <v>0.6</v>
      </c>
      <c r="F143" s="51">
        <v>0</v>
      </c>
      <c r="G143" s="51">
        <v>0</v>
      </c>
      <c r="H143" s="51">
        <v>0.4</v>
      </c>
      <c r="I143" s="57">
        <f t="shared" si="5"/>
        <v>9.2524999999999977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74</v>
      </c>
      <c r="B144" s="60">
        <v>285.98</v>
      </c>
      <c r="C144" s="50">
        <v>5</v>
      </c>
      <c r="D144" s="60">
        <v>47.4</v>
      </c>
      <c r="E144" s="51">
        <v>0.6</v>
      </c>
      <c r="F144" s="51">
        <v>0</v>
      </c>
      <c r="G144" s="51">
        <v>0</v>
      </c>
      <c r="H144" s="51">
        <v>0.4</v>
      </c>
      <c r="I144" s="57">
        <f t="shared" si="5"/>
        <v>8.8662500000000044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84</v>
      </c>
      <c r="B145" s="60">
        <v>325.35000000000002</v>
      </c>
      <c r="C145" s="50">
        <v>6</v>
      </c>
      <c r="D145" s="60">
        <v>61.47</v>
      </c>
      <c r="E145" s="51">
        <v>0.6</v>
      </c>
      <c r="F145" s="51">
        <v>0</v>
      </c>
      <c r="G145" s="51">
        <v>0</v>
      </c>
      <c r="H145" s="51">
        <v>0.4</v>
      </c>
      <c r="I145" s="57">
        <f t="shared" si="5"/>
        <v>8.6770000000000014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94</v>
      </c>
      <c r="B146" s="60">
        <v>346.79</v>
      </c>
      <c r="C146" s="50">
        <v>7</v>
      </c>
      <c r="D146" s="60">
        <v>61.85</v>
      </c>
      <c r="E146" s="51">
        <v>0.6</v>
      </c>
      <c r="F146" s="51">
        <v>0</v>
      </c>
      <c r="G146" s="51">
        <v>0</v>
      </c>
      <c r="H146" s="51">
        <v>0.4</v>
      </c>
      <c r="I146" s="57">
        <f t="shared" si="5"/>
        <v>8.2910000000000021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104</v>
      </c>
      <c r="B147" s="60">
        <v>365.41</v>
      </c>
      <c r="C147" s="50">
        <v>8</v>
      </c>
      <c r="D147" s="60">
        <v>60.19</v>
      </c>
      <c r="E147" s="51">
        <v>0.6</v>
      </c>
      <c r="F147" s="51">
        <v>0</v>
      </c>
      <c r="G147" s="51">
        <v>0</v>
      </c>
      <c r="H147" s="51">
        <v>0.4</v>
      </c>
      <c r="I147" s="57">
        <f>IF(A147&lt;&gt;0,(B147-(B146-D146))/(A147-A146),"")</f>
        <v>8.0470000000000024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114</v>
      </c>
      <c r="B148" s="60">
        <v>384.57</v>
      </c>
      <c r="C148" s="50">
        <v>9</v>
      </c>
      <c r="D148" s="60">
        <v>56.07</v>
      </c>
      <c r="E148" s="51">
        <v>0.6</v>
      </c>
      <c r="F148" s="51">
        <v>0</v>
      </c>
      <c r="G148" s="51">
        <v>0</v>
      </c>
      <c r="H148" s="51">
        <v>0.4</v>
      </c>
      <c r="I148" s="57">
        <f t="shared" si="5"/>
        <v>7.9349999999999969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124</v>
      </c>
      <c r="B149" s="60">
        <v>408.42</v>
      </c>
      <c r="C149" s="50">
        <v>10</v>
      </c>
      <c r="D149" s="60">
        <v>52.53</v>
      </c>
      <c r="E149" s="51">
        <v>0.6</v>
      </c>
      <c r="F149" s="51">
        <v>0</v>
      </c>
      <c r="G149" s="51">
        <v>0</v>
      </c>
      <c r="H149" s="51">
        <v>0.4</v>
      </c>
      <c r="I149" s="57">
        <f t="shared" si="5"/>
        <v>7.9920000000000018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134</v>
      </c>
      <c r="B150" s="60">
        <v>436.59</v>
      </c>
      <c r="C150" s="50">
        <v>11</v>
      </c>
      <c r="D150" s="60">
        <v>54.95</v>
      </c>
      <c r="E150" s="51">
        <v>0.6</v>
      </c>
      <c r="F150" s="51">
        <v>0</v>
      </c>
      <c r="G150" s="51">
        <v>0</v>
      </c>
      <c r="H150" s="51">
        <v>0.4</v>
      </c>
      <c r="I150" s="57">
        <f t="shared" si="5"/>
        <v>8.0699999999999985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144</v>
      </c>
      <c r="B151" s="60">
        <v>463.23</v>
      </c>
      <c r="C151" s="50">
        <v>12</v>
      </c>
      <c r="D151" s="60">
        <v>56.01</v>
      </c>
      <c r="E151" s="51">
        <v>0.6</v>
      </c>
      <c r="F151" s="51">
        <v>0</v>
      </c>
      <c r="G151" s="51">
        <v>0</v>
      </c>
      <c r="H151" s="51">
        <v>0.4</v>
      </c>
      <c r="I151" s="57">
        <f t="shared" si="5"/>
        <v>8.1590000000000025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154</v>
      </c>
      <c r="B152" s="60">
        <v>490.47</v>
      </c>
      <c r="C152" s="50">
        <v>13</v>
      </c>
      <c r="D152" s="60">
        <v>55.13</v>
      </c>
      <c r="E152" s="54">
        <v>0.6</v>
      </c>
      <c r="F152" s="54">
        <v>0</v>
      </c>
      <c r="G152" s="54">
        <v>0</v>
      </c>
      <c r="H152" s="54">
        <v>0.4</v>
      </c>
      <c r="I152" s="57">
        <f t="shared" si="5"/>
        <v>8.3249999999999993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164</v>
      </c>
      <c r="B153" s="60">
        <v>519.77</v>
      </c>
      <c r="C153" s="50">
        <v>14</v>
      </c>
      <c r="D153" s="60">
        <v>59.58</v>
      </c>
      <c r="E153" s="54">
        <v>0.6</v>
      </c>
      <c r="F153" s="54">
        <v>0</v>
      </c>
      <c r="G153" s="54">
        <v>0</v>
      </c>
      <c r="H153" s="54">
        <v>0.4</v>
      </c>
      <c r="I153" s="57">
        <f t="shared" si="5"/>
        <v>8.4429999999999943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174</v>
      </c>
      <c r="B154" s="56">
        <v>545.65</v>
      </c>
      <c r="C154" s="50">
        <v>15</v>
      </c>
      <c r="D154" s="50">
        <v>214.77</v>
      </c>
      <c r="E154" s="54">
        <v>0.6</v>
      </c>
      <c r="F154" s="54">
        <v>0</v>
      </c>
      <c r="G154" s="54">
        <v>0</v>
      </c>
      <c r="H154" s="54">
        <v>0.4</v>
      </c>
      <c r="I154" s="57">
        <f t="shared" si="5"/>
        <v>8.5459999999999976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177</v>
      </c>
      <c r="B155" s="56">
        <v>347.04</v>
      </c>
      <c r="C155" s="50">
        <v>16</v>
      </c>
      <c r="D155" s="50">
        <v>115.19</v>
      </c>
      <c r="E155" s="54">
        <v>0.6</v>
      </c>
      <c r="F155" s="54">
        <v>0</v>
      </c>
      <c r="G155" s="54">
        <v>0</v>
      </c>
      <c r="H155" s="54">
        <v>0.4</v>
      </c>
      <c r="I155" s="57">
        <f t="shared" si="5"/>
        <v>5.3866666666666747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180</v>
      </c>
      <c r="B156" s="56">
        <v>241.62</v>
      </c>
      <c r="C156" s="50">
        <v>17</v>
      </c>
      <c r="D156" s="50">
        <v>77.72</v>
      </c>
      <c r="E156" s="54">
        <v>0.6</v>
      </c>
      <c r="F156" s="54">
        <v>0</v>
      </c>
      <c r="G156" s="54">
        <v>0</v>
      </c>
      <c r="H156" s="54">
        <v>0.4</v>
      </c>
      <c r="I156" s="57">
        <f t="shared" si="5"/>
        <v>3.2566666666666606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183</v>
      </c>
      <c r="B157" s="56">
        <v>169.76</v>
      </c>
      <c r="C157" s="50">
        <v>18</v>
      </c>
      <c r="D157" s="50">
        <v>169.76</v>
      </c>
      <c r="E157" s="54">
        <v>0.6</v>
      </c>
      <c r="F157" s="54">
        <v>0</v>
      </c>
      <c r="G157" s="54">
        <v>0</v>
      </c>
      <c r="H157" s="54">
        <v>0.4</v>
      </c>
      <c r="I157" s="57">
        <f t="shared" si="5"/>
        <v>1.9533333333333285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Chêne rouge d'Amérique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10</v>
      </c>
      <c r="B166" s="60">
        <v>14.743589743589743</v>
      </c>
      <c r="C166" s="60">
        <v>1</v>
      </c>
      <c r="D166" s="60">
        <v>0</v>
      </c>
      <c r="E166" s="51">
        <v>0</v>
      </c>
      <c r="F166" s="51">
        <v>0.5</v>
      </c>
      <c r="G166" s="51">
        <v>0</v>
      </c>
      <c r="H166" s="51">
        <v>0.5</v>
      </c>
      <c r="I166" s="49">
        <f>IFERROR(B166/A166,"")</f>
        <v>1.4743589743589742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15</v>
      </c>
      <c r="B167" s="60">
        <v>38.46153846153846</v>
      </c>
      <c r="C167" s="60">
        <v>2</v>
      </c>
      <c r="D167" s="60">
        <v>0</v>
      </c>
      <c r="E167" s="51">
        <v>0</v>
      </c>
      <c r="F167" s="51">
        <v>0.5</v>
      </c>
      <c r="G167" s="51">
        <v>0</v>
      </c>
      <c r="H167" s="51">
        <v>0.5</v>
      </c>
      <c r="I167" s="49">
        <f t="shared" ref="I167:I185" si="6">IF(A167&lt;&gt;0,(B167-(B166-D166))/(A167-A166),"")</f>
        <v>4.7435897435897427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20</v>
      </c>
      <c r="B168" s="60">
        <v>69.230769230769226</v>
      </c>
      <c r="C168" s="60">
        <v>3</v>
      </c>
      <c r="D168" s="60">
        <v>26.282051282051281</v>
      </c>
      <c r="E168" s="51">
        <v>0</v>
      </c>
      <c r="F168" s="51">
        <v>0.5</v>
      </c>
      <c r="G168" s="51">
        <v>0</v>
      </c>
      <c r="H168" s="51">
        <v>0.5</v>
      </c>
      <c r="I168" s="49">
        <f t="shared" si="6"/>
        <v>6.1538461538461533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25</v>
      </c>
      <c r="B169" s="60">
        <v>72.435897435897431</v>
      </c>
      <c r="C169" s="60">
        <v>4</v>
      </c>
      <c r="D169" s="60">
        <v>14.743589743589743</v>
      </c>
      <c r="E169" s="51">
        <v>0</v>
      </c>
      <c r="F169" s="51">
        <v>0.5</v>
      </c>
      <c r="G169" s="51">
        <v>0</v>
      </c>
      <c r="H169" s="51">
        <v>0.5</v>
      </c>
      <c r="I169" s="49">
        <f t="shared" si="6"/>
        <v>5.8974358974358978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30</v>
      </c>
      <c r="B170" s="60">
        <v>86.538461538461533</v>
      </c>
      <c r="C170" s="60">
        <v>5</v>
      </c>
      <c r="D170" s="60">
        <v>15.384615384615383</v>
      </c>
      <c r="E170" s="51">
        <v>0</v>
      </c>
      <c r="F170" s="51">
        <v>0.5</v>
      </c>
      <c r="G170" s="51">
        <v>0</v>
      </c>
      <c r="H170" s="51">
        <v>0.5</v>
      </c>
      <c r="I170" s="49">
        <f t="shared" si="6"/>
        <v>5.7692307692307692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35</v>
      </c>
      <c r="B171" s="60">
        <v>98.07692307692308</v>
      </c>
      <c r="C171" s="60">
        <v>6</v>
      </c>
      <c r="D171" s="60">
        <v>15.384615384615383</v>
      </c>
      <c r="E171" s="51">
        <v>0.6</v>
      </c>
      <c r="F171" s="51">
        <v>0.2</v>
      </c>
      <c r="G171" s="51">
        <v>0</v>
      </c>
      <c r="H171" s="51">
        <v>0.2</v>
      </c>
      <c r="I171" s="49">
        <f t="shared" si="6"/>
        <v>5.3846153846153868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40</v>
      </c>
      <c r="B172" s="60">
        <v>107.69230769230768</v>
      </c>
      <c r="C172" s="60">
        <v>7</v>
      </c>
      <c r="D172" s="60">
        <v>14.743589743589743</v>
      </c>
      <c r="E172" s="51">
        <v>0.6</v>
      </c>
      <c r="F172" s="51">
        <v>0.2</v>
      </c>
      <c r="G172" s="51">
        <v>0</v>
      </c>
      <c r="H172" s="51">
        <v>0.2</v>
      </c>
      <c r="I172" s="49">
        <f t="shared" si="6"/>
        <v>4.9999999999999973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45</v>
      </c>
      <c r="B173" s="50">
        <v>115.38461538461539</v>
      </c>
      <c r="C173" s="50">
        <v>8</v>
      </c>
      <c r="D173" s="50">
        <v>14.102564102564102</v>
      </c>
      <c r="E173" s="51">
        <v>0.6</v>
      </c>
      <c r="F173" s="51">
        <v>0.3</v>
      </c>
      <c r="G173" s="51">
        <v>0</v>
      </c>
      <c r="H173" s="51">
        <v>0.1</v>
      </c>
      <c r="I173" s="49">
        <f t="shared" si="6"/>
        <v>4.487179487179489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50</v>
      </c>
      <c r="B174" s="50">
        <v>122.43589743589743</v>
      </c>
      <c r="C174" s="50">
        <v>9</v>
      </c>
      <c r="D174" s="50">
        <v>13.461538461538462</v>
      </c>
      <c r="E174" s="51">
        <v>0.6</v>
      </c>
      <c r="F174" s="51">
        <v>0.3</v>
      </c>
      <c r="G174" s="51">
        <v>0</v>
      </c>
      <c r="H174" s="51">
        <v>0.1</v>
      </c>
      <c r="I174" s="49">
        <f t="shared" si="6"/>
        <v>4.2307692307692291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55</v>
      </c>
      <c r="B175" s="50">
        <v>128.84615384615384</v>
      </c>
      <c r="C175" s="50">
        <v>10</v>
      </c>
      <c r="D175" s="50">
        <v>12.820512820512819</v>
      </c>
      <c r="E175" s="51">
        <v>0.6</v>
      </c>
      <c r="F175" s="51">
        <v>0.3</v>
      </c>
      <c r="G175" s="51">
        <v>0</v>
      </c>
      <c r="H175" s="51">
        <v>0.1</v>
      </c>
      <c r="I175" s="49">
        <f t="shared" si="6"/>
        <v>3.9743589743589753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60</v>
      </c>
      <c r="B176" s="50">
        <v>132.69230769230768</v>
      </c>
      <c r="C176" s="50">
        <v>11</v>
      </c>
      <c r="D176" s="50">
        <v>11.538461538461538</v>
      </c>
      <c r="E176" s="51">
        <v>0.6</v>
      </c>
      <c r="F176" s="51">
        <v>0.3</v>
      </c>
      <c r="G176" s="51">
        <v>0</v>
      </c>
      <c r="H176" s="51">
        <v>0.1</v>
      </c>
      <c r="I176" s="49">
        <f t="shared" si="6"/>
        <v>3.3333333333333313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65</v>
      </c>
      <c r="B177" s="50">
        <v>137.17948717948718</v>
      </c>
      <c r="C177" s="50">
        <v>12</v>
      </c>
      <c r="D177" s="50">
        <v>10.897435897435898</v>
      </c>
      <c r="E177" s="51">
        <v>0.6</v>
      </c>
      <c r="F177" s="51">
        <v>0.3</v>
      </c>
      <c r="G177" s="51">
        <v>0</v>
      </c>
      <c r="H177" s="51">
        <v>0.1</v>
      </c>
      <c r="I177" s="49">
        <f t="shared" si="6"/>
        <v>3.2051282051282071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70</v>
      </c>
      <c r="B178" s="50">
        <v>141.02564102564102</v>
      </c>
      <c r="C178" s="50">
        <v>13</v>
      </c>
      <c r="D178" s="50">
        <v>10.256410256410255</v>
      </c>
      <c r="E178" s="51">
        <v>0.6</v>
      </c>
      <c r="F178" s="51">
        <v>0.3</v>
      </c>
      <c r="G178" s="51">
        <v>0</v>
      </c>
      <c r="H178" s="51">
        <v>0.1</v>
      </c>
      <c r="I178" s="49">
        <f t="shared" si="6"/>
        <v>2.9487179487179476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75</v>
      </c>
      <c r="B179" s="50">
        <v>142.94871794871796</v>
      </c>
      <c r="C179" s="50">
        <v>14</v>
      </c>
      <c r="D179" s="50">
        <v>8.9743589743589745</v>
      </c>
      <c r="E179" s="51">
        <v>0.6</v>
      </c>
      <c r="F179" s="51">
        <v>0.3</v>
      </c>
      <c r="G179" s="51">
        <v>0</v>
      </c>
      <c r="H179" s="51">
        <v>0.1</v>
      </c>
      <c r="I179" s="49">
        <f t="shared" si="6"/>
        <v>2.4358974358974366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>
        <v>80</v>
      </c>
      <c r="B180" s="50">
        <v>145.51282051282053</v>
      </c>
      <c r="C180" s="50">
        <v>15</v>
      </c>
      <c r="D180" s="50">
        <v>8.3333333333333339</v>
      </c>
      <c r="E180" s="51">
        <v>0.6</v>
      </c>
      <c r="F180" s="51">
        <v>0.3</v>
      </c>
      <c r="G180" s="51">
        <v>0</v>
      </c>
      <c r="H180" s="51">
        <v>0.1</v>
      </c>
      <c r="I180" s="49">
        <f t="shared" si="6"/>
        <v>2.3076923076923093</v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>
        <v>85</v>
      </c>
      <c r="B181" s="50">
        <v>147.43589743589743</v>
      </c>
      <c r="C181" s="50">
        <v>16</v>
      </c>
      <c r="D181" s="50">
        <v>7.6923076923076916</v>
      </c>
      <c r="E181" s="51">
        <v>0.6</v>
      </c>
      <c r="F181" s="51">
        <v>0.3</v>
      </c>
      <c r="G181" s="51">
        <v>0</v>
      </c>
      <c r="H181" s="51">
        <v>0.1</v>
      </c>
      <c r="I181" s="49">
        <f t="shared" si="6"/>
        <v>2.0512820512820498</v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>
        <v>90</v>
      </c>
      <c r="B182" s="50">
        <v>149.35897435897434</v>
      </c>
      <c r="C182" s="50">
        <v>17</v>
      </c>
      <c r="D182" s="50">
        <v>7.0512820512820511</v>
      </c>
      <c r="E182" s="51">
        <v>0.6</v>
      </c>
      <c r="F182" s="51">
        <v>0.3</v>
      </c>
      <c r="G182" s="51">
        <v>0</v>
      </c>
      <c r="H182" s="51">
        <v>0.1</v>
      </c>
      <c r="I182" s="49">
        <f t="shared" si="6"/>
        <v>1.9230769230769169</v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>
        <v>95</v>
      </c>
      <c r="B183" s="50">
        <v>151.28205128205127</v>
      </c>
      <c r="C183" s="50">
        <v>18</v>
      </c>
      <c r="D183" s="50">
        <v>7.0512820512820511</v>
      </c>
      <c r="E183" s="51">
        <v>0.6</v>
      </c>
      <c r="F183" s="51">
        <v>0.3</v>
      </c>
      <c r="G183" s="51">
        <v>0</v>
      </c>
      <c r="H183" s="51">
        <v>0.1</v>
      </c>
      <c r="I183" s="49">
        <f t="shared" si="6"/>
        <v>1.7948717948717956</v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>
        <v>100</v>
      </c>
      <c r="B184" s="50">
        <v>153.84615384615384</v>
      </c>
      <c r="C184" s="50">
        <v>19</v>
      </c>
      <c r="D184" s="50">
        <v>7.6923076923076916</v>
      </c>
      <c r="E184" s="51">
        <v>0.6</v>
      </c>
      <c r="F184" s="51">
        <v>0.3</v>
      </c>
      <c r="G184" s="51">
        <v>0</v>
      </c>
      <c r="H184" s="51">
        <v>0.1</v>
      </c>
      <c r="I184" s="49">
        <f t="shared" si="6"/>
        <v>1.9230769230769227</v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7" sqref="F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activeCell="B4" sqref="B4:B19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Cèdre de l'Atlas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laricio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 sessile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>Chêne pubescent</v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>Chêne vert</v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>Chêne rouge d'Amérique</v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387.50901594883317</v>
      </c>
      <c r="T3" s="59">
        <f>IF('Données projet'!E9&gt;30,$R$33-$H$33,LOOKUP('Données projet'!$E$9,$A$3:$A$203,R3:R203)-LOOKUP('Données projet'!$E$9,$A$3:$A$203,$H$3:$H$203))</f>
        <v>361.3623790401972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373.47758082856359</v>
      </c>
      <c r="AO3" s="59">
        <f>IF('Données projet'!E10&gt;30,$AM$33-$H$33,LOOKUP('Données projet'!$E$10,$A$3:$A$203,AM3:AM203)-LOOKUP('Données projet'!$E$10,$A$3:$A$203,$H$3:$H$203))</f>
        <v>277.24895424120166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627.65081154031589</v>
      </c>
      <c r="BJ3" s="59">
        <f>IF('Données projet'!E11&gt;30,$BH$33-$H$33,LOOKUP('Données projet'!$E$11,$A$3:$A$203,BH3:BH203)-LOOKUP('Données projet'!$E$11,$A$3:$A$203,$H$3:$H$203))</f>
        <v>288.78083487077618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692.2706942067415</v>
      </c>
      <c r="CE3" s="59">
        <f>IF('Données projet'!E12&gt;30,$CC$33-$H$33,LOOKUP('Données projet'!$E$12,$A$3:$A$203,CC3:CC203)-LOOKUP('Données projet'!$E$12,$A$3:$A$203,$H$3:$H$203))</f>
        <v>316.17529091924803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165</v>
      </c>
      <c r="CY3" s="59">
        <f ca="1">AVERAGE(OFFSET($CX$3,0,0,'Données projet'!$E$13+1,1))-AVERAGE(OFFSET($H$3,0,0,'Données projet'!$E$13+1,1))</f>
        <v>765.9523557587147</v>
      </c>
      <c r="CZ3" s="59">
        <f>IF('Données projet'!E13&gt;30,$CX$33-$H$33,LOOKUP('Données projet'!$E$13,$A$3:$A$203,CX3:CX203)-LOOKUP('Données projet'!$E$13,$A$3:$A$203,$H$3:$H$203))</f>
        <v>347.40395092312815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165</v>
      </c>
      <c r="DT3" s="59">
        <f ca="1">AVERAGE(OFFSET($DS$3,0,0,'Données projet'!$E$14+1,1))-AVERAGE(OFFSET($H$3,0,0,'Données projet'!$E$14+1,1))</f>
        <v>253.82888243490106</v>
      </c>
      <c r="DU3" s="59">
        <f>IF('Données projet'!E14&gt;30,$DS$33-$H$33,LOOKUP('Données projet'!$E$14,$A$3:$A$203,DS3:DS203)-LOOKUP('Données projet'!$E$14,$A$3:$A$203,$H$3:$H$203))</f>
        <v>224.11983819941796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9.9228571428571435</v>
      </c>
      <c r="N4" s="13">
        <f>IF('Données projet'!$A$36&gt;35,N3+M4-V3,IF(A4&lt;'Données projet'!$A$36,$K$205^A4,IF(A4='Données projet'!$A$36,'Données projet'!$B$36,N3+M4-V3)))</f>
        <v>9.9228571428571435</v>
      </c>
      <c r="O4" s="13">
        <f>N4*VLOOKUP('Données projet'!$B$9,Paramètres!$A$1:$I$89,3,0)*VLOOKUP('Données projet'!$B$9,Paramètres!$A$1:$I$89,5,0)</f>
        <v>4.6438971428571429</v>
      </c>
      <c r="P4" s="13">
        <f>EXP(-1.0587+0.8836*LN(O4)+0.284)</f>
        <v>1.7898206860922095</v>
      </c>
      <c r="Q4" s="20">
        <f t="shared" ref="Q4:Q34" si="2">(O4+P4)*0.475*44/12</f>
        <v>11.20539188542012</v>
      </c>
      <c r="R4" s="59">
        <f t="shared" si="0"/>
        <v>179.01782583834395</v>
      </c>
      <c r="S4" s="59">
        <f ca="1">AVERAGE(OFFSET($R$3,0,0,'Données projet'!$E$9+1,1))-AVERAGE(OFFSET($H$3,0,0,'Données projet'!$E$9+1,1))</f>
        <v>387.50901594883317</v>
      </c>
      <c r="T4" s="59">
        <f>$T$3</f>
        <v>361.3623790401972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5.8668181818181813</v>
      </c>
      <c r="AI4" s="13">
        <f>IF('Données projet'!$A$62&gt;35,AI3+AH4-AQ3,IF(A4&lt;'Données projet'!$A$62,$AF$205^A4,IF(A4='Données projet'!$A$62,'Données projet'!$B$62,AI3+AH4-AQ3)))</f>
        <v>1.2472301622014093</v>
      </c>
      <c r="AJ4" s="13">
        <f>AI4*VLOOKUP('Données projet'!$B$10,Paramètres!$A$1:$I$89,3,0)*VLOOKUP('Données projet'!$B$10,Paramètres!$A$1:$I$89,5,0)</f>
        <v>0.74584363699644274</v>
      </c>
      <c r="AK4" s="13">
        <f>EXP(-1.0587+0.8836*LN(AJ4)+0.284)</f>
        <v>0.35565068640491565</v>
      </c>
      <c r="AL4" s="20">
        <f t="shared" ref="AL4:AL67" si="4">(AJ4+AK4)*0.475*44/12</f>
        <v>1.918435946590699</v>
      </c>
      <c r="AM4" s="59">
        <f t="shared" ref="AM4:AM67" si="5">AL4+(AD4+AE4)*44/12</f>
        <v>169.73086989951454</v>
      </c>
      <c r="AN4" s="59">
        <f ca="1">AVERAGE(OFFSET($AM$3,0,0,'Données projet'!$E$10+1,1))-AVERAGE(OFFSET($H$3,0,0,'Données projet'!$E$10+1,1))</f>
        <v>373.47758082856359</v>
      </c>
      <c r="AO4" s="59">
        <f>$AO$3</f>
        <v>277.24895424120166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3.887142857142857</v>
      </c>
      <c r="BD4" s="12">
        <f>IF('Données projet'!$A$88&gt;35,BD3+BC4-BL3,IF(A4&lt;'Données projet'!$A$88,$BA$205^A4,IF(A4='Données projet'!$A$88,'Données projet'!$B$88,BD3+BC4-BL3)))</f>
        <v>3.887142857142857</v>
      </c>
      <c r="BE4" s="13">
        <f>BD4*VLOOKUP('Données projet'!$B$11,Paramètres!$A$1:$I$89,3,0)*VLOOKUP('Données projet'!$B$11,Paramètres!$A$1:$I$89,5,0)</f>
        <v>3.5170868571428571</v>
      </c>
      <c r="BF4" s="13">
        <f>EXP(-1.0587+0.8836*LN(BE4)+0.284)</f>
        <v>1.400101260019349</v>
      </c>
      <c r="BG4" s="20">
        <f t="shared" ref="BG4:BG67" si="7">(BE4+BF4)*0.475*44/12</f>
        <v>8.5641026373908407</v>
      </c>
      <c r="BH4" s="59">
        <f t="shared" ref="BH4:BH67" si="8">BG4+(AY4+AZ4)*44/12</f>
        <v>176.37653659031469</v>
      </c>
      <c r="BI4" s="59">
        <f ca="1">AVERAGE(OFFSET($BH$3,0,0,'Données projet'!$E$11+1,1))-AVERAGE(OFFSET($H$3,0,0,'Données projet'!$E$11+1,1))</f>
        <v>627.65081154031589</v>
      </c>
      <c r="BJ4" s="59">
        <f>$BJ$3</f>
        <v>288.78083487077618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3.887142857142857</v>
      </c>
      <c r="BY4" s="12">
        <f>IF('Données projet'!$A$114&gt;35,BY3+BX4-CG3,IF(A4&lt;'Données projet'!$A$114,$BV$205^A4,IF(A4='Données projet'!$A$114,'Données projet'!$B$114,BY3+BX4-CG3)))</f>
        <v>3.887142857142857</v>
      </c>
      <c r="BZ4" s="13">
        <f>BY4*VLOOKUP('Données projet'!$B$12,Paramètres!$A$1:$I$89,3,0)*VLOOKUP('Données projet'!$B$12,Paramètres!$A$1:$I$89,5,0)</f>
        <v>3.9415628571428569</v>
      </c>
      <c r="CA4" s="13">
        <f>EXP(-1.0587+0.8836*LN(BZ4)+0.284)</f>
        <v>1.5484055284644385</v>
      </c>
      <c r="CB4" s="20">
        <f t="shared" ref="CB4:CB67" si="10">(BZ4+CA4)*0.475*44/12</f>
        <v>9.5616949382660383</v>
      </c>
      <c r="CC4" s="59">
        <f t="shared" ref="CC4:CC67" si="11">CB4+(BT4+BU4)*44/12</f>
        <v>177.37412889118988</v>
      </c>
      <c r="CD4" s="59">
        <f ca="1">AVERAGE(OFFSET($CC$3,0,0,'Données projet'!$E$12+1,1))-AVERAGE(OFFSET($H$3,0,0,'Données projet'!$E$12+1,1))</f>
        <v>692.2706942067415</v>
      </c>
      <c r="CE4" s="59">
        <f>$CE$3</f>
        <v>316.17529091924803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3.887142857142857</v>
      </c>
      <c r="CT4" s="12">
        <f>IF('Données projet'!$A$140&gt;35,CT3+CS4-DB3,IF(A4&lt;'Données projet'!$A$140,$CQ$205^A4,IF(A4='Données projet'!$A$140,'Données projet'!$B$140,CT3+CS4-DB3)))</f>
        <v>3.887142857142857</v>
      </c>
      <c r="CU4" s="17">
        <f>CT4*VLOOKUP('Données projet'!$B$13,Paramètres!$A$1:$I$89,3,0)*VLOOKUP('Données projet'!$B$13,Paramètres!$A$1:$I$89,5,0)</f>
        <v>4.426678285714285</v>
      </c>
      <c r="CV4" s="13">
        <f>EXP(-1.0587+0.8836*LN(CU4)+0.284)</f>
        <v>1.7156415300493391</v>
      </c>
      <c r="CW4" s="20">
        <f t="shared" ref="CW4:CW67" si="13">(CU4+CV4)*0.475*44/12</f>
        <v>10.697873679121644</v>
      </c>
      <c r="CX4" s="59">
        <f t="shared" ref="CX4:CX67" si="14">CW4+(CO4+CP4)*44/12</f>
        <v>178.51030763204548</v>
      </c>
      <c r="CY4" s="59">
        <f ca="1">AVERAGE(OFFSET($CX$3,0,0,'Données projet'!$E$13+1,1))-AVERAGE(OFFSET($H$3,0,0,'Données projet'!$E$13+1,1))</f>
        <v>765.9523557587147</v>
      </c>
      <c r="CZ4" s="59">
        <f>$CZ$3</f>
        <v>347.40395092312815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1.4743589743589742</v>
      </c>
      <c r="DO4" s="12">
        <f>IF('Données projet'!$A$166&gt;35,DO3+DN4-DW3,IF(A4&lt;'Données projet'!$A$166,$DL$205^A4,IF(A4='Données projet'!$A$166,'Données projet'!$B$166,DO3+DN4-DW3)))</f>
        <v>1.3087609363064139</v>
      </c>
      <c r="DP4" s="17">
        <f>DO4*VLOOKUP('Données projet'!$B$14,Paramètres!$A$1:$I$89,3,0)*VLOOKUP('Données projet'!$B$14,Paramètres!$A$1:$I$89,5,0)</f>
        <v>1.1433335539572833</v>
      </c>
      <c r="DQ4" s="13">
        <f>EXP(-1.0587+0.8836*LN(DP4)+0.284)</f>
        <v>0.51874471212350137</v>
      </c>
      <c r="DR4" s="20">
        <f t="shared" ref="DR4:DR67" si="16">(DP4+DQ4)*0.475*44/12</f>
        <v>2.8947863134240333</v>
      </c>
      <c r="DS4" s="59">
        <f t="shared" ref="DS4:DS67" si="17">DR4+(DJ4+DK4)*44/12</f>
        <v>170.70722026634786</v>
      </c>
      <c r="DT4" s="59">
        <f ca="1">AVERAGE(OFFSET($DS$3,0,0,'Données projet'!$E$14+1,1))-AVERAGE(OFFSET($H$3,0,0,'Données projet'!$E$14+1,1))</f>
        <v>253.82888243490106</v>
      </c>
      <c r="DU4" s="59">
        <f>$DU$3</f>
        <v>224.11983819941796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9.9228571428571435</v>
      </c>
      <c r="N5" s="13">
        <f>IF('Données projet'!$A$36&gt;35,N4+M5-V4,IF(A5&lt;'Données projet'!$A$36,$K$205^A5,IF(A5='Données projet'!$A$36,'Données projet'!$B$36,N4+M5-V4)))</f>
        <v>19.845714285714287</v>
      </c>
      <c r="O5" s="13">
        <f>N5*VLOOKUP('Données projet'!$B$9,Paramètres!$A$1:$I$89,3,0)*VLOOKUP('Données projet'!$B$9,Paramètres!$A$1:$I$89,5,0)</f>
        <v>9.2877942857142859</v>
      </c>
      <c r="P5" s="13">
        <f t="shared" ref="P5:P68" si="33">EXP(-1.0587+0.8836*LN(O5)+0.284)</f>
        <v>3.3021715192899936</v>
      </c>
      <c r="Q5" s="20">
        <f t="shared" si="2"/>
        <v>21.927523777049117</v>
      </c>
      <c r="R5" s="59">
        <f t="shared" si="0"/>
        <v>192.52480506454995</v>
      </c>
      <c r="S5" s="59">
        <f ca="1">AVERAGE(OFFSET($R$3,0,0,'Données projet'!$E$9+1,1))-AVERAGE(OFFSET($H$3,0,0,'Données projet'!$E$9+1,1))</f>
        <v>387.50901594883317</v>
      </c>
      <c r="T5" s="59">
        <f t="shared" ref="T5:T68" si="34">$T$3</f>
        <v>361.3623790401972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5.8668181818181813</v>
      </c>
      <c r="AI5" s="13">
        <f>IF('Données projet'!$A$62&gt;35,AI4+AH5-AQ4,IF(A5&lt;'Données projet'!$A$62,$AF$205^A5,IF(A5='Données projet'!$A$62,'Données projet'!$B$62,AI4+AH5-AQ4)))</f>
        <v>1.5555830775049537</v>
      </c>
      <c r="AJ5" s="13">
        <f>AI5*VLOOKUP('Données projet'!$B$10,Paramètres!$A$1:$I$89,3,0)*VLOOKUP('Données projet'!$B$10,Paramètres!$A$1:$I$89,5,0)</f>
        <v>0.93023868034796242</v>
      </c>
      <c r="AK5" s="13">
        <f t="shared" ref="AK5:AK68" si="35">EXP(-1.0587+0.8836*LN(AJ5)+0.284)</f>
        <v>0.43231675887518456</v>
      </c>
      <c r="AL5" s="20">
        <f t="shared" si="4"/>
        <v>2.373117389980314</v>
      </c>
      <c r="AM5" s="59">
        <f t="shared" si="5"/>
        <v>172.97039867748114</v>
      </c>
      <c r="AN5" s="59">
        <f ca="1">AVERAGE(OFFSET($AM$3,0,0,'Données projet'!$E$10+1,1))-AVERAGE(OFFSET($H$3,0,0,'Données projet'!$E$10+1,1))</f>
        <v>373.47758082856359</v>
      </c>
      <c r="AO5" s="59">
        <f t="shared" ref="AO5:AO68" si="36">$AO$3</f>
        <v>277.24895424120166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3.887142857142857</v>
      </c>
      <c r="BD5" s="12">
        <f>IF('Données projet'!$A$88&gt;35,BD4+BC5-BL4,IF(A5&lt;'Données projet'!$A$88,$BA$205^A5,IF(A5='Données projet'!$A$88,'Données projet'!$B$88,BD4+BC5-BL4)))</f>
        <v>7.774285714285714</v>
      </c>
      <c r="BE5" s="13">
        <f>BD5*VLOOKUP('Données projet'!$B$11,Paramètres!$A$1:$I$89,3,0)*VLOOKUP('Données projet'!$B$11,Paramètres!$A$1:$I$89,5,0)</f>
        <v>7.0341737142857141</v>
      </c>
      <c r="BF5" s="13">
        <f t="shared" ref="BF5:BF68" si="37">EXP(-1.0587+0.8836*LN(BE5)+0.284)</f>
        <v>2.5831495528484112</v>
      </c>
      <c r="BG5" s="20">
        <f t="shared" si="7"/>
        <v>16.750171356925268</v>
      </c>
      <c r="BH5" s="59">
        <f t="shared" si="8"/>
        <v>187.34745264442611</v>
      </c>
      <c r="BI5" s="59">
        <f ca="1">AVERAGE(OFFSET($BH$3,0,0,'Données projet'!$E$11+1,1))-AVERAGE(OFFSET($H$3,0,0,'Données projet'!$E$11+1,1))</f>
        <v>627.65081154031589</v>
      </c>
      <c r="BJ5" s="59">
        <f t="shared" ref="BJ5:BJ68" si="38">$BJ$3</f>
        <v>288.78083487077618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3.887142857142857</v>
      </c>
      <c r="BY5" s="12">
        <f>IF('Données projet'!$A$114&gt;35,BY4+BX5-CG4,IF(A5&lt;'Données projet'!$A$114,$BV$205^A5,IF(A5='Données projet'!$A$114,'Données projet'!$B$114,BY4+BX5-CG4)))</f>
        <v>7.774285714285714</v>
      </c>
      <c r="BZ5" s="13">
        <f>BY5*VLOOKUP('Données projet'!$B$12,Paramètres!$A$1:$I$89,3,0)*VLOOKUP('Données projet'!$B$12,Paramètres!$A$1:$I$89,5,0)</f>
        <v>7.8831257142857138</v>
      </c>
      <c r="CA5" s="13">
        <f t="shared" ref="CA5:CA68" si="39">EXP(-1.0587+0.8836*LN(BZ5)+0.284)</f>
        <v>2.8567669801437421</v>
      </c>
      <c r="CB5" s="20">
        <f t="shared" si="10"/>
        <v>18.705313109464633</v>
      </c>
      <c r="CC5" s="59">
        <f t="shared" si="11"/>
        <v>189.30259439696547</v>
      </c>
      <c r="CD5" s="59">
        <f ca="1">AVERAGE(OFFSET($CC$3,0,0,'Données projet'!$E$12+1,1))-AVERAGE(OFFSET($H$3,0,0,'Données projet'!$E$12+1,1))</f>
        <v>692.2706942067415</v>
      </c>
      <c r="CE5" s="59">
        <f t="shared" ref="CE5:CE68" si="40">$CE$3</f>
        <v>316.17529091924803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3.887142857142857</v>
      </c>
      <c r="CT5" s="12">
        <f>IF('Données projet'!$A$140&gt;35,CT4+CS5-DB4,IF(A5&lt;'Données projet'!$A$140,$CQ$205^A5,IF(A5='Données projet'!$A$140,'Données projet'!$B$140,CT4+CS5-DB4)))</f>
        <v>7.774285714285714</v>
      </c>
      <c r="CU5" s="17">
        <f>CT5*VLOOKUP('Données projet'!$B$13,Paramètres!$A$1:$I$89,3,0)*VLOOKUP('Données projet'!$B$13,Paramètres!$A$1:$I$89,5,0)</f>
        <v>8.85335657142857</v>
      </c>
      <c r="CV5" s="13">
        <f t="shared" ref="CV5:CV68" si="41">EXP(-1.0587+0.8836*LN(CU5)+0.284)</f>
        <v>3.1653129511031719</v>
      </c>
      <c r="CW5" s="20">
        <f t="shared" si="13"/>
        <v>20.932516085076113</v>
      </c>
      <c r="CX5" s="59">
        <f t="shared" si="14"/>
        <v>191.52979737257695</v>
      </c>
      <c r="CY5" s="59">
        <f ca="1">AVERAGE(OFFSET($CX$3,0,0,'Données projet'!$E$13+1,1))-AVERAGE(OFFSET($H$3,0,0,'Données projet'!$E$13+1,1))</f>
        <v>765.9523557587147</v>
      </c>
      <c r="CZ5" s="59">
        <f t="shared" ref="CZ5:CZ68" si="42">$CZ$3</f>
        <v>347.40395092312815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1.4743589743589742</v>
      </c>
      <c r="DO5" s="12">
        <f>IF('Données projet'!$A$166&gt;35,DO4+DN5-DW4,IF(A5&lt;'Données projet'!$A$166,$DL$205^A5,IF(A5='Données projet'!$A$166,'Données projet'!$B$166,DO4+DN5-DW4)))</f>
        <v>1.7128551884016412</v>
      </c>
      <c r="DP5" s="17">
        <f>DO5*VLOOKUP('Données projet'!$B$14,Paramètres!$A$1:$I$89,3,0)*VLOOKUP('Données projet'!$B$14,Paramètres!$A$1:$I$89,5,0)</f>
        <v>1.4963502925876739</v>
      </c>
      <c r="DQ5" s="13">
        <f t="shared" ref="DQ5:DQ68" si="43">EXP(-1.0587+0.8836*LN(DP5)+0.284)</f>
        <v>0.65797813924988391</v>
      </c>
      <c r="DR5" s="20">
        <f t="shared" si="16"/>
        <v>3.7521220187837465</v>
      </c>
      <c r="DS5" s="59">
        <f t="shared" si="17"/>
        <v>174.34940330628459</v>
      </c>
      <c r="DT5" s="59">
        <f ca="1">AVERAGE(OFFSET($DS$3,0,0,'Données projet'!$E$14+1,1))-AVERAGE(OFFSET($H$3,0,0,'Données projet'!$E$14+1,1))</f>
        <v>253.82888243490106</v>
      </c>
      <c r="DU5" s="59">
        <f t="shared" ref="DU5:DU68" si="44">$DU$3</f>
        <v>224.11983819941796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9.9228571428571435</v>
      </c>
      <c r="N6" s="13">
        <f>IF('Données projet'!$A$36&gt;35,N5+M6-V5,IF(A6&lt;'Données projet'!$A$36,$K$205^A6,IF(A6='Données projet'!$A$36,'Données projet'!$B$36,N5+M6-V5)))</f>
        <v>29.76857142857143</v>
      </c>
      <c r="O6" s="13">
        <f>N6*VLOOKUP('Données projet'!$B$9,Paramètres!$A$1:$I$89,3,0)*VLOOKUP('Données projet'!$B$9,Paramètres!$A$1:$I$89,5,0)</f>
        <v>13.93169142857143</v>
      </c>
      <c r="P6" s="13">
        <f t="shared" si="33"/>
        <v>4.7249135181182051</v>
      </c>
      <c r="Q6" s="20">
        <f t="shared" si="2"/>
        <v>32.493586948817772</v>
      </c>
      <c r="R6" s="59">
        <f t="shared" si="0"/>
        <v>205.84860751870266</v>
      </c>
      <c r="S6" s="59">
        <f ca="1">AVERAGE(OFFSET($R$3,0,0,'Données projet'!$E$9+1,1))-AVERAGE(OFFSET($H$3,0,0,'Données projet'!$E$9+1,1))</f>
        <v>387.50901594883317</v>
      </c>
      <c r="T6" s="59">
        <f t="shared" si="34"/>
        <v>361.3623790401972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5.8668181818181813</v>
      </c>
      <c r="AI6" s="13">
        <f>IF('Données projet'!$A$62&gt;35,AI5+AH6-AQ5,IF(A6&lt;'Données projet'!$A$62,$AF$205^A6,IF(A6='Données projet'!$A$62,'Données projet'!$B$62,AI5+AH6-AQ5)))</f>
        <v>1.9401701340742707</v>
      </c>
      <c r="AJ6" s="13">
        <f>AI6*VLOOKUP('Données projet'!$B$10,Paramètres!$A$1:$I$89,3,0)*VLOOKUP('Données projet'!$B$10,Paramètres!$A$1:$I$89,5,0)</f>
        <v>1.1602217401764139</v>
      </c>
      <c r="AK6" s="13">
        <f t="shared" si="35"/>
        <v>0.52550940332379237</v>
      </c>
      <c r="AL6" s="20">
        <f t="shared" si="4"/>
        <v>2.9359817415961924</v>
      </c>
      <c r="AM6" s="59">
        <f t="shared" si="5"/>
        <v>176.29100231148107</v>
      </c>
      <c r="AN6" s="59">
        <f ca="1">AVERAGE(OFFSET($AM$3,0,0,'Données projet'!$E$10+1,1))-AVERAGE(OFFSET($H$3,0,0,'Données projet'!$E$10+1,1))</f>
        <v>373.47758082856359</v>
      </c>
      <c r="AO6" s="59">
        <f t="shared" si="36"/>
        <v>277.24895424120166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3.887142857142857</v>
      </c>
      <c r="BD6" s="12">
        <f>IF('Données projet'!$A$88&gt;35,BD5+BC6-BL5,IF(A6&lt;'Données projet'!$A$88,$BA$205^A6,IF(A6='Données projet'!$A$88,'Données projet'!$B$88,BD5+BC6-BL5)))</f>
        <v>11.661428571428571</v>
      </c>
      <c r="BE6" s="13">
        <f>BD6*VLOOKUP('Données projet'!$B$11,Paramètres!$A$1:$I$89,3,0)*VLOOKUP('Données projet'!$B$11,Paramètres!$A$1:$I$89,5,0)</f>
        <v>10.551260571428571</v>
      </c>
      <c r="BF6" s="13">
        <f t="shared" si="37"/>
        <v>3.6961006326523931</v>
      </c>
      <c r="BG6" s="20">
        <f t="shared" si="7"/>
        <v>24.814154097107675</v>
      </c>
      <c r="BH6" s="59">
        <f t="shared" si="8"/>
        <v>198.16917466699255</v>
      </c>
      <c r="BI6" s="59">
        <f ca="1">AVERAGE(OFFSET($BH$3,0,0,'Données projet'!$E$11+1,1))-AVERAGE(OFFSET($H$3,0,0,'Données projet'!$E$11+1,1))</f>
        <v>627.65081154031589</v>
      </c>
      <c r="BJ6" s="59">
        <f t="shared" si="38"/>
        <v>288.78083487077618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3.887142857142857</v>
      </c>
      <c r="BY6" s="12">
        <f>IF('Données projet'!$A$114&gt;35,BY5+BX6-CG5,IF(A6&lt;'Données projet'!$A$114,$BV$205^A6,IF(A6='Données projet'!$A$114,'Données projet'!$B$114,BY5+BX6-CG5)))</f>
        <v>11.661428571428571</v>
      </c>
      <c r="BZ6" s="13">
        <f>BY6*VLOOKUP('Données projet'!$B$12,Paramètres!$A$1:$I$89,3,0)*VLOOKUP('Données projet'!$B$12,Paramètres!$A$1:$I$89,5,0)</f>
        <v>11.824688571428572</v>
      </c>
      <c r="CA6" s="13">
        <f t="shared" si="39"/>
        <v>4.0876062444803347</v>
      </c>
      <c r="CB6" s="20">
        <f t="shared" si="10"/>
        <v>27.713913471041348</v>
      </c>
      <c r="CC6" s="59">
        <f t="shared" si="11"/>
        <v>201.06893404092622</v>
      </c>
      <c r="CD6" s="59">
        <f ca="1">AVERAGE(OFFSET($CC$3,0,0,'Données projet'!$E$12+1,1))-AVERAGE(OFFSET($H$3,0,0,'Données projet'!$E$12+1,1))</f>
        <v>692.2706942067415</v>
      </c>
      <c r="CE6" s="59">
        <f t="shared" si="40"/>
        <v>316.17529091924803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3.887142857142857</v>
      </c>
      <c r="CT6" s="12">
        <f>IF('Données projet'!$A$140&gt;35,CT5+CS6-DB5,IF(A6&lt;'Données projet'!$A$140,$CQ$205^A6,IF(A6='Données projet'!$A$140,'Données projet'!$B$140,CT5+CS6-DB5)))</f>
        <v>11.661428571428571</v>
      </c>
      <c r="CU6" s="17">
        <f>CT6*VLOOKUP('Données projet'!$B$13,Paramètres!$A$1:$I$89,3,0)*VLOOKUP('Données projet'!$B$13,Paramètres!$A$1:$I$89,5,0)</f>
        <v>13.280034857142857</v>
      </c>
      <c r="CV6" s="13">
        <f t="shared" si="41"/>
        <v>4.5290893778157519</v>
      </c>
      <c r="CW6" s="20">
        <f t="shared" si="13"/>
        <v>31.01755804255291</v>
      </c>
      <c r="CX6" s="59">
        <f t="shared" si="14"/>
        <v>204.37257861243779</v>
      </c>
      <c r="CY6" s="59">
        <f ca="1">AVERAGE(OFFSET($CX$3,0,0,'Données projet'!$E$13+1,1))-AVERAGE(OFFSET($H$3,0,0,'Données projet'!$E$13+1,1))</f>
        <v>765.9523557587147</v>
      </c>
      <c r="CZ6" s="59">
        <f t="shared" si="42"/>
        <v>347.40395092312815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1.4743589743589742</v>
      </c>
      <c r="DO6" s="12">
        <f>IF('Données projet'!$A$166&gt;35,DO5+DN6-DW5,IF(A6&lt;'Données projet'!$A$166,$DL$205^A6,IF(A6='Données projet'!$A$166,'Données projet'!$B$166,DO5+DN6-DW5)))</f>
        <v>2.2417179601298307</v>
      </c>
      <c r="DP6" s="17">
        <f>DO6*VLOOKUP('Données projet'!$B$14,Paramètres!$A$1:$I$89,3,0)*VLOOKUP('Données projet'!$B$14,Paramètres!$A$1:$I$89,5,0)</f>
        <v>1.9583648099694204</v>
      </c>
      <c r="DQ6" s="13">
        <f t="shared" si="43"/>
        <v>0.83458244799933012</v>
      </c>
      <c r="DR6" s="20">
        <f t="shared" si="16"/>
        <v>4.8643831409622402</v>
      </c>
      <c r="DS6" s="59">
        <f t="shared" si="17"/>
        <v>178.21940371084713</v>
      </c>
      <c r="DT6" s="59">
        <f ca="1">AVERAGE(OFFSET($DS$3,0,0,'Données projet'!$E$14+1,1))-AVERAGE(OFFSET($H$3,0,0,'Données projet'!$E$14+1,1))</f>
        <v>253.82888243490106</v>
      </c>
      <c r="DU6" s="59">
        <f t="shared" si="44"/>
        <v>224.11983819941796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9.9228571428571435</v>
      </c>
      <c r="N7" s="13">
        <f>IF('Données projet'!$A$36&gt;35,N6+M7-V6,IF(A7&lt;'Données projet'!$A$36,$K$205^A7,IF(A7='Données projet'!$A$36,'Données projet'!$B$36,N6+M7-V6)))</f>
        <v>39.691428571428574</v>
      </c>
      <c r="O7" s="13">
        <f>N7*VLOOKUP('Données projet'!$B$9,Paramètres!$A$1:$I$89,3,0)*VLOOKUP('Données projet'!$B$9,Paramètres!$A$1:$I$89,5,0)</f>
        <v>18.575588571428572</v>
      </c>
      <c r="P7" s="13">
        <f t="shared" si="33"/>
        <v>6.0924185464734348</v>
      </c>
      <c r="Q7" s="20">
        <f t="shared" si="2"/>
        <v>42.963445730345995</v>
      </c>
      <c r="R7" s="59">
        <f t="shared" si="0"/>
        <v>219.04956779452294</v>
      </c>
      <c r="S7" s="59">
        <f ca="1">AVERAGE(OFFSET($R$3,0,0,'Données projet'!$E$9+1,1))-AVERAGE(OFFSET($H$3,0,0,'Données projet'!$E$9+1,1))</f>
        <v>387.50901594883317</v>
      </c>
      <c r="T7" s="59">
        <f t="shared" si="34"/>
        <v>361.3623790401972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5.8668181818181813</v>
      </c>
      <c r="AI7" s="13">
        <f>IF('Données projet'!$A$62&gt;35,AI6+AH7-AQ6,IF(A7&lt;'Données projet'!$A$62,$AF$205^A7,IF(A7='Données projet'!$A$62,'Données projet'!$B$62,AI6+AH7-AQ6)))</f>
        <v>2.419838711019783</v>
      </c>
      <c r="AJ7" s="13">
        <f>AI7*VLOOKUP('Données projet'!$B$10,Paramètres!$A$1:$I$89,3,0)*VLOOKUP('Données projet'!$B$10,Paramètres!$A$1:$I$89,5,0)</f>
        <v>1.4470635491898303</v>
      </c>
      <c r="AK7" s="13">
        <f t="shared" si="35"/>
        <v>0.63879118103182142</v>
      </c>
      <c r="AL7" s="20">
        <f t="shared" si="4"/>
        <v>3.6328636551360431</v>
      </c>
      <c r="AM7" s="59">
        <f t="shared" si="5"/>
        <v>179.718985719313</v>
      </c>
      <c r="AN7" s="59">
        <f ca="1">AVERAGE(OFFSET($AM$3,0,0,'Données projet'!$E$10+1,1))-AVERAGE(OFFSET($H$3,0,0,'Données projet'!$E$10+1,1))</f>
        <v>373.47758082856359</v>
      </c>
      <c r="AO7" s="59">
        <f t="shared" si="36"/>
        <v>277.24895424120166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3.887142857142857</v>
      </c>
      <c r="BD7" s="12">
        <f>IF('Données projet'!$A$88&gt;35,BD6+BC7-BL6,IF(A7&lt;'Données projet'!$A$88,$BA$205^A7,IF(A7='Données projet'!$A$88,'Données projet'!$B$88,BD6+BC7-BL6)))</f>
        <v>15.548571428571428</v>
      </c>
      <c r="BE7" s="13">
        <f>BD7*VLOOKUP('Données projet'!$B$11,Paramètres!$A$1:$I$89,3,0)*VLOOKUP('Données projet'!$B$11,Paramètres!$A$1:$I$89,5,0)</f>
        <v>14.068347428571428</v>
      </c>
      <c r="BF7" s="13">
        <f t="shared" si="37"/>
        <v>4.7658421593654818</v>
      </c>
      <c r="BG7" s="20">
        <f t="shared" si="7"/>
        <v>32.802880198990124</v>
      </c>
      <c r="BH7" s="59">
        <f t="shared" si="8"/>
        <v>208.88900226316707</v>
      </c>
      <c r="BI7" s="59">
        <f ca="1">AVERAGE(OFFSET($BH$3,0,0,'Données projet'!$E$11+1,1))-AVERAGE(OFFSET($H$3,0,0,'Données projet'!$E$11+1,1))</f>
        <v>627.65081154031589</v>
      </c>
      <c r="BJ7" s="59">
        <f t="shared" si="38"/>
        <v>288.78083487077618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3.887142857142857</v>
      </c>
      <c r="BY7" s="12">
        <f>IF('Données projet'!$A$114&gt;35,BY6+BX7-CG6,IF(A7&lt;'Données projet'!$A$114,$BV$205^A7,IF(A7='Données projet'!$A$114,'Données projet'!$B$114,BY6+BX7-CG6)))</f>
        <v>15.548571428571428</v>
      </c>
      <c r="BZ7" s="13">
        <f>BY7*VLOOKUP('Données projet'!$B$12,Paramètres!$A$1:$I$89,3,0)*VLOOKUP('Données projet'!$B$12,Paramètres!$A$1:$I$89,5,0)</f>
        <v>15.766251428571428</v>
      </c>
      <c r="CA7" s="13">
        <f t="shared" si="39"/>
        <v>5.2706590287965538</v>
      </c>
      <c r="CB7" s="20">
        <f t="shared" si="10"/>
        <v>36.63928571324923</v>
      </c>
      <c r="CC7" s="59">
        <f t="shared" si="11"/>
        <v>212.72540777742617</v>
      </c>
      <c r="CD7" s="59">
        <f ca="1">AVERAGE(OFFSET($CC$3,0,0,'Données projet'!$E$12+1,1))-AVERAGE(OFFSET($H$3,0,0,'Données projet'!$E$12+1,1))</f>
        <v>692.2706942067415</v>
      </c>
      <c r="CE7" s="59">
        <f t="shared" si="40"/>
        <v>316.17529091924803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3.887142857142857</v>
      </c>
      <c r="CT7" s="12">
        <f>IF('Données projet'!$A$140&gt;35,CT6+CS7-DB6,IF(A7&lt;'Données projet'!$A$140,$CQ$205^A7,IF(A7='Données projet'!$A$140,'Données projet'!$B$140,CT6+CS7-DB6)))</f>
        <v>15.548571428571428</v>
      </c>
      <c r="CU7" s="17">
        <f>CT7*VLOOKUP('Données projet'!$B$13,Paramètres!$A$1:$I$89,3,0)*VLOOKUP('Données projet'!$B$13,Paramètres!$A$1:$I$89,5,0)</f>
        <v>17.70671314285714</v>
      </c>
      <c r="CV7" s="13">
        <f t="shared" si="41"/>
        <v>5.8399181314603261</v>
      </c>
      <c r="CW7" s="20">
        <f t="shared" si="13"/>
        <v>41.010382802769584</v>
      </c>
      <c r="CX7" s="59">
        <f t="shared" si="14"/>
        <v>217.09650486694653</v>
      </c>
      <c r="CY7" s="59">
        <f ca="1">AVERAGE(OFFSET($CX$3,0,0,'Données projet'!$E$13+1,1))-AVERAGE(OFFSET($H$3,0,0,'Données projet'!$E$13+1,1))</f>
        <v>765.9523557587147</v>
      </c>
      <c r="CZ7" s="59">
        <f t="shared" si="42"/>
        <v>347.40395092312815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1.4743589743589742</v>
      </c>
      <c r="DO7" s="12">
        <f>IF('Données projet'!$A$166&gt;35,DO6+DN7-DW6,IF(A7&lt;'Données projet'!$A$166,$DL$205^A7,IF(A7='Données projet'!$A$166,'Données projet'!$B$166,DO6+DN7-DW6)))</f>
        <v>2.9338728964344218</v>
      </c>
      <c r="DP7" s="17">
        <f>DO7*VLOOKUP('Données projet'!$B$14,Paramètres!$A$1:$I$89,3,0)*VLOOKUP('Données projet'!$B$14,Paramètres!$A$1:$I$89,5,0)</f>
        <v>2.5630313623251113</v>
      </c>
      <c r="DQ7" s="13">
        <f t="shared" si="43"/>
        <v>1.0585881520359</v>
      </c>
      <c r="DR7" s="20">
        <f t="shared" si="16"/>
        <v>6.3076539875120945</v>
      </c>
      <c r="DS7" s="59">
        <f t="shared" si="17"/>
        <v>182.39377605168903</v>
      </c>
      <c r="DT7" s="59">
        <f ca="1">AVERAGE(OFFSET($DS$3,0,0,'Données projet'!$E$14+1,1))-AVERAGE(OFFSET($H$3,0,0,'Données projet'!$E$14+1,1))</f>
        <v>253.82888243490106</v>
      </c>
      <c r="DU7" s="59">
        <f t="shared" si="44"/>
        <v>224.11983819941796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9.9228571428571435</v>
      </c>
      <c r="N8" s="13">
        <f>IF('Données projet'!$A$36&gt;35,N7+M8-V7,IF(A8&lt;'Données projet'!$A$36,$K$205^A8,IF(A8='Données projet'!$A$36,'Données projet'!$B$36,N7+M8-V7)))</f>
        <v>49.614285714285714</v>
      </c>
      <c r="O8" s="13">
        <f>N8*VLOOKUP('Données projet'!$B$9,Paramètres!$A$1:$I$89,3,0)*VLOOKUP('Données projet'!$B$9,Paramètres!$A$1:$I$89,5,0)</f>
        <v>23.219485714285714</v>
      </c>
      <c r="P8" s="13">
        <f t="shared" si="33"/>
        <v>7.4202650598578179</v>
      </c>
      <c r="Q8" s="20">
        <f t="shared" si="2"/>
        <v>53.364232598299985</v>
      </c>
      <c r="R8" s="59">
        <f t="shared" si="0"/>
        <v>232.15528047474734</v>
      </c>
      <c r="S8" s="59">
        <f ca="1">AVERAGE(OFFSET($R$3,0,0,'Données projet'!$E$9+1,1))-AVERAGE(OFFSET($H$3,0,0,'Données projet'!$E$9+1,1))</f>
        <v>387.50901594883317</v>
      </c>
      <c r="T8" s="59">
        <f t="shared" si="34"/>
        <v>361.3623790401972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5.8668181818181813</v>
      </c>
      <c r="AI8" s="13">
        <f>IF('Données projet'!$A$62&gt;35,AI7+AH8-AQ7,IF(A8&lt;'Données projet'!$A$62,$AF$205^A8,IF(A8='Données projet'!$A$62,'Données projet'!$B$62,AI7+AH8-AQ7)))</f>
        <v>3.0180958280464529</v>
      </c>
      <c r="AJ8" s="13">
        <f>AI8*VLOOKUP('Données projet'!$B$10,Paramètres!$A$1:$I$89,3,0)*VLOOKUP('Données projet'!$B$10,Paramètres!$A$1:$I$89,5,0)</f>
        <v>1.804821305171779</v>
      </c>
      <c r="AK8" s="13">
        <f t="shared" si="35"/>
        <v>0.77649261912941803</v>
      </c>
      <c r="AL8" s="20">
        <f t="shared" si="4"/>
        <v>4.4957884181579182</v>
      </c>
      <c r="AM8" s="59">
        <f t="shared" si="5"/>
        <v>183.28683629460528</v>
      </c>
      <c r="AN8" s="59">
        <f ca="1">AVERAGE(OFFSET($AM$3,0,0,'Données projet'!$E$10+1,1))-AVERAGE(OFFSET($H$3,0,0,'Données projet'!$E$10+1,1))</f>
        <v>373.47758082856359</v>
      </c>
      <c r="AO8" s="59">
        <f t="shared" si="36"/>
        <v>277.24895424120166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3.887142857142857</v>
      </c>
      <c r="BD8" s="12">
        <f>IF('Données projet'!$A$88&gt;35,BD7+BC8-BL7,IF(A8&lt;'Données projet'!$A$88,$BA$205^A8,IF(A8='Données projet'!$A$88,'Données projet'!$B$88,BD7+BC8-BL7)))</f>
        <v>19.435714285714283</v>
      </c>
      <c r="BE8" s="13">
        <f>BD8*VLOOKUP('Données projet'!$B$11,Paramètres!$A$1:$I$89,3,0)*VLOOKUP('Données projet'!$B$11,Paramètres!$A$1:$I$89,5,0)</f>
        <v>17.585434285714282</v>
      </c>
      <c r="BF8" s="13">
        <f t="shared" si="37"/>
        <v>5.804560501905633</v>
      </c>
      <c r="BG8" s="20">
        <f t="shared" si="7"/>
        <v>40.737574255104683</v>
      </c>
      <c r="BH8" s="59">
        <f t="shared" si="8"/>
        <v>219.52862213155203</v>
      </c>
      <c r="BI8" s="59">
        <f ca="1">AVERAGE(OFFSET($BH$3,0,0,'Données projet'!$E$11+1,1))-AVERAGE(OFFSET($H$3,0,0,'Données projet'!$E$11+1,1))</f>
        <v>627.65081154031589</v>
      </c>
      <c r="BJ8" s="59">
        <f t="shared" si="38"/>
        <v>288.78083487077618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3.887142857142857</v>
      </c>
      <c r="BY8" s="12">
        <f>IF('Données projet'!$A$114&gt;35,BY7+BX8-CG7,IF(A8&lt;'Données projet'!$A$114,$BV$205^A8,IF(A8='Données projet'!$A$114,'Données projet'!$B$114,BY7+BX8-CG7)))</f>
        <v>19.435714285714283</v>
      </c>
      <c r="BZ8" s="13">
        <f>BY8*VLOOKUP('Données projet'!$B$12,Paramètres!$A$1:$I$89,3,0)*VLOOKUP('Données projet'!$B$12,Paramètres!$A$1:$I$89,5,0)</f>
        <v>19.707814285714285</v>
      </c>
      <c r="CA8" s="13">
        <f t="shared" si="39"/>
        <v>6.4194025304518281</v>
      </c>
      <c r="CB8" s="20">
        <f t="shared" si="10"/>
        <v>45.504902621489315</v>
      </c>
      <c r="CC8" s="59">
        <f t="shared" si="11"/>
        <v>224.29595049793667</v>
      </c>
      <c r="CD8" s="59">
        <f ca="1">AVERAGE(OFFSET($CC$3,0,0,'Données projet'!$E$12+1,1))-AVERAGE(OFFSET($H$3,0,0,'Données projet'!$E$12+1,1))</f>
        <v>692.2706942067415</v>
      </c>
      <c r="CE8" s="59">
        <f t="shared" si="40"/>
        <v>316.17529091924803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3.887142857142857</v>
      </c>
      <c r="CT8" s="12">
        <f>IF('Données projet'!$A$140&gt;35,CT7+CS8-DB7,IF(A8&lt;'Données projet'!$A$140,$CQ$205^A8,IF(A8='Données projet'!$A$140,'Données projet'!$B$140,CT7+CS8-DB7)))</f>
        <v>19.435714285714283</v>
      </c>
      <c r="CU8" s="17">
        <f>CT8*VLOOKUP('Données projet'!$B$13,Paramètres!$A$1:$I$89,3,0)*VLOOKUP('Données projet'!$B$13,Paramètres!$A$1:$I$89,5,0)</f>
        <v>22.133391428571425</v>
      </c>
      <c r="CV8" s="13">
        <f t="shared" si="41"/>
        <v>7.1127320181225464</v>
      </c>
      <c r="CW8" s="20">
        <f t="shared" si="13"/>
        <v>50.936998336325331</v>
      </c>
      <c r="CX8" s="59">
        <f t="shared" si="14"/>
        <v>229.72804621277268</v>
      </c>
      <c r="CY8" s="59">
        <f ca="1">AVERAGE(OFFSET($CX$3,0,0,'Données projet'!$E$13+1,1))-AVERAGE(OFFSET($H$3,0,0,'Données projet'!$E$13+1,1))</f>
        <v>765.9523557587147</v>
      </c>
      <c r="CZ8" s="59">
        <f t="shared" si="42"/>
        <v>347.40395092312815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1.4743589743589742</v>
      </c>
      <c r="DO8" s="12">
        <f>IF('Données projet'!$A$166&gt;35,DO7+DN8-DW7,IF(A8&lt;'Données projet'!$A$166,$DL$205^A8,IF(A8='Données projet'!$A$166,'Données projet'!$B$166,DO7+DN8-DW7)))</f>
        <v>3.8397382389415244</v>
      </c>
      <c r="DP8" s="17">
        <f>DO8*VLOOKUP('Données projet'!$B$14,Paramètres!$A$1:$I$89,3,0)*VLOOKUP('Données projet'!$B$14,Paramètres!$A$1:$I$89,5,0)</f>
        <v>3.3543953255393162</v>
      </c>
      <c r="DQ8" s="13">
        <f t="shared" si="43"/>
        <v>1.3427180002612287</v>
      </c>
      <c r="DR8" s="20">
        <f t="shared" si="16"/>
        <v>8.1808057091026161</v>
      </c>
      <c r="DS8" s="59">
        <f t="shared" si="17"/>
        <v>186.97185358554998</v>
      </c>
      <c r="DT8" s="59">
        <f ca="1">AVERAGE(OFFSET($DS$3,0,0,'Données projet'!$E$14+1,1))-AVERAGE(OFFSET($H$3,0,0,'Données projet'!$E$14+1,1))</f>
        <v>253.82888243490106</v>
      </c>
      <c r="DU8" s="59">
        <f t="shared" si="44"/>
        <v>224.11983819941796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9.9228571428571435</v>
      </c>
      <c r="N9" s="13">
        <f>IF('Données projet'!$A$36&gt;35,N8+M9-V8,IF(A9&lt;'Données projet'!$A$36,$K$205^A9,IF(A9='Données projet'!$A$36,'Données projet'!$B$36,N8+M9-V8)))</f>
        <v>59.537142857142854</v>
      </c>
      <c r="O9" s="13">
        <f>N9*VLOOKUP('Données projet'!$B$9,Paramètres!$A$1:$I$89,3,0)*VLOOKUP('Données projet'!$B$9,Paramètres!$A$1:$I$89,5,0)</f>
        <v>27.863382857142856</v>
      </c>
      <c r="P9" s="13">
        <f t="shared" si="33"/>
        <v>8.7173396597084576</v>
      </c>
      <c r="Q9" s="20">
        <f t="shared" si="2"/>
        <v>63.71142505018269</v>
      </c>
      <c r="R9" s="59">
        <f t="shared" si="0"/>
        <v>245.18167714644167</v>
      </c>
      <c r="S9" s="59">
        <f ca="1">AVERAGE(OFFSET($R$3,0,0,'Données projet'!$E$9+1,1))-AVERAGE(OFFSET($H$3,0,0,'Données projet'!$E$9+1,1))</f>
        <v>387.50901594883317</v>
      </c>
      <c r="T9" s="59">
        <f t="shared" si="34"/>
        <v>361.3623790401972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5.8668181818181813</v>
      </c>
      <c r="AI9" s="13">
        <f>IF('Données projet'!$A$62&gt;35,AI8+AH9-AQ8,IF(A9&lt;'Données projet'!$A$62,$AF$205^A9,IF(A9='Données projet'!$A$62,'Données projet'!$B$62,AI8+AH9-AQ8)))</f>
        <v>3.7642601491537744</v>
      </c>
      <c r="AJ9" s="13">
        <f>AI9*VLOOKUP('Données projet'!$B$10,Paramètres!$A$1:$I$89,3,0)*VLOOKUP('Données projet'!$B$10,Paramètres!$A$1:$I$89,5,0)</f>
        <v>2.251027569193957</v>
      </c>
      <c r="AK9" s="13">
        <f t="shared" si="35"/>
        <v>0.94387775765556148</v>
      </c>
      <c r="AL9" s="20">
        <f t="shared" si="4"/>
        <v>5.5644601109295779</v>
      </c>
      <c r="AM9" s="59">
        <f t="shared" si="5"/>
        <v>187.03471220718856</v>
      </c>
      <c r="AN9" s="59">
        <f ca="1">AVERAGE(OFFSET($AM$3,0,0,'Données projet'!$E$10+1,1))-AVERAGE(OFFSET($H$3,0,0,'Données projet'!$E$10+1,1))</f>
        <v>373.47758082856359</v>
      </c>
      <c r="AO9" s="59">
        <f t="shared" si="36"/>
        <v>277.24895424120166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3.887142857142857</v>
      </c>
      <c r="BD9" s="12">
        <f>IF('Données projet'!$A$88&gt;35,BD8+BC9-BL8,IF(A9&lt;'Données projet'!$A$88,$BA$205^A9,IF(A9='Données projet'!$A$88,'Données projet'!$B$88,BD8+BC9-BL8)))</f>
        <v>23.322857142857139</v>
      </c>
      <c r="BE9" s="13">
        <f>BD9*VLOOKUP('Données projet'!$B$11,Paramètres!$A$1:$I$89,3,0)*VLOOKUP('Données projet'!$B$11,Paramètres!$A$1:$I$89,5,0)</f>
        <v>21.102521142857139</v>
      </c>
      <c r="BF9" s="13">
        <f t="shared" si="37"/>
        <v>6.8192072738987575</v>
      </c>
      <c r="BG9" s="20">
        <f t="shared" si="7"/>
        <v>48.630343659183183</v>
      </c>
      <c r="BH9" s="59">
        <f t="shared" si="8"/>
        <v>230.10059575544216</v>
      </c>
      <c r="BI9" s="59">
        <f ca="1">AVERAGE(OFFSET($BH$3,0,0,'Données projet'!$E$11+1,1))-AVERAGE(OFFSET($H$3,0,0,'Données projet'!$E$11+1,1))</f>
        <v>627.65081154031589</v>
      </c>
      <c r="BJ9" s="59">
        <f t="shared" si="38"/>
        <v>288.78083487077618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3.887142857142857</v>
      </c>
      <c r="BY9" s="12">
        <f>IF('Données projet'!$A$114&gt;35,BY8+BX9-CG8,IF(A9&lt;'Données projet'!$A$114,$BV$205^A9,IF(A9='Données projet'!$A$114,'Données projet'!$B$114,BY8+BX9-CG8)))</f>
        <v>23.322857142857139</v>
      </c>
      <c r="BZ9" s="13">
        <f>BY9*VLOOKUP('Données projet'!$B$12,Paramètres!$A$1:$I$89,3,0)*VLOOKUP('Données projet'!$B$12,Paramètres!$A$1:$I$89,5,0)</f>
        <v>23.649377142857141</v>
      </c>
      <c r="CA9" s="13">
        <f t="shared" si="39"/>
        <v>7.5415247055086745</v>
      </c>
      <c r="CB9" s="20">
        <f t="shared" si="10"/>
        <v>54.324154052570456</v>
      </c>
      <c r="CC9" s="59">
        <f t="shared" si="11"/>
        <v>235.79440614882944</v>
      </c>
      <c r="CD9" s="59">
        <f ca="1">AVERAGE(OFFSET($CC$3,0,0,'Données projet'!$E$12+1,1))-AVERAGE(OFFSET($H$3,0,0,'Données projet'!$E$12+1,1))</f>
        <v>692.2706942067415</v>
      </c>
      <c r="CE9" s="59">
        <f t="shared" si="40"/>
        <v>316.17529091924803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3.887142857142857</v>
      </c>
      <c r="CT9" s="12">
        <f>IF('Données projet'!$A$140&gt;35,CT8+CS9-DB8,IF(A9&lt;'Données projet'!$A$140,$CQ$205^A9,IF(A9='Données projet'!$A$140,'Données projet'!$B$140,CT8+CS9-DB8)))</f>
        <v>23.322857142857139</v>
      </c>
      <c r="CU9" s="17">
        <f>CT9*VLOOKUP('Données projet'!$B$13,Paramètres!$A$1:$I$89,3,0)*VLOOKUP('Données projet'!$B$13,Paramètres!$A$1:$I$89,5,0)</f>
        <v>26.56006971428571</v>
      </c>
      <c r="CV9" s="13">
        <f t="shared" si="41"/>
        <v>8.3560493338557293</v>
      </c>
      <c r="CW9" s="20">
        <f t="shared" si="13"/>
        <v>60.812240675513003</v>
      </c>
      <c r="CX9" s="59">
        <f t="shared" si="14"/>
        <v>242.28249277177198</v>
      </c>
      <c r="CY9" s="59">
        <f ca="1">AVERAGE(OFFSET($CX$3,0,0,'Données projet'!$E$13+1,1))-AVERAGE(OFFSET($H$3,0,0,'Données projet'!$E$13+1,1))</f>
        <v>765.9523557587147</v>
      </c>
      <c r="CZ9" s="59">
        <f t="shared" si="42"/>
        <v>347.40395092312815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1.4743589743589742</v>
      </c>
      <c r="DO9" s="12">
        <f>IF('Données projet'!$A$166&gt;35,DO8+DN9-DW8,IF(A9&lt;'Données projet'!$A$166,$DL$205^A9,IF(A9='Données projet'!$A$166,'Données projet'!$B$166,DO8+DN9-DW8)))</f>
        <v>5.0252994127686508</v>
      </c>
      <c r="DP9" s="17">
        <f>DO9*VLOOKUP('Données projet'!$B$14,Paramètres!$A$1:$I$89,3,0)*VLOOKUP('Données projet'!$B$14,Paramètres!$A$1:$I$89,5,0)</f>
        <v>4.3901015669946943</v>
      </c>
      <c r="DQ9" s="13">
        <f t="shared" si="43"/>
        <v>1.703109584929845</v>
      </c>
      <c r="DR9" s="20">
        <f t="shared" si="16"/>
        <v>10.612342756268571</v>
      </c>
      <c r="DS9" s="59">
        <f t="shared" si="17"/>
        <v>192.08259485252754</v>
      </c>
      <c r="DT9" s="59">
        <f ca="1">AVERAGE(OFFSET($DS$3,0,0,'Données projet'!$E$14+1,1))-AVERAGE(OFFSET($H$3,0,0,'Données projet'!$E$14+1,1))</f>
        <v>253.82888243490106</v>
      </c>
      <c r="DU9" s="59">
        <f t="shared" si="44"/>
        <v>224.11983819941796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9.9228571428571435</v>
      </c>
      <c r="N10" s="13">
        <f>IF('Données projet'!$A$36&gt;35,N9+M10-V9,IF(A10&lt;'Données projet'!$A$36,$K$205^A10,IF(A10='Données projet'!$A$36,'Données projet'!$B$36,N9+M10-V9)))</f>
        <v>69.459999999999994</v>
      </c>
      <c r="O10" s="13">
        <f>N10*VLOOKUP('Données projet'!$B$9,Paramètres!$A$1:$I$89,3,0)*VLOOKUP('Données projet'!$B$9,Paramètres!$A$1:$I$89,5,0)</f>
        <v>32.507280000000002</v>
      </c>
      <c r="P10" s="13">
        <f t="shared" si="33"/>
        <v>9.9893711943664076</v>
      </c>
      <c r="Q10" s="20">
        <f t="shared" si="2"/>
        <v>74.015000830188157</v>
      </c>
      <c r="R10" s="59">
        <f t="shared" si="0"/>
        <v>258.13918176592438</v>
      </c>
      <c r="S10" s="59">
        <f ca="1">AVERAGE(OFFSET($R$3,0,0,'Données projet'!$E$9+1,1))-AVERAGE(OFFSET($H$3,0,0,'Données projet'!$E$9+1,1))</f>
        <v>387.50901594883317</v>
      </c>
      <c r="T10" s="59">
        <f t="shared" si="34"/>
        <v>361.3623790401972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5.8668181818181813</v>
      </c>
      <c r="AI10" s="13">
        <f>IF('Données projet'!$A$62&gt;35,AI9+AH10-AQ9,IF(A10&lt;'Données projet'!$A$62,$AF$205^A10,IF(A10='Données projet'!$A$62,'Données projet'!$B$62,AI9+AH10-AQ9)))</f>
        <v>4.6948987963973625</v>
      </c>
      <c r="AJ10" s="13">
        <f>AI10*VLOOKUP('Données projet'!$B$10,Paramètres!$A$1:$I$89,3,0)*VLOOKUP('Données projet'!$B$10,Paramètres!$A$1:$I$89,5,0)</f>
        <v>2.8075494802456231</v>
      </c>
      <c r="AK10" s="13">
        <f t="shared" si="35"/>
        <v>1.1473453828778812</v>
      </c>
      <c r="AL10" s="20">
        <f t="shared" si="4"/>
        <v>6.8881085532734367</v>
      </c>
      <c r="AM10" s="59">
        <f t="shared" si="5"/>
        <v>191.01228948900967</v>
      </c>
      <c r="AN10" s="59">
        <f ca="1">AVERAGE(OFFSET($AM$3,0,0,'Données projet'!$E$10+1,1))-AVERAGE(OFFSET($H$3,0,0,'Données projet'!$E$10+1,1))</f>
        <v>373.47758082856359</v>
      </c>
      <c r="AO10" s="59">
        <f t="shared" si="36"/>
        <v>277.24895424120166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3.887142857142857</v>
      </c>
      <c r="BD10" s="12">
        <f>IF('Données projet'!$A$88&gt;35,BD9+BC10-BL9,IF(A10&lt;'Données projet'!$A$88,$BA$205^A10,IF(A10='Données projet'!$A$88,'Données projet'!$B$88,BD9+BC10-BL9)))</f>
        <v>27.209999999999994</v>
      </c>
      <c r="BE10" s="13">
        <f>BD10*VLOOKUP('Données projet'!$B$11,Paramètres!$A$1:$I$89,3,0)*VLOOKUP('Données projet'!$B$11,Paramètres!$A$1:$I$89,5,0)</f>
        <v>24.619607999999992</v>
      </c>
      <c r="BF10" s="13">
        <f t="shared" si="37"/>
        <v>7.8142639118614152</v>
      </c>
      <c r="BG10" s="20">
        <f t="shared" si="7"/>
        <v>56.488993579825284</v>
      </c>
      <c r="BH10" s="59">
        <f t="shared" si="8"/>
        <v>240.61317451556152</v>
      </c>
      <c r="BI10" s="59">
        <f ca="1">AVERAGE(OFFSET($BH$3,0,0,'Données projet'!$E$11+1,1))-AVERAGE(OFFSET($H$3,0,0,'Données projet'!$E$11+1,1))</f>
        <v>627.65081154031589</v>
      </c>
      <c r="BJ10" s="59">
        <f t="shared" si="38"/>
        <v>288.78083487077618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3.887142857142857</v>
      </c>
      <c r="BY10" s="12">
        <f>IF('Données projet'!$A$114&gt;35,BY9+BX10-CG9,IF(A10&lt;'Données projet'!$A$114,$BV$205^A10,IF(A10='Données projet'!$A$114,'Données projet'!$B$114,BY9+BX10-CG9)))</f>
        <v>27.209999999999994</v>
      </c>
      <c r="BZ10" s="13">
        <f>BY10*VLOOKUP('Données projet'!$B$12,Paramètres!$A$1:$I$89,3,0)*VLOOKUP('Données projet'!$B$12,Paramètres!$A$1:$I$89,5,0)</f>
        <v>27.590939999999993</v>
      </c>
      <c r="CA10" s="13">
        <f t="shared" si="39"/>
        <v>8.6419816819814557</v>
      </c>
      <c r="CB10" s="20">
        <f t="shared" si="10"/>
        <v>63.105671929451027</v>
      </c>
      <c r="CC10" s="59">
        <f t="shared" si="11"/>
        <v>247.22985286518727</v>
      </c>
      <c r="CD10" s="59">
        <f ca="1">AVERAGE(OFFSET($CC$3,0,0,'Données projet'!$E$12+1,1))-AVERAGE(OFFSET($H$3,0,0,'Données projet'!$E$12+1,1))</f>
        <v>692.2706942067415</v>
      </c>
      <c r="CE10" s="59">
        <f t="shared" si="40"/>
        <v>316.17529091924803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3.887142857142857</v>
      </c>
      <c r="CT10" s="12">
        <f>IF('Données projet'!$A$140&gt;35,CT9+CS10-DB9,IF(A10&lt;'Données projet'!$A$140,$CQ$205^A10,IF(A10='Données projet'!$A$140,'Données projet'!$B$140,CT9+CS10-DB9)))</f>
        <v>27.209999999999994</v>
      </c>
      <c r="CU10" s="17">
        <f>CT10*VLOOKUP('Données projet'!$B$13,Paramètres!$A$1:$I$89,3,0)*VLOOKUP('Données projet'!$B$13,Paramètres!$A$1:$I$89,5,0)</f>
        <v>30.986747999999995</v>
      </c>
      <c r="CV10" s="13">
        <f t="shared" si="41"/>
        <v>9.5753614947607311</v>
      </c>
      <c r="CW10" s="20">
        <f t="shared" si="13"/>
        <v>70.645674036708257</v>
      </c>
      <c r="CX10" s="59">
        <f t="shared" si="14"/>
        <v>254.76985497244448</v>
      </c>
      <c r="CY10" s="59">
        <f ca="1">AVERAGE(OFFSET($CX$3,0,0,'Données projet'!$E$13+1,1))-AVERAGE(OFFSET($H$3,0,0,'Données projet'!$E$13+1,1))</f>
        <v>765.9523557587147</v>
      </c>
      <c r="CZ10" s="59">
        <f t="shared" si="42"/>
        <v>347.40395092312815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1.4743589743589742</v>
      </c>
      <c r="DO10" s="12">
        <f>IF('Données projet'!$A$166&gt;35,DO9+DN10-DW9,IF(A10&lt;'Données projet'!$A$166,$DL$205^A10,IF(A10='Données projet'!$A$166,'Données projet'!$B$166,DO9+DN10-DW9)))</f>
        <v>6.5769155646751702</v>
      </c>
      <c r="DP10" s="17">
        <f>DO10*VLOOKUP('Données projet'!$B$14,Paramètres!$A$1:$I$89,3,0)*VLOOKUP('Données projet'!$B$14,Paramètres!$A$1:$I$89,5,0)</f>
        <v>5.7455934373002293</v>
      </c>
      <c r="DQ10" s="13">
        <f t="shared" si="43"/>
        <v>2.1602319010511462</v>
      </c>
      <c r="DR10" s="20">
        <f t="shared" si="16"/>
        <v>13.769312464295311</v>
      </c>
      <c r="DS10" s="59">
        <f t="shared" si="17"/>
        <v>197.89349340003156</v>
      </c>
      <c r="DT10" s="59">
        <f ca="1">AVERAGE(OFFSET($DS$3,0,0,'Données projet'!$E$14+1,1))-AVERAGE(OFFSET($H$3,0,0,'Données projet'!$E$14+1,1))</f>
        <v>253.82888243490106</v>
      </c>
      <c r="DU10" s="59">
        <f t="shared" si="44"/>
        <v>224.11983819941796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9.9228571428571435</v>
      </c>
      <c r="N11" s="13">
        <f>IF('Données projet'!$A$36&gt;35,N10+M11-V10,IF(A11&lt;'Données projet'!$A$36,$K$205^A11,IF(A11='Données projet'!$A$36,'Données projet'!$B$36,N10+M11-V10)))</f>
        <v>79.382857142857134</v>
      </c>
      <c r="O11" s="13">
        <f>N11*VLOOKUP('Données projet'!$B$9,Paramètres!$A$1:$I$89,3,0)*VLOOKUP('Données projet'!$B$9,Paramètres!$A$1:$I$89,5,0)</f>
        <v>37.151177142857144</v>
      </c>
      <c r="P11" s="13">
        <f t="shared" si="33"/>
        <v>11.240350032876002</v>
      </c>
      <c r="Q11" s="20">
        <f t="shared" si="2"/>
        <v>84.28190983106856</v>
      </c>
      <c r="R11" s="59">
        <f t="shared" si="0"/>
        <v>271.03518269728909</v>
      </c>
      <c r="S11" s="59">
        <f ca="1">AVERAGE(OFFSET($R$3,0,0,'Données projet'!$E$9+1,1))-AVERAGE(OFFSET($H$3,0,0,'Données projet'!$E$9+1,1))</f>
        <v>387.50901594883317</v>
      </c>
      <c r="T11" s="59">
        <f t="shared" si="34"/>
        <v>361.3623790401972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5.8668181818181813</v>
      </c>
      <c r="AI11" s="13">
        <f>IF('Données projet'!$A$62&gt;35,AI10+AH11-AQ10,IF(A11&lt;'Données projet'!$A$62,$AF$205^A11,IF(A11='Données projet'!$A$62,'Données projet'!$B$62,AI10+AH11-AQ10)))</f>
        <v>5.8556193873498845</v>
      </c>
      <c r="AJ11" s="13">
        <f>AI11*VLOOKUP('Données projet'!$B$10,Paramètres!$A$1:$I$89,3,0)*VLOOKUP('Données projet'!$B$10,Paramètres!$A$1:$I$89,5,0)</f>
        <v>3.5016603936352309</v>
      </c>
      <c r="AK11" s="13">
        <f t="shared" si="35"/>
        <v>1.3946736396044743</v>
      </c>
      <c r="AL11" s="20">
        <f t="shared" si="4"/>
        <v>8.5277817745591538</v>
      </c>
      <c r="AM11" s="59">
        <f t="shared" si="5"/>
        <v>195.2810546407797</v>
      </c>
      <c r="AN11" s="59">
        <f ca="1">AVERAGE(OFFSET($AM$3,0,0,'Données projet'!$E$10+1,1))-AVERAGE(OFFSET($H$3,0,0,'Données projet'!$E$10+1,1))</f>
        <v>373.47758082856359</v>
      </c>
      <c r="AO11" s="59">
        <f t="shared" si="36"/>
        <v>277.24895424120166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3.887142857142857</v>
      </c>
      <c r="BD11" s="12">
        <f>IF('Données projet'!$A$88&gt;35,BD10+BC11-BL10,IF(A11&lt;'Données projet'!$A$88,$BA$205^A11,IF(A11='Données projet'!$A$88,'Données projet'!$B$88,BD10+BC11-BL10)))</f>
        <v>31.097142857142849</v>
      </c>
      <c r="BE11" s="13">
        <f>BD11*VLOOKUP('Données projet'!$B$11,Paramètres!$A$1:$I$89,3,0)*VLOOKUP('Données projet'!$B$11,Paramètres!$A$1:$I$89,5,0)</f>
        <v>28.136694857142849</v>
      </c>
      <c r="BF11" s="13">
        <f t="shared" si="37"/>
        <v>8.792851913254415</v>
      </c>
      <c r="BG11" s="20">
        <f t="shared" si="7"/>
        <v>64.318960625108559</v>
      </c>
      <c r="BH11" s="59">
        <f t="shared" si="8"/>
        <v>251.07223349132911</v>
      </c>
      <c r="BI11" s="59">
        <f ca="1">AVERAGE(OFFSET($BH$3,0,0,'Données projet'!$E$11+1,1))-AVERAGE(OFFSET($H$3,0,0,'Données projet'!$E$11+1,1))</f>
        <v>627.65081154031589</v>
      </c>
      <c r="BJ11" s="59">
        <f t="shared" si="38"/>
        <v>288.78083487077618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3.887142857142857</v>
      </c>
      <c r="BY11" s="12">
        <f>IF('Données projet'!$A$114&gt;35,BY10+BX11-CG10,IF(A11&lt;'Données projet'!$A$114,$BV$205^A11,IF(A11='Données projet'!$A$114,'Données projet'!$B$114,BY10+BX11-CG10)))</f>
        <v>31.097142857142849</v>
      </c>
      <c r="BZ11" s="13">
        <f>BY11*VLOOKUP('Données projet'!$B$12,Paramètres!$A$1:$I$89,3,0)*VLOOKUP('Données projet'!$B$12,Paramètres!$A$1:$I$89,5,0)</f>
        <v>31.532502857142852</v>
      </c>
      <c r="CA11" s="13">
        <f t="shared" si="39"/>
        <v>9.7242255986999844</v>
      </c>
      <c r="CB11" s="20">
        <f t="shared" si="10"/>
        <v>71.855468727259591</v>
      </c>
      <c r="CC11" s="59">
        <f t="shared" si="11"/>
        <v>258.60874159348015</v>
      </c>
      <c r="CD11" s="59">
        <f ca="1">AVERAGE(OFFSET($CC$3,0,0,'Données projet'!$E$12+1,1))-AVERAGE(OFFSET($H$3,0,0,'Données projet'!$E$12+1,1))</f>
        <v>692.2706942067415</v>
      </c>
      <c r="CE11" s="59">
        <f t="shared" si="40"/>
        <v>316.17529091924803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3.887142857142857</v>
      </c>
      <c r="CT11" s="12">
        <f>IF('Données projet'!$A$140&gt;35,CT10+CS11-DB10,IF(A11&lt;'Données projet'!$A$140,$CQ$205^A11,IF(A11='Données projet'!$A$140,'Données projet'!$B$140,CT10+CS11-DB10)))</f>
        <v>31.097142857142849</v>
      </c>
      <c r="CU11" s="17">
        <f>CT11*VLOOKUP('Données projet'!$B$13,Paramètres!$A$1:$I$89,3,0)*VLOOKUP('Données projet'!$B$13,Paramètres!$A$1:$I$89,5,0)</f>
        <v>35.41342628571428</v>
      </c>
      <c r="CV11" s="13">
        <f t="shared" si="41"/>
        <v>10.774493488952787</v>
      </c>
      <c r="CW11" s="20">
        <f t="shared" si="13"/>
        <v>80.443960274211804</v>
      </c>
      <c r="CX11" s="59">
        <f t="shared" si="14"/>
        <v>267.19723314043233</v>
      </c>
      <c r="CY11" s="59">
        <f ca="1">AVERAGE(OFFSET($CX$3,0,0,'Données projet'!$E$13+1,1))-AVERAGE(OFFSET($H$3,0,0,'Données projet'!$E$13+1,1))</f>
        <v>765.9523557587147</v>
      </c>
      <c r="CZ11" s="59">
        <f t="shared" si="42"/>
        <v>347.40395092312815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1.4743589743589742</v>
      </c>
      <c r="DO11" s="12">
        <f>IF('Données projet'!$A$166&gt;35,DO10+DN11-DW10,IF(A11&lt;'Données projet'!$A$166,$DL$205^A11,IF(A11='Données projet'!$A$166,'Données projet'!$B$166,DO10+DN11-DW10)))</f>
        <v>8.6076101724325031</v>
      </c>
      <c r="DP11" s="17">
        <f>DO11*VLOOKUP('Données projet'!$B$14,Paramètres!$A$1:$I$89,3,0)*VLOOKUP('Données projet'!$B$14,Paramètres!$A$1:$I$89,5,0)</f>
        <v>7.5196082466370351</v>
      </c>
      <c r="DQ11" s="13">
        <f t="shared" si="43"/>
        <v>2.7400479144806646</v>
      </c>
      <c r="DR11" s="20">
        <f t="shared" si="16"/>
        <v>17.868901147279992</v>
      </c>
      <c r="DS11" s="59">
        <f t="shared" si="17"/>
        <v>204.62217401350054</v>
      </c>
      <c r="DT11" s="59">
        <f ca="1">AVERAGE(OFFSET($DS$3,0,0,'Données projet'!$E$14+1,1))-AVERAGE(OFFSET($H$3,0,0,'Données projet'!$E$14+1,1))</f>
        <v>253.82888243490106</v>
      </c>
      <c r="DU11" s="59">
        <f t="shared" si="44"/>
        <v>224.11983819941796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9.9228571428571435</v>
      </c>
      <c r="N12" s="13">
        <f>IF('Données projet'!$A$36&gt;35,N11+M12-V11,IF(A12&lt;'Données projet'!$A$36,$K$205^A12,IF(A12='Données projet'!$A$36,'Données projet'!$B$36,N11+M12-V11)))</f>
        <v>89.305714285714274</v>
      </c>
      <c r="O12" s="13">
        <f>N12*VLOOKUP('Données projet'!$B$9,Paramètres!$A$1:$I$89,3,0)*VLOOKUP('Données projet'!$B$9,Paramètres!$A$1:$I$89,5,0)</f>
        <v>41.795074285714279</v>
      </c>
      <c r="P12" s="13">
        <f t="shared" si="33"/>
        <v>12.473209147246388</v>
      </c>
      <c r="Q12" s="20">
        <f t="shared" si="2"/>
        <v>94.517260312406492</v>
      </c>
      <c r="R12" s="59">
        <f t="shared" si="0"/>
        <v>283.87521906496255</v>
      </c>
      <c r="S12" s="59">
        <f ca="1">AVERAGE(OFFSET($R$3,0,0,'Données projet'!$E$9+1,1))-AVERAGE(OFFSET($H$3,0,0,'Données projet'!$E$9+1,1))</f>
        <v>387.50901594883317</v>
      </c>
      <c r="T12" s="59">
        <f t="shared" si="34"/>
        <v>361.3623790401972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5.8668181818181813</v>
      </c>
      <c r="AI12" s="13">
        <f>IF('Données projet'!$A$62&gt;35,AI11+AH12-AQ11,IF(A12&lt;'Données projet'!$A$62,$AF$205^A12,IF(A12='Données projet'!$A$62,'Données projet'!$B$62,AI11+AH12-AQ11)))</f>
        <v>7.3033051182741131</v>
      </c>
      <c r="AJ12" s="13">
        <f>AI12*VLOOKUP('Données projet'!$B$10,Paramètres!$A$1:$I$89,3,0)*VLOOKUP('Données projet'!$B$10,Paramètres!$A$1:$I$89,5,0)</f>
        <v>4.36737646072792</v>
      </c>
      <c r="AK12" s="13">
        <f t="shared" si="35"/>
        <v>1.6953173735084623</v>
      </c>
      <c r="AL12" s="20">
        <f t="shared" si="4"/>
        <v>10.559191761295033</v>
      </c>
      <c r="AM12" s="59">
        <f t="shared" si="5"/>
        <v>199.91715051385111</v>
      </c>
      <c r="AN12" s="59">
        <f ca="1">AVERAGE(OFFSET($AM$3,0,0,'Données projet'!$E$10+1,1))-AVERAGE(OFFSET($H$3,0,0,'Données projet'!$E$10+1,1))</f>
        <v>373.47758082856359</v>
      </c>
      <c r="AO12" s="59">
        <f t="shared" si="36"/>
        <v>277.24895424120166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3.887142857142857</v>
      </c>
      <c r="BD12" s="12">
        <f>IF('Données projet'!$A$88&gt;35,BD11+BC12-BL11,IF(A12&lt;'Données projet'!$A$88,$BA$205^A12,IF(A12='Données projet'!$A$88,'Données projet'!$B$88,BD11+BC12-BL11)))</f>
        <v>34.984285714285704</v>
      </c>
      <c r="BE12" s="13">
        <f>BD12*VLOOKUP('Données projet'!$B$11,Paramètres!$A$1:$I$89,3,0)*VLOOKUP('Données projet'!$B$11,Paramètres!$A$1:$I$89,5,0)</f>
        <v>31.653781714285703</v>
      </c>
      <c r="BF12" s="13">
        <f t="shared" si="37"/>
        <v>9.757265618420071</v>
      </c>
      <c r="BG12" s="20">
        <f t="shared" si="7"/>
        <v>72.124240771129223</v>
      </c>
      <c r="BH12" s="59">
        <f t="shared" si="8"/>
        <v>261.48219952368527</v>
      </c>
      <c r="BI12" s="59">
        <f ca="1">AVERAGE(OFFSET($BH$3,0,0,'Données projet'!$E$11+1,1))-AVERAGE(OFFSET($H$3,0,0,'Données projet'!$E$11+1,1))</f>
        <v>627.65081154031589</v>
      </c>
      <c r="BJ12" s="59">
        <f t="shared" si="38"/>
        <v>288.78083487077618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3.887142857142857</v>
      </c>
      <c r="BY12" s="12">
        <f>IF('Données projet'!$A$114&gt;35,BY11+BX12-CG11,IF(A12&lt;'Données projet'!$A$114,$BV$205^A12,IF(A12='Données projet'!$A$114,'Données projet'!$B$114,BY11+BX12-CG11)))</f>
        <v>34.984285714285704</v>
      </c>
      <c r="BZ12" s="13">
        <f>BY12*VLOOKUP('Données projet'!$B$12,Paramètres!$A$1:$I$89,3,0)*VLOOKUP('Données projet'!$B$12,Paramètres!$A$1:$I$89,5,0)</f>
        <v>35.474065714285707</v>
      </c>
      <c r="CA12" s="13">
        <f t="shared" si="39"/>
        <v>10.790793821618898</v>
      </c>
      <c r="CB12" s="20">
        <f t="shared" si="10"/>
        <v>80.577963691700518</v>
      </c>
      <c r="CC12" s="59">
        <f t="shared" si="11"/>
        <v>269.93592244425656</v>
      </c>
      <c r="CD12" s="59">
        <f ca="1">AVERAGE(OFFSET($CC$3,0,0,'Données projet'!$E$12+1,1))-AVERAGE(OFFSET($H$3,0,0,'Données projet'!$E$12+1,1))</f>
        <v>692.2706942067415</v>
      </c>
      <c r="CE12" s="59">
        <f t="shared" si="40"/>
        <v>316.17529091924803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3.887142857142857</v>
      </c>
      <c r="CT12" s="12">
        <f>IF('Données projet'!$A$140&gt;35,CT11+CS12-DB11,IF(A12&lt;'Données projet'!$A$140,$CQ$205^A12,IF(A12='Données projet'!$A$140,'Données projet'!$B$140,CT11+CS12-DB11)))</f>
        <v>34.984285714285704</v>
      </c>
      <c r="CU12" s="17">
        <f>CT12*VLOOKUP('Données projet'!$B$13,Paramètres!$A$1:$I$89,3,0)*VLOOKUP('Données projet'!$B$13,Paramètres!$A$1:$I$89,5,0)</f>
        <v>39.840104571428562</v>
      </c>
      <c r="CV12" s="13">
        <f t="shared" si="41"/>
        <v>11.956256731354335</v>
      </c>
      <c r="CW12" s="20">
        <f t="shared" si="13"/>
        <v>90.211995935680207</v>
      </c>
      <c r="CX12" s="59">
        <f t="shared" si="14"/>
        <v>279.56995468823629</v>
      </c>
      <c r="CY12" s="59">
        <f ca="1">AVERAGE(OFFSET($CX$3,0,0,'Données projet'!$E$13+1,1))-AVERAGE(OFFSET($H$3,0,0,'Données projet'!$E$13+1,1))</f>
        <v>765.9523557587147</v>
      </c>
      <c r="CZ12" s="59">
        <f t="shared" si="42"/>
        <v>347.40395092312815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1.4743589743589742</v>
      </c>
      <c r="DO12" s="12">
        <f>IF('Données projet'!$A$166&gt;35,DO11+DN12-DW11,IF(A12&lt;'Données projet'!$A$166,$DL$205^A12,IF(A12='Données projet'!$A$166,'Données projet'!$B$166,DO11+DN12-DW11)))</f>
        <v>11.265303948633376</v>
      </c>
      <c r="DP12" s="17">
        <f>DO12*VLOOKUP('Données projet'!$B$14,Paramètres!$A$1:$I$89,3,0)*VLOOKUP('Données projet'!$B$14,Paramètres!$A$1:$I$89,5,0)</f>
        <v>9.8413695295261174</v>
      </c>
      <c r="DQ12" s="13">
        <f t="shared" si="43"/>
        <v>3.4754891685455576</v>
      </c>
      <c r="DR12" s="20">
        <f t="shared" si="16"/>
        <v>23.193528899141501</v>
      </c>
      <c r="DS12" s="59">
        <f t="shared" si="17"/>
        <v>212.55148765169758</v>
      </c>
      <c r="DT12" s="59">
        <f ca="1">AVERAGE(OFFSET($DS$3,0,0,'Données projet'!$E$14+1,1))-AVERAGE(OFFSET($H$3,0,0,'Données projet'!$E$14+1,1))</f>
        <v>253.82888243490106</v>
      </c>
      <c r="DU12" s="59">
        <f t="shared" si="44"/>
        <v>224.11983819941796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9.9228571428571435</v>
      </c>
      <c r="N13" s="13">
        <f>IF('Données projet'!$A$36&gt;35,N12+M13-V12,IF(A13&lt;'Données projet'!$A$36,$K$205^A13,IF(A13='Données projet'!$A$36,'Données projet'!$B$36,N12+M13-V12)))</f>
        <v>99.228571428571414</v>
      </c>
      <c r="O13" s="13">
        <f>N13*VLOOKUP('Données projet'!$B$9,Paramètres!$A$1:$I$89,3,0)*VLOOKUP('Données projet'!$B$9,Paramètres!$A$1:$I$89,5,0)</f>
        <v>46.438971428571428</v>
      </c>
      <c r="P13" s="13">
        <f t="shared" si="33"/>
        <v>13.690191501665755</v>
      </c>
      <c r="Q13" s="20">
        <f t="shared" si="2"/>
        <v>104.7249587701631</v>
      </c>
      <c r="R13" s="59">
        <f t="shared" si="0"/>
        <v>296.663620755208</v>
      </c>
      <c r="S13" s="59">
        <f ca="1">AVERAGE(OFFSET($R$3,0,0,'Données projet'!$E$9+1,1))-AVERAGE(OFFSET($H$3,0,0,'Données projet'!$E$9+1,1))</f>
        <v>387.50901594883317</v>
      </c>
      <c r="T13" s="59">
        <f t="shared" si="34"/>
        <v>361.3623790401972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5.8668181818181813</v>
      </c>
      <c r="AI13" s="13">
        <f>IF('Données projet'!$A$62&gt;35,AI12+AH13-AQ12,IF(A13&lt;'Données projet'!$A$62,$AF$205^A13,IF(A13='Données projet'!$A$62,'Données projet'!$B$62,AI12+AH13-AQ12)))</f>
        <v>9.1089024272714045</v>
      </c>
      <c r="AJ13" s="13">
        <f>AI13*VLOOKUP('Données projet'!$B$10,Paramètres!$A$1:$I$89,3,0)*VLOOKUP('Données projet'!$B$10,Paramètres!$A$1:$I$89,5,0)</f>
        <v>5.4471236515083001</v>
      </c>
      <c r="AK13" s="13">
        <f t="shared" si="35"/>
        <v>2.0607695702449207</v>
      </c>
      <c r="AL13" s="20">
        <f t="shared" si="4"/>
        <v>13.076247361220192</v>
      </c>
      <c r="AM13" s="59">
        <f t="shared" si="5"/>
        <v>205.01490934626509</v>
      </c>
      <c r="AN13" s="59">
        <f ca="1">AVERAGE(OFFSET($AM$3,0,0,'Données projet'!$E$10+1,1))-AVERAGE(OFFSET($H$3,0,0,'Données projet'!$E$10+1,1))</f>
        <v>373.47758082856359</v>
      </c>
      <c r="AO13" s="59">
        <f t="shared" si="36"/>
        <v>277.24895424120166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3.887142857142857</v>
      </c>
      <c r="BD13" s="12">
        <f>IF('Données projet'!$A$88&gt;35,BD12+BC13-BL12,IF(A13&lt;'Données projet'!$A$88,$BA$205^A13,IF(A13='Données projet'!$A$88,'Données projet'!$B$88,BD12+BC13-BL12)))</f>
        <v>38.871428571428559</v>
      </c>
      <c r="BE13" s="13">
        <f>BD13*VLOOKUP('Données projet'!$B$11,Paramètres!$A$1:$I$89,3,0)*VLOOKUP('Données projet'!$B$11,Paramètres!$A$1:$I$89,5,0)</f>
        <v>35.170868571428556</v>
      </c>
      <c r="BF13" s="13">
        <f t="shared" si="37"/>
        <v>10.709259603674569</v>
      </c>
      <c r="BG13" s="20">
        <f t="shared" si="7"/>
        <v>79.90788990497127</v>
      </c>
      <c r="BH13" s="59">
        <f t="shared" si="8"/>
        <v>271.84655189001614</v>
      </c>
      <c r="BI13" s="59">
        <f ca="1">AVERAGE(OFFSET($BH$3,0,0,'Données projet'!$E$11+1,1))-AVERAGE(OFFSET($H$3,0,0,'Données projet'!$E$11+1,1))</f>
        <v>627.65081154031589</v>
      </c>
      <c r="BJ13" s="59">
        <f t="shared" si="38"/>
        <v>288.78083487077618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3.887142857142857</v>
      </c>
      <c r="BY13" s="12">
        <f>IF('Données projet'!$A$114&gt;35,BY12+BX13-CG12,IF(A13&lt;'Données projet'!$A$114,$BV$205^A13,IF(A13='Données projet'!$A$114,'Données projet'!$B$114,BY12+BX13-CG12)))</f>
        <v>38.871428571428559</v>
      </c>
      <c r="BZ13" s="13">
        <f>BY13*VLOOKUP('Données projet'!$B$12,Paramètres!$A$1:$I$89,3,0)*VLOOKUP('Données projet'!$B$12,Paramètres!$A$1:$I$89,5,0)</f>
        <v>39.415628571428563</v>
      </c>
      <c r="CA13" s="13">
        <f t="shared" si="39"/>
        <v>11.843626778724154</v>
      </c>
      <c r="CB13" s="20">
        <f t="shared" si="10"/>
        <v>89.276536401515969</v>
      </c>
      <c r="CC13" s="59">
        <f t="shared" si="11"/>
        <v>281.21519838656087</v>
      </c>
      <c r="CD13" s="59">
        <f ca="1">AVERAGE(OFFSET($CC$3,0,0,'Données projet'!$E$12+1,1))-AVERAGE(OFFSET($H$3,0,0,'Données projet'!$E$12+1,1))</f>
        <v>692.2706942067415</v>
      </c>
      <c r="CE13" s="59">
        <f t="shared" si="40"/>
        <v>316.17529091924803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3.887142857142857</v>
      </c>
      <c r="CT13" s="12">
        <f>IF('Données projet'!$A$140&gt;35,CT12+CS13-DB12,IF(A13&lt;'Données projet'!$A$140,$CQ$205^A13,IF(A13='Données projet'!$A$140,'Données projet'!$B$140,CT12+CS13-DB12)))</f>
        <v>38.871428571428559</v>
      </c>
      <c r="CU13" s="17">
        <f>CT13*VLOOKUP('Données projet'!$B$13,Paramètres!$A$1:$I$89,3,0)*VLOOKUP('Données projet'!$B$13,Paramètres!$A$1:$I$89,5,0)</f>
        <v>44.266782857142843</v>
      </c>
      <c r="CV13" s="13">
        <f t="shared" si="41"/>
        <v>13.12280122645552</v>
      </c>
      <c r="CW13" s="20">
        <f t="shared" si="13"/>
        <v>99.953525612267143</v>
      </c>
      <c r="CX13" s="59">
        <f t="shared" si="14"/>
        <v>291.89218759731204</v>
      </c>
      <c r="CY13" s="59">
        <f ca="1">AVERAGE(OFFSET($CX$3,0,0,'Données projet'!$E$13+1,1))-AVERAGE(OFFSET($H$3,0,0,'Données projet'!$E$13+1,1))</f>
        <v>765.9523557587147</v>
      </c>
      <c r="CZ13" s="59">
        <f t="shared" si="42"/>
        <v>347.40395092312815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14.743589743589743</v>
      </c>
      <c r="DM13" s="12">
        <f>VLOOKUP(A13,'Données projet'!$A$165:$I$185,9,0)</f>
        <v>1.4743589743589742</v>
      </c>
      <c r="DN13" s="12">
        <f t="array" ref="DN13">INDEX(DM:DM,MIN(IF(ISNUMBER(DM13:DM209),ROW(DM13:DM209),"")))</f>
        <v>1.4743589743589742</v>
      </c>
      <c r="DO13" s="12">
        <f>IF('Données projet'!$A$166&gt;35,DO12+DN13-DW12,IF(A13&lt;'Données projet'!$A$166,$DL$205^A13,IF(A13='Données projet'!$A$166,'Données projet'!$B$166,DO12+DN13-DW12)))</f>
        <v>14.743589743589743</v>
      </c>
      <c r="DP13" s="17">
        <f>DO13*VLOOKUP('Données projet'!$B$14,Paramètres!$A$1:$I$89,3,0)*VLOOKUP('Données projet'!$B$14,Paramètres!$A$1:$I$89,5,0)</f>
        <v>12.880000000000003</v>
      </c>
      <c r="DQ13" s="13">
        <f t="shared" si="43"/>
        <v>4.408326181758353</v>
      </c>
      <c r="DR13" s="20">
        <f t="shared" si="16"/>
        <v>30.110501433229135</v>
      </c>
      <c r="DS13" s="59">
        <f t="shared" si="17"/>
        <v>222.04916341827402</v>
      </c>
      <c r="DT13" s="59">
        <f ca="1">AVERAGE(OFFSET($DS$3,0,0,'Données projet'!$E$14+1,1))-AVERAGE(OFFSET($H$3,0,0,'Données projet'!$E$14+1,1))</f>
        <v>253.82888243490106</v>
      </c>
      <c r="DU13" s="59">
        <f t="shared" si="44"/>
        <v>224.11983819941796</v>
      </c>
      <c r="DV13" s="15">
        <f>IF(ISNA(VLOOKUP(A13,'Données projet'!$A$165:$I$185,3,0)),0,VLOOKUP(A13,'Données projet'!$A$165:$I$185,3,0))</f>
        <v>1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0.215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9.9228571428571435</v>
      </c>
      <c r="N14" s="13">
        <f>IF('Données projet'!$A$36&gt;35,N13+M14-V13,IF(A14&lt;'Données projet'!$A$36,$K$205^A14,IF(A14='Données projet'!$A$36,'Données projet'!$B$36,N13+M14-V13)))</f>
        <v>109.15142857142855</v>
      </c>
      <c r="O14" s="13">
        <f>N14*VLOOKUP('Données projet'!$B$9,Paramètres!$A$1:$I$89,3,0)*VLOOKUP('Données projet'!$B$9,Paramètres!$A$1:$I$89,5,0)</f>
        <v>51.082868571428563</v>
      </c>
      <c r="P14" s="13">
        <f t="shared" si="33"/>
        <v>14.893065508616067</v>
      </c>
      <c r="Q14" s="20">
        <f t="shared" si="2"/>
        <v>114.90808518941105</v>
      </c>
      <c r="R14" s="59">
        <f t="shared" si="0"/>
        <v>309.40388379852516</v>
      </c>
      <c r="S14" s="59">
        <f ca="1">AVERAGE(OFFSET($R$3,0,0,'Données projet'!$E$9+1,1))-AVERAGE(OFFSET($H$3,0,0,'Données projet'!$E$9+1,1))</f>
        <v>387.50901594883317</v>
      </c>
      <c r="T14" s="59">
        <f t="shared" si="34"/>
        <v>361.3623790401972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5.8668181818181813</v>
      </c>
      <c r="AI14" s="13">
        <f>IF('Données projet'!$A$62&gt;35,AI13+AH14-AQ13,IF(A14&lt;'Données projet'!$A$62,$AF$205^A14,IF(A14='Données projet'!$A$62,'Données projet'!$B$62,AI13+AH14-AQ13)))</f>
        <v>11.360897851842525</v>
      </c>
      <c r="AJ14" s="13">
        <f>AI14*VLOOKUP('Données projet'!$B$10,Paramètres!$A$1:$I$89,3,0)*VLOOKUP('Données projet'!$B$10,Paramètres!$A$1:$I$89,5,0)</f>
        <v>6.7938169154018313</v>
      </c>
      <c r="AK14" s="13">
        <f t="shared" si="35"/>
        <v>2.50500070842708</v>
      </c>
      <c r="AL14" s="20">
        <f t="shared" si="4"/>
        <v>16.195440694835355</v>
      </c>
      <c r="AM14" s="59">
        <f t="shared" si="5"/>
        <v>210.69123930394949</v>
      </c>
      <c r="AN14" s="59">
        <f ca="1">AVERAGE(OFFSET($AM$3,0,0,'Données projet'!$E$10+1,1))-AVERAGE(OFFSET($H$3,0,0,'Données projet'!$E$10+1,1))</f>
        <v>373.47758082856359</v>
      </c>
      <c r="AO14" s="59">
        <f t="shared" si="36"/>
        <v>277.24895424120166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3.887142857142857</v>
      </c>
      <c r="BD14" s="12">
        <f>IF('Données projet'!$A$88&gt;35,BD13+BC14-BL13,IF(A14&lt;'Données projet'!$A$88,$BA$205^A14,IF(A14='Données projet'!$A$88,'Données projet'!$B$88,BD13+BC14-BL13)))</f>
        <v>42.758571428571415</v>
      </c>
      <c r="BE14" s="13">
        <f>BD14*VLOOKUP('Données projet'!$B$11,Paramètres!$A$1:$I$89,3,0)*VLOOKUP('Données projet'!$B$11,Paramètres!$A$1:$I$89,5,0)</f>
        <v>38.687955428571414</v>
      </c>
      <c r="BF14" s="13">
        <f t="shared" si="37"/>
        <v>11.650217223542473</v>
      </c>
      <c r="BG14" s="20">
        <f t="shared" si="7"/>
        <v>87.672317369098337</v>
      </c>
      <c r="BH14" s="59">
        <f t="shared" si="8"/>
        <v>282.16811597821248</v>
      </c>
      <c r="BI14" s="59">
        <f ca="1">AVERAGE(OFFSET($BH$3,0,0,'Données projet'!$E$11+1,1))-AVERAGE(OFFSET($H$3,0,0,'Données projet'!$E$11+1,1))</f>
        <v>627.65081154031589</v>
      </c>
      <c r="BJ14" s="59">
        <f t="shared" si="38"/>
        <v>288.78083487077618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3.887142857142857</v>
      </c>
      <c r="BY14" s="12">
        <f>IF('Données projet'!$A$114&gt;35,BY13+BX14-CG13,IF(A14&lt;'Données projet'!$A$114,$BV$205^A14,IF(A14='Données projet'!$A$114,'Données projet'!$B$114,BY13+BX14-CG13)))</f>
        <v>42.758571428571415</v>
      </c>
      <c r="BZ14" s="13">
        <f>BY14*VLOOKUP('Données projet'!$B$12,Paramètres!$A$1:$I$89,3,0)*VLOOKUP('Données projet'!$B$12,Paramètres!$A$1:$I$89,5,0)</f>
        <v>43.357191428571419</v>
      </c>
      <c r="CA14" s="13">
        <f t="shared" si="39"/>
        <v>12.884254354928219</v>
      </c>
      <c r="CB14" s="20">
        <f t="shared" si="10"/>
        <v>97.953851406261848</v>
      </c>
      <c r="CC14" s="59">
        <f t="shared" si="11"/>
        <v>292.44965001537599</v>
      </c>
      <c r="CD14" s="59">
        <f ca="1">AVERAGE(OFFSET($CC$3,0,0,'Données projet'!$E$12+1,1))-AVERAGE(OFFSET($H$3,0,0,'Données projet'!$E$12+1,1))</f>
        <v>692.2706942067415</v>
      </c>
      <c r="CE14" s="59">
        <f t="shared" si="40"/>
        <v>316.17529091924803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3.887142857142857</v>
      </c>
      <c r="CT14" s="12">
        <f>IF('Données projet'!$A$140&gt;35,CT13+CS14-DB13,IF(A14&lt;'Données projet'!$A$140,$CQ$205^A14,IF(A14='Données projet'!$A$140,'Données projet'!$B$140,CT13+CS14-DB13)))</f>
        <v>42.758571428571415</v>
      </c>
      <c r="CU14" s="17">
        <f>CT14*VLOOKUP('Données projet'!$B$13,Paramètres!$A$1:$I$89,3,0)*VLOOKUP('Données projet'!$B$13,Paramètres!$A$1:$I$89,5,0)</f>
        <v>48.693461142857132</v>
      </c>
      <c r="CV14" s="13">
        <f t="shared" si="41"/>
        <v>14.275822094845736</v>
      </c>
      <c r="CW14" s="20">
        <f t="shared" si="13"/>
        <v>109.67150163899915</v>
      </c>
      <c r="CX14" s="59">
        <f t="shared" si="14"/>
        <v>304.16730024811329</v>
      </c>
      <c r="CY14" s="59">
        <f ca="1">AVERAGE(OFFSET($CX$3,0,0,'Données projet'!$E$13+1,1))-AVERAGE(OFFSET($H$3,0,0,'Données projet'!$E$13+1,1))</f>
        <v>765.9523557587147</v>
      </c>
      <c r="CZ14" s="59">
        <f t="shared" si="42"/>
        <v>347.40395092312815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4.7435897435897427</v>
      </c>
      <c r="DO14" s="12">
        <f>IF('Données projet'!$A$166&gt;35,DO13+DN14-DW13,IF(A14&lt;'Données projet'!$A$166,$DL$205^A14,IF(A14='Données projet'!$A$166,'Données projet'!$B$166,DO13+DN14-DW13)))</f>
        <v>19.487179487179485</v>
      </c>
      <c r="DP14" s="17">
        <f>DO14*VLOOKUP('Données projet'!$B$14,Paramètres!$A$1:$I$89,3,0)*VLOOKUP('Données projet'!$B$14,Paramètres!$A$1:$I$89,5,0)</f>
        <v>17.024000000000001</v>
      </c>
      <c r="DQ14" s="13">
        <f t="shared" si="43"/>
        <v>5.6405064996909955</v>
      </c>
      <c r="DR14" s="20">
        <f t="shared" si="16"/>
        <v>39.474015486961818</v>
      </c>
      <c r="DS14" s="59">
        <f t="shared" si="17"/>
        <v>233.96981409607594</v>
      </c>
      <c r="DT14" s="59">
        <f ca="1">AVERAGE(OFFSET($DS$3,0,0,'Données projet'!$E$14+1,1))-AVERAGE(OFFSET($H$3,0,0,'Données projet'!$E$14+1,1))</f>
        <v>253.82888243490106</v>
      </c>
      <c r="DU14" s="59">
        <f t="shared" si="44"/>
        <v>224.11983819941796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9.9228571428571435</v>
      </c>
      <c r="N15" s="13">
        <f>IF('Données projet'!$A$36&gt;35,N14+M15-V14,IF(A15&lt;'Données projet'!$A$36,$K$205^A15,IF(A15='Données projet'!$A$36,'Données projet'!$B$36,N14+M15-V14)))</f>
        <v>119.07428571428569</v>
      </c>
      <c r="O15" s="13">
        <f>N15*VLOOKUP('Données projet'!$B$9,Paramètres!$A$1:$I$89,3,0)*VLOOKUP('Données projet'!$B$9,Paramètres!$A$1:$I$89,5,0)</f>
        <v>55.726765714285705</v>
      </c>
      <c r="P15" s="13">
        <f t="shared" si="33"/>
        <v>16.083259609160287</v>
      </c>
      <c r="Q15" s="20">
        <f t="shared" si="2"/>
        <v>125.0691274383351</v>
      </c>
      <c r="R15" s="59">
        <f t="shared" si="0"/>
        <v>322.09890489106795</v>
      </c>
      <c r="S15" s="59">
        <f ca="1">AVERAGE(OFFSET($R$3,0,0,'Données projet'!$E$9+1,1))-AVERAGE(OFFSET($H$3,0,0,'Données projet'!$E$9+1,1))</f>
        <v>387.50901594883317</v>
      </c>
      <c r="T15" s="59">
        <f t="shared" si="34"/>
        <v>361.3623790401972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5.8668181818181813</v>
      </c>
      <c r="AI15" s="13">
        <f>IF('Données projet'!$A$62&gt;35,AI14+AH15-AQ14,IF(A15&lt;'Données projet'!$A$62,$AF$205^A15,IF(A15='Données projet'!$A$62,'Données projet'!$B$62,AI14+AH15-AQ14)))</f>
        <v>14.169654470507195</v>
      </c>
      <c r="AJ15" s="13">
        <f>AI15*VLOOKUP('Données projet'!$B$10,Paramètres!$A$1:$I$89,3,0)*VLOOKUP('Données projet'!$B$10,Paramètres!$A$1:$I$89,5,0)</f>
        <v>8.4734533733633022</v>
      </c>
      <c r="AK15" s="13">
        <f t="shared" si="35"/>
        <v>3.044992822013763</v>
      </c>
      <c r="AL15" s="20">
        <f t="shared" si="4"/>
        <v>20.06129379028172</v>
      </c>
      <c r="AM15" s="59">
        <f t="shared" si="5"/>
        <v>217.0910712430146</v>
      </c>
      <c r="AN15" s="59">
        <f ca="1">AVERAGE(OFFSET($AM$3,0,0,'Données projet'!$E$10+1,1))-AVERAGE(OFFSET($H$3,0,0,'Données projet'!$E$10+1,1))</f>
        <v>373.47758082856359</v>
      </c>
      <c r="AO15" s="59">
        <f t="shared" si="36"/>
        <v>277.24895424120166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3.887142857142857</v>
      </c>
      <c r="BD15" s="12">
        <f>IF('Données projet'!$A$88&gt;35,BD14+BC15-BL14,IF(A15&lt;'Données projet'!$A$88,$BA$205^A15,IF(A15='Données projet'!$A$88,'Données projet'!$B$88,BD14+BC15-BL14)))</f>
        <v>46.64571428571427</v>
      </c>
      <c r="BE15" s="13">
        <f>BD15*VLOOKUP('Données projet'!$B$11,Paramètres!$A$1:$I$89,3,0)*VLOOKUP('Données projet'!$B$11,Paramètres!$A$1:$I$89,5,0)</f>
        <v>42.205042285714271</v>
      </c>
      <c r="BF15" s="13">
        <f t="shared" si="37"/>
        <v>12.581255887241159</v>
      </c>
      <c r="BG15" s="20">
        <f t="shared" si="7"/>
        <v>95.419469317897367</v>
      </c>
      <c r="BH15" s="59">
        <f t="shared" si="8"/>
        <v>292.44924677063023</v>
      </c>
      <c r="BI15" s="59">
        <f ca="1">AVERAGE(OFFSET($BH$3,0,0,'Données projet'!$E$11+1,1))-AVERAGE(OFFSET($H$3,0,0,'Données projet'!$E$11+1,1))</f>
        <v>627.65081154031589</v>
      </c>
      <c r="BJ15" s="59">
        <f t="shared" si="38"/>
        <v>288.78083487077618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3.887142857142857</v>
      </c>
      <c r="BY15" s="12">
        <f>IF('Données projet'!$A$114&gt;35,BY14+BX15-CG14,IF(A15&lt;'Données projet'!$A$114,$BV$205^A15,IF(A15='Données projet'!$A$114,'Données projet'!$B$114,BY14+BX15-CG14)))</f>
        <v>46.64571428571427</v>
      </c>
      <c r="BZ15" s="13">
        <f>BY15*VLOOKUP('Données projet'!$B$12,Paramètres!$A$1:$I$89,3,0)*VLOOKUP('Données projet'!$B$12,Paramètres!$A$1:$I$89,5,0)</f>
        <v>47.298754285714274</v>
      </c>
      <c r="CA15" s="13">
        <f t="shared" si="39"/>
        <v>13.913912319856609</v>
      </c>
      <c r="CB15" s="20">
        <f t="shared" si="10"/>
        <v>106.6120610047026</v>
      </c>
      <c r="CC15" s="59">
        <f t="shared" si="11"/>
        <v>303.64183845743548</v>
      </c>
      <c r="CD15" s="59">
        <f ca="1">AVERAGE(OFFSET($CC$3,0,0,'Données projet'!$E$12+1,1))-AVERAGE(OFFSET($H$3,0,0,'Données projet'!$E$12+1,1))</f>
        <v>692.2706942067415</v>
      </c>
      <c r="CE15" s="59">
        <f t="shared" si="40"/>
        <v>316.17529091924803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3.887142857142857</v>
      </c>
      <c r="CT15" s="12">
        <f>IF('Données projet'!$A$140&gt;35,CT14+CS15-DB14,IF(A15&lt;'Données projet'!$A$140,$CQ$205^A15,IF(A15='Données projet'!$A$140,'Données projet'!$B$140,CT14+CS15-DB14)))</f>
        <v>46.64571428571427</v>
      </c>
      <c r="CU15" s="17">
        <f>CT15*VLOOKUP('Données projet'!$B$13,Paramètres!$A$1:$I$89,3,0)*VLOOKUP('Données projet'!$B$13,Paramètres!$A$1:$I$89,5,0)</f>
        <v>53.120139428571406</v>
      </c>
      <c r="CV15" s="13">
        <f t="shared" si="41"/>
        <v>15.416688575818</v>
      </c>
      <c r="CW15" s="20">
        <f t="shared" si="13"/>
        <v>119.36830877431153</v>
      </c>
      <c r="CX15" s="59">
        <f t="shared" si="14"/>
        <v>316.39808622704442</v>
      </c>
      <c r="CY15" s="59">
        <f ca="1">AVERAGE(OFFSET($CX$3,0,0,'Données projet'!$E$13+1,1))-AVERAGE(OFFSET($H$3,0,0,'Données projet'!$E$13+1,1))</f>
        <v>765.9523557587147</v>
      </c>
      <c r="CZ15" s="59">
        <f t="shared" si="42"/>
        <v>347.40395092312815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4.7435897435897427</v>
      </c>
      <c r="DO15" s="12">
        <f>IF('Données projet'!$A$166&gt;35,DO14+DN15-DW14,IF(A15&lt;'Données projet'!$A$166,$DL$205^A15,IF(A15='Données projet'!$A$166,'Données projet'!$B$166,DO14+DN15-DW14)))</f>
        <v>24.230769230769226</v>
      </c>
      <c r="DP15" s="17">
        <f>DO15*VLOOKUP('Données projet'!$B$14,Paramètres!$A$1:$I$89,3,0)*VLOOKUP('Données projet'!$B$14,Paramètres!$A$1:$I$89,5,0)</f>
        <v>21.167999999999999</v>
      </c>
      <c r="DQ15" s="13">
        <f t="shared" si="43"/>
        <v>6.8379002305970005</v>
      </c>
      <c r="DR15" s="20">
        <f t="shared" si="16"/>
        <v>48.776942901623102</v>
      </c>
      <c r="DS15" s="59">
        <f t="shared" si="17"/>
        <v>245.80672035435597</v>
      </c>
      <c r="DT15" s="59">
        <f ca="1">AVERAGE(OFFSET($DS$3,0,0,'Données projet'!$E$14+1,1))-AVERAGE(OFFSET($H$3,0,0,'Données projet'!$E$14+1,1))</f>
        <v>253.82888243490106</v>
      </c>
      <c r="DU15" s="59">
        <f t="shared" si="44"/>
        <v>224.11983819941796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9.9228571428571435</v>
      </c>
      <c r="N16" s="13">
        <f>IF('Données projet'!$A$36&gt;35,N15+M16-V15,IF(A16&lt;'Données projet'!$A$36,$K$205^A16,IF(A16='Données projet'!$A$36,'Données projet'!$B$36,N15+M16-V15)))</f>
        <v>128.99714285714285</v>
      </c>
      <c r="O16" s="13">
        <f>N16*VLOOKUP('Données projet'!$B$9,Paramètres!$A$1:$I$89,3,0)*VLOOKUP('Données projet'!$B$9,Paramètres!$A$1:$I$89,5,0)</f>
        <v>60.370662857142847</v>
      </c>
      <c r="P16" s="13">
        <f t="shared" si="33"/>
        <v>17.261950594894824</v>
      </c>
      <c r="Q16" s="20">
        <f t="shared" si="2"/>
        <v>135.21013509563227</v>
      </c>
      <c r="R16" s="59">
        <f t="shared" si="0"/>
        <v>334.75113534725108</v>
      </c>
      <c r="S16" s="59">
        <f ca="1">AVERAGE(OFFSET($R$3,0,0,'Données projet'!$E$9+1,1))-AVERAGE(OFFSET($H$3,0,0,'Données projet'!$E$9+1,1))</f>
        <v>387.50901594883317</v>
      </c>
      <c r="T16" s="59">
        <f t="shared" si="34"/>
        <v>361.3623790401972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5.8668181818181813</v>
      </c>
      <c r="AI16" s="13">
        <f>IF('Données projet'!$A$62&gt;35,AI15+AH16-AQ15,IF(A16&lt;'Données projet'!$A$62,$AF$205^A16,IF(A16='Données projet'!$A$62,'Données projet'!$B$62,AI15+AH16-AQ15)))</f>
        <v>17.672820443588613</v>
      </c>
      <c r="AJ16" s="13">
        <f>AI16*VLOOKUP('Données projet'!$B$10,Paramètres!$A$1:$I$89,3,0)*VLOOKUP('Données projet'!$B$10,Paramètres!$A$1:$I$89,5,0)</f>
        <v>10.56834662526599</v>
      </c>
      <c r="AK16" s="13">
        <f t="shared" si="35"/>
        <v>3.7013886882041378</v>
      </c>
      <c r="AL16" s="20">
        <f t="shared" si="4"/>
        <v>24.853122337627141</v>
      </c>
      <c r="AM16" s="59">
        <f t="shared" si="5"/>
        <v>224.39412258924597</v>
      </c>
      <c r="AN16" s="59">
        <f ca="1">AVERAGE(OFFSET($AM$3,0,0,'Données projet'!$E$10+1,1))-AVERAGE(OFFSET($H$3,0,0,'Données projet'!$E$10+1,1))</f>
        <v>373.47758082856359</v>
      </c>
      <c r="AO16" s="59">
        <f t="shared" si="36"/>
        <v>277.24895424120166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3.887142857142857</v>
      </c>
      <c r="BD16" s="12">
        <f>IF('Données projet'!$A$88&gt;35,BD15+BC16-BL15,IF(A16&lt;'Données projet'!$A$88,$BA$205^A16,IF(A16='Données projet'!$A$88,'Données projet'!$B$88,BD15+BC16-BL15)))</f>
        <v>50.532857142857125</v>
      </c>
      <c r="BE16" s="13">
        <f>BD16*VLOOKUP('Données projet'!$B$11,Paramètres!$A$1:$I$89,3,0)*VLOOKUP('Données projet'!$B$11,Paramètres!$A$1:$I$89,5,0)</f>
        <v>45.722129142857128</v>
      </c>
      <c r="BF16" s="13">
        <f t="shared" si="37"/>
        <v>13.50329614922042</v>
      </c>
      <c r="BG16" s="20">
        <f t="shared" si="7"/>
        <v>103.1509490503684</v>
      </c>
      <c r="BH16" s="59">
        <f t="shared" si="8"/>
        <v>302.69194930198722</v>
      </c>
      <c r="BI16" s="59">
        <f ca="1">AVERAGE(OFFSET($BH$3,0,0,'Données projet'!$E$11+1,1))-AVERAGE(OFFSET($H$3,0,0,'Données projet'!$E$11+1,1))</f>
        <v>627.65081154031589</v>
      </c>
      <c r="BJ16" s="59">
        <f t="shared" si="38"/>
        <v>288.78083487077618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3.887142857142857</v>
      </c>
      <c r="BY16" s="12">
        <f>IF('Données projet'!$A$114&gt;35,BY15+BX16-CG15,IF(A16&lt;'Données projet'!$A$114,$BV$205^A16,IF(A16='Données projet'!$A$114,'Données projet'!$B$114,BY15+BX16-CG15)))</f>
        <v>50.532857142857125</v>
      </c>
      <c r="BZ16" s="13">
        <f>BY16*VLOOKUP('Données projet'!$B$12,Paramètres!$A$1:$I$89,3,0)*VLOOKUP('Données projet'!$B$12,Paramètres!$A$1:$I$89,5,0)</f>
        <v>51.240317142857123</v>
      </c>
      <c r="CA16" s="13">
        <f t="shared" si="39"/>
        <v>14.933618736730883</v>
      </c>
      <c r="CB16" s="20">
        <f t="shared" si="10"/>
        <v>115.25293832361577</v>
      </c>
      <c r="CC16" s="59">
        <f t="shared" si="11"/>
        <v>314.79393857523456</v>
      </c>
      <c r="CD16" s="59">
        <f ca="1">AVERAGE(OFFSET($CC$3,0,0,'Données projet'!$E$12+1,1))-AVERAGE(OFFSET($H$3,0,0,'Données projet'!$E$12+1,1))</f>
        <v>692.2706942067415</v>
      </c>
      <c r="CE16" s="59">
        <f t="shared" si="40"/>
        <v>316.17529091924803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3.887142857142857</v>
      </c>
      <c r="CT16" s="12">
        <f>IF('Données projet'!$A$140&gt;35,CT15+CS16-DB15,IF(A16&lt;'Données projet'!$A$140,$CQ$205^A16,IF(A16='Données projet'!$A$140,'Données projet'!$B$140,CT15+CS16-DB15)))</f>
        <v>50.532857142857125</v>
      </c>
      <c r="CU16" s="17">
        <f>CT16*VLOOKUP('Données projet'!$B$13,Paramètres!$A$1:$I$89,3,0)*VLOOKUP('Données projet'!$B$13,Paramètres!$A$1:$I$89,5,0)</f>
        <v>57.546817714285694</v>
      </c>
      <c r="CV16" s="13">
        <f t="shared" si="41"/>
        <v>16.546528688816206</v>
      </c>
      <c r="CW16" s="20">
        <f t="shared" si="13"/>
        <v>129.04591165206915</v>
      </c>
      <c r="CX16" s="59">
        <f t="shared" si="14"/>
        <v>328.58691190368796</v>
      </c>
      <c r="CY16" s="59">
        <f ca="1">AVERAGE(OFFSET($CX$3,0,0,'Données projet'!$E$13+1,1))-AVERAGE(OFFSET($H$3,0,0,'Données projet'!$E$13+1,1))</f>
        <v>765.9523557587147</v>
      </c>
      <c r="CZ16" s="59">
        <f t="shared" si="42"/>
        <v>347.40395092312815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4.7435897435897427</v>
      </c>
      <c r="DO16" s="12">
        <f>IF('Données projet'!$A$166&gt;35,DO15+DN16-DW15,IF(A16&lt;'Données projet'!$A$166,$DL$205^A16,IF(A16='Données projet'!$A$166,'Données projet'!$B$166,DO15+DN16-DW15)))</f>
        <v>28.974358974358971</v>
      </c>
      <c r="DP16" s="17">
        <f>DO16*VLOOKUP('Données projet'!$B$14,Paramètres!$A$1:$I$89,3,0)*VLOOKUP('Données projet'!$B$14,Paramètres!$A$1:$I$89,5,0)</f>
        <v>25.312000000000001</v>
      </c>
      <c r="DQ16" s="13">
        <f t="shared" si="43"/>
        <v>8.0081339069860693</v>
      </c>
      <c r="DR16" s="20">
        <f t="shared" si="16"/>
        <v>58.032566554667405</v>
      </c>
      <c r="DS16" s="59">
        <f t="shared" si="17"/>
        <v>257.57356680628624</v>
      </c>
      <c r="DT16" s="59">
        <f ca="1">AVERAGE(OFFSET($DS$3,0,0,'Données projet'!$E$14+1,1))-AVERAGE(OFFSET($H$3,0,0,'Données projet'!$E$14+1,1))</f>
        <v>253.82888243490106</v>
      </c>
      <c r="DU16" s="59">
        <f t="shared" si="44"/>
        <v>224.11983819941796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9.9228571428571435</v>
      </c>
      <c r="N17" s="13">
        <f>IF('Données projet'!$A$36&gt;35,N16+M17-V16,IF(A17&lt;'Données projet'!$A$36,$K$205^A17,IF(A17='Données projet'!$A$36,'Données projet'!$B$36,N16+M17-V16)))</f>
        <v>138.91999999999999</v>
      </c>
      <c r="O17" s="13">
        <f>N17*VLOOKUP('Données projet'!$B$9,Paramètres!$A$1:$I$89,3,0)*VLOOKUP('Données projet'!$B$9,Paramètres!$A$1:$I$89,5,0)</f>
        <v>65.014560000000003</v>
      </c>
      <c r="P17" s="13">
        <f t="shared" si="33"/>
        <v>18.430123928042022</v>
      </c>
      <c r="Q17" s="20">
        <f t="shared" si="2"/>
        <v>145.33282450800652</v>
      </c>
      <c r="R17" s="59">
        <f t="shared" si="0"/>
        <v>347.36268628027972</v>
      </c>
      <c r="S17" s="59">
        <f ca="1">AVERAGE(OFFSET($R$3,0,0,'Données projet'!$E$9+1,1))-AVERAGE(OFFSET($H$3,0,0,'Données projet'!$E$9+1,1))</f>
        <v>387.50901594883317</v>
      </c>
      <c r="T17" s="59">
        <f t="shared" si="34"/>
        <v>361.3623790401972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5.8668181818181813</v>
      </c>
      <c r="AI17" s="13">
        <f>IF('Données projet'!$A$62&gt;35,AI16+AH17-AQ16,IF(A17&lt;'Données projet'!$A$62,$AF$205^A17,IF(A17='Données projet'!$A$62,'Données projet'!$B$62,AI16+AH17-AQ16)))</f>
        <v>22.042074708413409</v>
      </c>
      <c r="AJ17" s="13">
        <f>AI17*VLOOKUP('Données projet'!$B$10,Paramètres!$A$1:$I$89,3,0)*VLOOKUP('Données projet'!$B$10,Paramètres!$A$1:$I$89,5,0)</f>
        <v>13.181160675631221</v>
      </c>
      <c r="AK17" s="13">
        <f t="shared" si="35"/>
        <v>4.4992809579449391</v>
      </c>
      <c r="AL17" s="20">
        <f t="shared" si="4"/>
        <v>30.793435845145144</v>
      </c>
      <c r="AM17" s="59">
        <f t="shared" si="5"/>
        <v>232.82329761741835</v>
      </c>
      <c r="AN17" s="59">
        <f ca="1">AVERAGE(OFFSET($AM$3,0,0,'Données projet'!$E$10+1,1))-AVERAGE(OFFSET($H$3,0,0,'Données projet'!$E$10+1,1))</f>
        <v>373.47758082856359</v>
      </c>
      <c r="AO17" s="59">
        <f t="shared" si="36"/>
        <v>277.24895424120166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3.887142857142857</v>
      </c>
      <c r="BD17" s="12">
        <f>IF('Données projet'!$A$88&gt;35,BD16+BC17-BL16,IF(A17&lt;'Données projet'!$A$88,$BA$205^A17,IF(A17='Données projet'!$A$88,'Données projet'!$B$88,BD16+BC17-BL16)))</f>
        <v>54.41999999999998</v>
      </c>
      <c r="BE17" s="13">
        <f>BD17*VLOOKUP('Données projet'!$B$11,Paramètres!$A$1:$I$89,3,0)*VLOOKUP('Données projet'!$B$11,Paramètres!$A$1:$I$89,5,0)</f>
        <v>49.239215999999978</v>
      </c>
      <c r="BF17" s="13">
        <f t="shared" si="37"/>
        <v>14.417108895027585</v>
      </c>
      <c r="BG17" s="20">
        <f t="shared" si="7"/>
        <v>110.86809919217301</v>
      </c>
      <c r="BH17" s="59">
        <f t="shared" si="8"/>
        <v>312.89796096444621</v>
      </c>
      <c r="BI17" s="59">
        <f ca="1">AVERAGE(OFFSET($BH$3,0,0,'Données projet'!$E$11+1,1))-AVERAGE(OFFSET($H$3,0,0,'Données projet'!$E$11+1,1))</f>
        <v>627.65081154031589</v>
      </c>
      <c r="BJ17" s="59">
        <f t="shared" si="38"/>
        <v>288.78083487077618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3.887142857142857</v>
      </c>
      <c r="BY17" s="12">
        <f>IF('Données projet'!$A$114&gt;35,BY16+BX17-CG16,IF(A17&lt;'Données projet'!$A$114,$BV$205^A17,IF(A17='Données projet'!$A$114,'Données projet'!$B$114,BY16+BX17-CG16)))</f>
        <v>54.41999999999998</v>
      </c>
      <c r="BZ17" s="13">
        <f>BY17*VLOOKUP('Données projet'!$B$12,Paramètres!$A$1:$I$89,3,0)*VLOOKUP('Données projet'!$B$12,Paramètres!$A$1:$I$89,5,0)</f>
        <v>55.181879999999985</v>
      </c>
      <c r="CA17" s="13">
        <f t="shared" si="39"/>
        <v>15.944226146347479</v>
      </c>
      <c r="CB17" s="20">
        <f t="shared" si="10"/>
        <v>123.87796820488852</v>
      </c>
      <c r="CC17" s="59">
        <f t="shared" si="11"/>
        <v>325.90782997716173</v>
      </c>
      <c r="CD17" s="59">
        <f ca="1">AVERAGE(OFFSET($CC$3,0,0,'Données projet'!$E$12+1,1))-AVERAGE(OFFSET($H$3,0,0,'Données projet'!$E$12+1,1))</f>
        <v>692.2706942067415</v>
      </c>
      <c r="CE17" s="59">
        <f t="shared" si="40"/>
        <v>316.17529091924803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3.887142857142857</v>
      </c>
      <c r="CT17" s="12">
        <f>IF('Données projet'!$A$140&gt;35,CT16+CS17-DB16,IF(A17&lt;'Données projet'!$A$140,$CQ$205^A17,IF(A17='Données projet'!$A$140,'Données projet'!$B$140,CT16+CS17-DB16)))</f>
        <v>54.41999999999998</v>
      </c>
      <c r="CU17" s="17">
        <f>CT17*VLOOKUP('Données projet'!$B$13,Paramètres!$A$1:$I$89,3,0)*VLOOKUP('Données projet'!$B$13,Paramètres!$A$1:$I$89,5,0)</f>
        <v>61.973495999999976</v>
      </c>
      <c r="CV17" s="13">
        <f t="shared" si="41"/>
        <v>17.666287053560144</v>
      </c>
      <c r="CW17" s="20">
        <f t="shared" si="13"/>
        <v>138.70595548495052</v>
      </c>
      <c r="CX17" s="59">
        <f t="shared" si="14"/>
        <v>340.73581725722374</v>
      </c>
      <c r="CY17" s="59">
        <f ca="1">AVERAGE(OFFSET($CX$3,0,0,'Données projet'!$E$13+1,1))-AVERAGE(OFFSET($H$3,0,0,'Données projet'!$E$13+1,1))</f>
        <v>765.9523557587147</v>
      </c>
      <c r="CZ17" s="59">
        <f t="shared" si="42"/>
        <v>347.40395092312815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4.7435897435897427</v>
      </c>
      <c r="DO17" s="12">
        <f>IF('Données projet'!$A$166&gt;35,DO16+DN17-DW16,IF(A17&lt;'Données projet'!$A$166,$DL$205^A17,IF(A17='Données projet'!$A$166,'Données projet'!$B$166,DO16+DN17-DW16)))</f>
        <v>33.717948717948715</v>
      </c>
      <c r="DP17" s="17">
        <f>DO17*VLOOKUP('Données projet'!$B$14,Paramètres!$A$1:$I$89,3,0)*VLOOKUP('Données projet'!$B$14,Paramètres!$A$1:$I$89,5,0)</f>
        <v>29.456000000000003</v>
      </c>
      <c r="DQ17" s="13">
        <f t="shared" si="43"/>
        <v>9.1561734062991018</v>
      </c>
      <c r="DR17" s="20">
        <f t="shared" si="16"/>
        <v>67.249535349304267</v>
      </c>
      <c r="DS17" s="59">
        <f t="shared" si="17"/>
        <v>269.27939712157746</v>
      </c>
      <c r="DT17" s="59">
        <f ca="1">AVERAGE(OFFSET($DS$3,0,0,'Données projet'!$E$14+1,1))-AVERAGE(OFFSET($H$3,0,0,'Données projet'!$E$14+1,1))</f>
        <v>253.82888243490106</v>
      </c>
      <c r="DU17" s="59">
        <f t="shared" si="44"/>
        <v>224.11983819941796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9.9228571428571435</v>
      </c>
      <c r="N18" s="13">
        <f>IF('Données projet'!$A$36&gt;35,N17+M18-V17,IF(A18&lt;'Données projet'!$A$36,$K$205^A18,IF(A18='Données projet'!$A$36,'Données projet'!$B$36,N17+M18-V17)))</f>
        <v>148.84285714285713</v>
      </c>
      <c r="O18" s="13">
        <f>N18*VLOOKUP('Données projet'!$B$9,Paramètres!$A$1:$I$89,3,0)*VLOOKUP('Données projet'!$B$9,Paramètres!$A$1:$I$89,5,0)</f>
        <v>69.658457142857131</v>
      </c>
      <c r="P18" s="13">
        <f t="shared" si="33"/>
        <v>19.588616313230013</v>
      </c>
      <c r="Q18" s="20">
        <f t="shared" si="2"/>
        <v>155.43865293601846</v>
      </c>
      <c r="R18" s="59">
        <f t="shared" si="0"/>
        <v>359.93540286889947</v>
      </c>
      <c r="S18" s="59">
        <f ca="1">AVERAGE(OFFSET($R$3,0,0,'Données projet'!$E$9+1,1))-AVERAGE(OFFSET($H$3,0,0,'Données projet'!$E$9+1,1))</f>
        <v>387.50901594883317</v>
      </c>
      <c r="T18" s="59">
        <f t="shared" si="34"/>
        <v>361.3623790401972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5.8668181818181813</v>
      </c>
      <c r="AI18" s="13">
        <f>IF('Données projet'!$A$62&gt;35,AI17+AH18-AQ17,IF(A18&lt;'Données projet'!$A$62,$AF$205^A18,IF(A18='Données projet'!$A$62,'Données projet'!$B$62,AI17+AH18-AQ17)))</f>
        <v>27.491540413830034</v>
      </c>
      <c r="AJ18" s="13">
        <f>AI18*VLOOKUP('Données projet'!$B$10,Paramètres!$A$1:$I$89,3,0)*VLOOKUP('Données projet'!$B$10,Paramètres!$A$1:$I$89,5,0)</f>
        <v>16.439941167470362</v>
      </c>
      <c r="AK18" s="13">
        <f t="shared" si="35"/>
        <v>5.4691713958708279</v>
      </c>
      <c r="AL18" s="20">
        <f t="shared" si="4"/>
        <v>38.158371047819237</v>
      </c>
      <c r="AM18" s="59">
        <f t="shared" si="5"/>
        <v>242.65512098070027</v>
      </c>
      <c r="AN18" s="59">
        <f ca="1">AVERAGE(OFFSET($AM$3,0,0,'Données projet'!$E$10+1,1))-AVERAGE(OFFSET($H$3,0,0,'Données projet'!$E$10+1,1))</f>
        <v>373.47758082856359</v>
      </c>
      <c r="AO18" s="59">
        <f t="shared" si="36"/>
        <v>277.24895424120166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3.887142857142857</v>
      </c>
      <c r="BD18" s="12">
        <f>IF('Données projet'!$A$88&gt;35,BD17+BC18-BL17,IF(A18&lt;'Données projet'!$A$88,$BA$205^A18,IF(A18='Données projet'!$A$88,'Données projet'!$B$88,BD17+BC18-BL17)))</f>
        <v>58.307142857142836</v>
      </c>
      <c r="BE18" s="13">
        <f>BD18*VLOOKUP('Données projet'!$B$11,Paramètres!$A$1:$I$89,3,0)*VLOOKUP('Données projet'!$B$11,Paramètres!$A$1:$I$89,5,0)</f>
        <v>52.756302857142842</v>
      </c>
      <c r="BF18" s="13">
        <f t="shared" si="37"/>
        <v>15.323348643415981</v>
      </c>
      <c r="BG18" s="20">
        <f t="shared" si="7"/>
        <v>118.57205969680662</v>
      </c>
      <c r="BH18" s="59">
        <f t="shared" si="8"/>
        <v>323.06880962968768</v>
      </c>
      <c r="BI18" s="59">
        <f ca="1">AVERAGE(OFFSET($BH$3,0,0,'Données projet'!$E$11+1,1))-AVERAGE(OFFSET($H$3,0,0,'Données projet'!$E$11+1,1))</f>
        <v>627.65081154031589</v>
      </c>
      <c r="BJ18" s="59">
        <f t="shared" si="38"/>
        <v>288.78083487077618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3.887142857142857</v>
      </c>
      <c r="BY18" s="12">
        <f>IF('Données projet'!$A$114&gt;35,BY17+BX18-CG17,IF(A18&lt;'Données projet'!$A$114,$BV$205^A18,IF(A18='Données projet'!$A$114,'Données projet'!$B$114,BY17+BX18-CG17)))</f>
        <v>58.307142857142836</v>
      </c>
      <c r="BZ18" s="13">
        <f>BY18*VLOOKUP('Données projet'!$B$12,Paramètres!$A$1:$I$89,3,0)*VLOOKUP('Données projet'!$B$12,Paramètres!$A$1:$I$89,5,0)</f>
        <v>59.123442857142841</v>
      </c>
      <c r="CA18" s="13">
        <f t="shared" si="39"/>
        <v>16.946458396677293</v>
      </c>
      <c r="CB18" s="20">
        <f t="shared" si="10"/>
        <v>132.4884113504034</v>
      </c>
      <c r="CC18" s="59">
        <f t="shared" si="11"/>
        <v>336.98516128328447</v>
      </c>
      <c r="CD18" s="59">
        <f ca="1">AVERAGE(OFFSET($CC$3,0,0,'Données projet'!$E$12+1,1))-AVERAGE(OFFSET($H$3,0,0,'Données projet'!$E$12+1,1))</f>
        <v>692.2706942067415</v>
      </c>
      <c r="CE18" s="59">
        <f t="shared" si="40"/>
        <v>316.17529091924803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3.887142857142857</v>
      </c>
      <c r="CT18" s="12">
        <f>IF('Données projet'!$A$140&gt;35,CT17+CS18-DB17,IF(A18&lt;'Données projet'!$A$140,$CQ$205^A18,IF(A18='Données projet'!$A$140,'Données projet'!$B$140,CT17+CS18-DB17)))</f>
        <v>58.307142857142836</v>
      </c>
      <c r="CU18" s="17">
        <f>CT18*VLOOKUP('Données projet'!$B$13,Paramètres!$A$1:$I$89,3,0)*VLOOKUP('Données projet'!$B$13,Paramètres!$A$1:$I$89,5,0)</f>
        <v>66.400174285714272</v>
      </c>
      <c r="CV18" s="13">
        <f t="shared" si="41"/>
        <v>18.776765697437021</v>
      </c>
      <c r="CW18" s="20">
        <f t="shared" si="13"/>
        <v>148.34983713732183</v>
      </c>
      <c r="CX18" s="59">
        <f t="shared" si="14"/>
        <v>352.84658707020287</v>
      </c>
      <c r="CY18" s="59">
        <f ca="1">AVERAGE(OFFSET($CX$3,0,0,'Données projet'!$E$13+1,1))-AVERAGE(OFFSET($H$3,0,0,'Données projet'!$E$13+1,1))</f>
        <v>765.9523557587147</v>
      </c>
      <c r="CZ18" s="59">
        <f t="shared" si="42"/>
        <v>347.40395092312815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38.46153846153846</v>
      </c>
      <c r="DM18" s="12">
        <f>VLOOKUP(A18,'Données projet'!$A$165:$I$185,9,0)</f>
        <v>4.7435897435897427</v>
      </c>
      <c r="DN18" s="12">
        <f t="array" ref="DN18">INDEX(DM:DM,MIN(IF(ISNUMBER(DM18:DM214),ROW(DM18:DM214),"")))</f>
        <v>4.7435897435897427</v>
      </c>
      <c r="DO18" s="12">
        <f>IF('Données projet'!$A$166&gt;35,DO17+DN18-DW17,IF(A18&lt;'Données projet'!$A$166,$DL$205^A18,IF(A18='Données projet'!$A$166,'Données projet'!$B$166,DO17+DN18-DW17)))</f>
        <v>38.46153846153846</v>
      </c>
      <c r="DP18" s="17">
        <f>DO18*VLOOKUP('Données projet'!$B$14,Paramètres!$A$1:$I$89,3,0)*VLOOKUP('Données projet'!$B$14,Paramètres!$A$1:$I$89,5,0)</f>
        <v>33.6</v>
      </c>
      <c r="DQ18" s="13">
        <f t="shared" si="43"/>
        <v>10.285500991147414</v>
      </c>
      <c r="DR18" s="20">
        <f t="shared" si="16"/>
        <v>76.433914226248405</v>
      </c>
      <c r="DS18" s="59">
        <f t="shared" si="17"/>
        <v>280.93066415912944</v>
      </c>
      <c r="DT18" s="59">
        <f ca="1">AVERAGE(OFFSET($DS$3,0,0,'Données projet'!$E$14+1,1))-AVERAGE(OFFSET($H$3,0,0,'Données projet'!$E$14+1,1))</f>
        <v>253.82888243490106</v>
      </c>
      <c r="DU18" s="59">
        <f t="shared" si="44"/>
        <v>224.11983819941796</v>
      </c>
      <c r="DV18" s="15">
        <f>IF(ISNA(VLOOKUP(A18,'Données projet'!$A$165:$I$185,3,0)),0,VLOOKUP(A18,'Données projet'!$A$165:$I$185,3,0))</f>
        <v>2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0.215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9.9228571428571435</v>
      </c>
      <c r="N19" s="13">
        <f>IF('Données projet'!$A$36&gt;35,N18+M19-V18,IF(A19&lt;'Données projet'!$A$36,$K$205^A19,IF(A19='Données projet'!$A$36,'Données projet'!$B$36,N18+M19-V18)))</f>
        <v>158.76571428571427</v>
      </c>
      <c r="O19" s="13">
        <f>N19*VLOOKUP('Données projet'!$B$9,Paramètres!$A$1:$I$89,3,0)*VLOOKUP('Données projet'!$B$9,Paramètres!$A$1:$I$89,5,0)</f>
        <v>74.302354285714287</v>
      </c>
      <c r="P19" s="13">
        <f t="shared" si="33"/>
        <v>20.738146582970735</v>
      </c>
      <c r="Q19" s="20">
        <f t="shared" si="2"/>
        <v>165.52887234629307</v>
      </c>
      <c r="R19" s="59">
        <f t="shared" si="0"/>
        <v>372.4709182684071</v>
      </c>
      <c r="S19" s="59">
        <f ca="1">AVERAGE(OFFSET($R$3,0,0,'Données projet'!$E$9+1,1))-AVERAGE(OFFSET($H$3,0,0,'Données projet'!$E$9+1,1))</f>
        <v>387.50901594883317</v>
      </c>
      <c r="T19" s="59">
        <f t="shared" si="34"/>
        <v>361.3623790401972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5.8668181818181813</v>
      </c>
      <c r="AI19" s="13">
        <f>IF('Données projet'!$A$62&gt;35,AI18+AH19-AQ18,IF(A19&lt;'Données projet'!$A$62,$AF$205^A19,IF(A19='Données projet'!$A$62,'Données projet'!$B$62,AI18+AH19-AQ18)))</f>
        <v>34.288278409507839</v>
      </c>
      <c r="AJ19" s="13">
        <f>AI19*VLOOKUP('Données projet'!$B$10,Paramètres!$A$1:$I$89,3,0)*VLOOKUP('Données projet'!$B$10,Paramètres!$A$1:$I$89,5,0)</f>
        <v>20.50439048888569</v>
      </c>
      <c r="AK19" s="13">
        <f t="shared" si="35"/>
        <v>6.6481368994289252</v>
      </c>
      <c r="AL19" s="20">
        <f t="shared" si="4"/>
        <v>47.290651867981289</v>
      </c>
      <c r="AM19" s="59">
        <f t="shared" si="5"/>
        <v>254.23269779009536</v>
      </c>
      <c r="AN19" s="59">
        <f ca="1">AVERAGE(OFFSET($AM$3,0,0,'Données projet'!$E$10+1,1))-AVERAGE(OFFSET($H$3,0,0,'Données projet'!$E$10+1,1))</f>
        <v>373.47758082856359</v>
      </c>
      <c r="AO19" s="59">
        <f t="shared" si="36"/>
        <v>277.24895424120166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3.887142857142857</v>
      </c>
      <c r="BD19" s="12">
        <f>IF('Données projet'!$A$88&gt;35,BD18+BC19-BL18,IF(A19&lt;'Données projet'!$A$88,$BA$205^A19,IF(A19='Données projet'!$A$88,'Données projet'!$B$88,BD18+BC19-BL18)))</f>
        <v>62.194285714285691</v>
      </c>
      <c r="BE19" s="13">
        <f>BD19*VLOOKUP('Données projet'!$B$11,Paramètres!$A$1:$I$89,3,0)*VLOOKUP('Données projet'!$B$11,Paramètres!$A$1:$I$89,5,0)</f>
        <v>56.273389714285692</v>
      </c>
      <c r="BF19" s="13">
        <f t="shared" si="37"/>
        <v>16.222577706752112</v>
      </c>
      <c r="BG19" s="20">
        <f t="shared" si="7"/>
        <v>126.26380992497417</v>
      </c>
      <c r="BH19" s="59">
        <f t="shared" si="8"/>
        <v>333.20585584708823</v>
      </c>
      <c r="BI19" s="59">
        <f ca="1">AVERAGE(OFFSET($BH$3,0,0,'Données projet'!$E$11+1,1))-AVERAGE(OFFSET($H$3,0,0,'Données projet'!$E$11+1,1))</f>
        <v>627.65081154031589</v>
      </c>
      <c r="BJ19" s="59">
        <f t="shared" si="38"/>
        <v>288.78083487077618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3.887142857142857</v>
      </c>
      <c r="BY19" s="12">
        <f>IF('Données projet'!$A$114&gt;35,BY18+BX19-CG18,IF(A19&lt;'Données projet'!$A$114,$BV$205^A19,IF(A19='Données projet'!$A$114,'Données projet'!$B$114,BY18+BX19-CG18)))</f>
        <v>62.194285714285691</v>
      </c>
      <c r="BZ19" s="13">
        <f>BY19*VLOOKUP('Données projet'!$B$12,Paramètres!$A$1:$I$89,3,0)*VLOOKUP('Données projet'!$B$12,Paramètres!$A$1:$I$89,5,0)</f>
        <v>63.065005714285689</v>
      </c>
      <c r="CA19" s="13">
        <f t="shared" si="39"/>
        <v>17.940937362438909</v>
      </c>
      <c r="CB19" s="20">
        <f t="shared" si="10"/>
        <v>141.08535085862869</v>
      </c>
      <c r="CC19" s="59">
        <f t="shared" si="11"/>
        <v>348.02739678074272</v>
      </c>
      <c r="CD19" s="59">
        <f ca="1">AVERAGE(OFFSET($CC$3,0,0,'Données projet'!$E$12+1,1))-AVERAGE(OFFSET($H$3,0,0,'Données projet'!$E$12+1,1))</f>
        <v>692.2706942067415</v>
      </c>
      <c r="CE19" s="59">
        <f t="shared" si="40"/>
        <v>316.17529091924803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3.887142857142857</v>
      </c>
      <c r="CT19" s="12">
        <f>IF('Données projet'!$A$140&gt;35,CT18+CS19-DB18,IF(A19&lt;'Données projet'!$A$140,$CQ$205^A19,IF(A19='Données projet'!$A$140,'Données projet'!$B$140,CT18+CS19-DB18)))</f>
        <v>62.194285714285691</v>
      </c>
      <c r="CU19" s="17">
        <f>CT19*VLOOKUP('Données projet'!$B$13,Paramètres!$A$1:$I$89,3,0)*VLOOKUP('Données projet'!$B$13,Paramètres!$A$1:$I$89,5,0)</f>
        <v>70.826852571428546</v>
      </c>
      <c r="CV19" s="13">
        <f t="shared" si="41"/>
        <v>19.878653660930119</v>
      </c>
      <c r="CW19" s="20">
        <f t="shared" si="13"/>
        <v>157.97875668802465</v>
      </c>
      <c r="CX19" s="59">
        <f t="shared" si="14"/>
        <v>364.92080261013871</v>
      </c>
      <c r="CY19" s="59">
        <f ca="1">AVERAGE(OFFSET($CX$3,0,0,'Données projet'!$E$13+1,1))-AVERAGE(OFFSET($H$3,0,0,'Données projet'!$E$13+1,1))</f>
        <v>765.9523557587147</v>
      </c>
      <c r="CZ19" s="59">
        <f t="shared" si="42"/>
        <v>347.40395092312815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6.1538461538461533</v>
      </c>
      <c r="DO19" s="12">
        <f>IF('Données projet'!$A$166&gt;35,DO18+DN19-DW18,IF(A19&lt;'Données projet'!$A$166,$DL$205^A19,IF(A19='Données projet'!$A$166,'Données projet'!$B$166,DO18+DN19-DW18)))</f>
        <v>44.615384615384613</v>
      </c>
      <c r="DP19" s="17">
        <f>DO19*VLOOKUP('Données projet'!$B$14,Paramètres!$A$1:$I$89,3,0)*VLOOKUP('Données projet'!$B$14,Paramètres!$A$1:$I$89,5,0)</f>
        <v>38.975999999999999</v>
      </c>
      <c r="DQ19" s="13">
        <f t="shared" si="43"/>
        <v>11.7268273073297</v>
      </c>
      <c r="DR19" s="20">
        <f t="shared" si="16"/>
        <v>88.307424226932554</v>
      </c>
      <c r="DS19" s="59">
        <f t="shared" si="17"/>
        <v>295.2494701490466</v>
      </c>
      <c r="DT19" s="59">
        <f ca="1">AVERAGE(OFFSET($DS$3,0,0,'Données projet'!$E$14+1,1))-AVERAGE(OFFSET($H$3,0,0,'Données projet'!$E$14+1,1))</f>
        <v>253.82888243490106</v>
      </c>
      <c r="DU19" s="59">
        <f t="shared" si="44"/>
        <v>224.11983819941796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9.9228571428571435</v>
      </c>
      <c r="N20" s="13">
        <f>IF('Données projet'!$A$36&gt;35,N19+M20-V19,IF(A20&lt;'Données projet'!$A$36,$K$205^A20,IF(A20='Données projet'!$A$36,'Données projet'!$B$36,N19+M20-V19)))</f>
        <v>168.68857142857141</v>
      </c>
      <c r="O20" s="13">
        <f>N20*VLOOKUP('Données projet'!$B$9,Paramètres!$A$1:$I$89,3,0)*VLOOKUP('Données projet'!$B$9,Paramètres!$A$1:$I$89,5,0)</f>
        <v>78.946251428571415</v>
      </c>
      <c r="P20" s="13">
        <f t="shared" si="33"/>
        <v>21.879338637143992</v>
      </c>
      <c r="Q20" s="20">
        <f t="shared" si="2"/>
        <v>175.60456936445431</v>
      </c>
      <c r="R20" s="59">
        <f t="shared" si="0"/>
        <v>384.97069368032703</v>
      </c>
      <c r="S20" s="59">
        <f ca="1">AVERAGE(OFFSET($R$3,0,0,'Données projet'!$E$9+1,1))-AVERAGE(OFFSET($H$3,0,0,'Données projet'!$E$9+1,1))</f>
        <v>387.50901594883317</v>
      </c>
      <c r="T20" s="59">
        <f t="shared" si="34"/>
        <v>361.3623790401972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5.8668181818181813</v>
      </c>
      <c r="AI20" s="13">
        <f>IF('Données projet'!$A$62&gt;35,AI19+AH20-AQ19,IF(A20&lt;'Données projet'!$A$62,$AF$205^A20,IF(A20='Données projet'!$A$62,'Données projet'!$B$62,AI19+AH20-AQ19)))</f>
        <v>42.765375042297542</v>
      </c>
      <c r="AJ20" s="13">
        <f>AI20*VLOOKUP('Données projet'!$B$10,Paramètres!$A$1:$I$89,3,0)*VLOOKUP('Données projet'!$B$10,Paramètres!$A$1:$I$89,5,0)</f>
        <v>25.573694275293931</v>
      </c>
      <c r="AK20" s="13">
        <f t="shared" si="35"/>
        <v>8.0812468716773616</v>
      </c>
      <c r="AL20" s="20">
        <f t="shared" si="4"/>
        <v>58.615689164308343</v>
      </c>
      <c r="AM20" s="59">
        <f t="shared" si="5"/>
        <v>267.98181348018107</v>
      </c>
      <c r="AN20" s="59">
        <f ca="1">AVERAGE(OFFSET($AM$3,0,0,'Données projet'!$E$10+1,1))-AVERAGE(OFFSET($H$3,0,0,'Données projet'!$E$10+1,1))</f>
        <v>373.47758082856359</v>
      </c>
      <c r="AO20" s="59">
        <f t="shared" si="36"/>
        <v>277.24895424120166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3.887142857142857</v>
      </c>
      <c r="BD20" s="12">
        <f>IF('Données projet'!$A$88&gt;35,BD19+BC20-BL19,IF(A20&lt;'Données projet'!$A$88,$BA$205^A20,IF(A20='Données projet'!$A$88,'Données projet'!$B$88,BD19+BC20-BL19)))</f>
        <v>66.081428571428546</v>
      </c>
      <c r="BE20" s="13">
        <f>BD20*VLOOKUP('Données projet'!$B$11,Paramètres!$A$1:$I$89,3,0)*VLOOKUP('Données projet'!$B$11,Paramètres!$A$1:$I$89,5,0)</f>
        <v>59.790476571428549</v>
      </c>
      <c r="BF20" s="13">
        <f t="shared" si="37"/>
        <v>17.115284135607041</v>
      </c>
      <c r="BG20" s="20">
        <f t="shared" si="7"/>
        <v>133.94419989808699</v>
      </c>
      <c r="BH20" s="59">
        <f t="shared" si="8"/>
        <v>343.31032421395969</v>
      </c>
      <c r="BI20" s="59">
        <f ca="1">AVERAGE(OFFSET($BH$3,0,0,'Données projet'!$E$11+1,1))-AVERAGE(OFFSET($H$3,0,0,'Données projet'!$E$11+1,1))</f>
        <v>627.65081154031589</v>
      </c>
      <c r="BJ20" s="59">
        <f t="shared" si="38"/>
        <v>288.78083487077618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3.887142857142857</v>
      </c>
      <c r="BY20" s="12">
        <f>IF('Données projet'!$A$114&gt;35,BY19+BX20-CG19,IF(A20&lt;'Données projet'!$A$114,$BV$205^A20,IF(A20='Données projet'!$A$114,'Données projet'!$B$114,BY19+BX20-CG19)))</f>
        <v>66.081428571428546</v>
      </c>
      <c r="BZ20" s="13">
        <f>BY20*VLOOKUP('Données projet'!$B$12,Paramètres!$A$1:$I$89,3,0)*VLOOKUP('Données projet'!$B$12,Paramètres!$A$1:$I$89,5,0)</f>
        <v>67.006568571428559</v>
      </c>
      <c r="CA20" s="13">
        <f t="shared" si="39"/>
        <v>18.928202790452044</v>
      </c>
      <c r="CB20" s="20">
        <f t="shared" si="10"/>
        <v>149.66972678860873</v>
      </c>
      <c r="CC20" s="59">
        <f t="shared" si="11"/>
        <v>359.03585110448148</v>
      </c>
      <c r="CD20" s="59">
        <f ca="1">AVERAGE(OFFSET($CC$3,0,0,'Données projet'!$E$12+1,1))-AVERAGE(OFFSET($H$3,0,0,'Données projet'!$E$12+1,1))</f>
        <v>692.2706942067415</v>
      </c>
      <c r="CE20" s="59">
        <f t="shared" si="40"/>
        <v>316.17529091924803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3.887142857142857</v>
      </c>
      <c r="CT20" s="12">
        <f>IF('Données projet'!$A$140&gt;35,CT19+CS20-DB19,IF(A20&lt;'Données projet'!$A$140,$CQ$205^A20,IF(A20='Données projet'!$A$140,'Données projet'!$B$140,CT19+CS20-DB19)))</f>
        <v>66.081428571428546</v>
      </c>
      <c r="CU20" s="17">
        <f>CT20*VLOOKUP('Données projet'!$B$13,Paramètres!$A$1:$I$89,3,0)*VLOOKUP('Données projet'!$B$13,Paramètres!$A$1:$I$89,5,0)</f>
        <v>75.253530857142835</v>
      </c>
      <c r="CV20" s="13">
        <f t="shared" si="41"/>
        <v>20.972548986375632</v>
      </c>
      <c r="CW20" s="20">
        <f t="shared" si="13"/>
        <v>167.59375572746134</v>
      </c>
      <c r="CX20" s="59">
        <f t="shared" si="14"/>
        <v>376.95988004333407</v>
      </c>
      <c r="CY20" s="59">
        <f ca="1">AVERAGE(OFFSET($CX$3,0,0,'Données projet'!$E$13+1,1))-AVERAGE(OFFSET($H$3,0,0,'Données projet'!$E$13+1,1))</f>
        <v>765.9523557587147</v>
      </c>
      <c r="CZ20" s="59">
        <f t="shared" si="42"/>
        <v>347.40395092312815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6.1538461538461533</v>
      </c>
      <c r="DO20" s="12">
        <f>IF('Données projet'!$A$166&gt;35,DO19+DN20-DW19,IF(A20&lt;'Données projet'!$A$166,$DL$205^A20,IF(A20='Données projet'!$A$166,'Données projet'!$B$166,DO19+DN20-DW19)))</f>
        <v>50.769230769230766</v>
      </c>
      <c r="DP20" s="17">
        <f>DO20*VLOOKUP('Données projet'!$B$14,Paramètres!$A$1:$I$89,3,0)*VLOOKUP('Données projet'!$B$14,Paramètres!$A$1:$I$89,5,0)</f>
        <v>44.352000000000004</v>
      </c>
      <c r="DQ20" s="13">
        <f t="shared" si="43"/>
        <v>13.145120632880293</v>
      </c>
      <c r="DR20" s="20">
        <f t="shared" si="16"/>
        <v>100.14081843559984</v>
      </c>
      <c r="DS20" s="59">
        <f t="shared" si="17"/>
        <v>309.50694275147259</v>
      </c>
      <c r="DT20" s="59">
        <f ca="1">AVERAGE(OFFSET($DS$3,0,0,'Données projet'!$E$14+1,1))-AVERAGE(OFFSET($H$3,0,0,'Données projet'!$E$14+1,1))</f>
        <v>253.82888243490106</v>
      </c>
      <c r="DU20" s="59">
        <f t="shared" si="44"/>
        <v>224.11983819941796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9.9228571428571435</v>
      </c>
      <c r="N21" s="13">
        <f>IF('Données projet'!$A$36&gt;35,N20+M21-V20,IF(A21&lt;'Données projet'!$A$36,$K$205^A21,IF(A21='Données projet'!$A$36,'Données projet'!$B$36,N20+M21-V20)))</f>
        <v>178.61142857142855</v>
      </c>
      <c r="O21" s="13">
        <f>N21*VLOOKUP('Données projet'!$B$9,Paramètres!$A$1:$I$89,3,0)*VLOOKUP('Données projet'!$B$9,Paramètres!$A$1:$I$89,5,0)</f>
        <v>83.590148571428557</v>
      </c>
      <c r="P21" s="13">
        <f t="shared" si="33"/>
        <v>23.012738829225075</v>
      </c>
      <c r="Q21" s="20">
        <f t="shared" si="2"/>
        <v>185.66669555613839</v>
      </c>
      <c r="R21" s="59">
        <f t="shared" si="0"/>
        <v>397.4360487481415</v>
      </c>
      <c r="S21" s="59">
        <f ca="1">AVERAGE(OFFSET($R$3,0,0,'Données projet'!$E$9+1,1))-AVERAGE(OFFSET($H$3,0,0,'Données projet'!$E$9+1,1))</f>
        <v>387.50901594883317</v>
      </c>
      <c r="T21" s="59">
        <f t="shared" si="34"/>
        <v>361.3623790401972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5.8668181818181813</v>
      </c>
      <c r="AI21" s="13">
        <f>IF('Données projet'!$A$62&gt;35,AI20+AH21-AQ20,IF(A21&lt;'Données projet'!$A$62,$AF$205^A21,IF(A21='Données projet'!$A$62,'Données projet'!$B$62,AI20+AH21-AQ20)))</f>
        <v>53.338265650608868</v>
      </c>
      <c r="AJ21" s="13">
        <f>AI21*VLOOKUP('Données projet'!$B$10,Paramètres!$A$1:$I$89,3,0)*VLOOKUP('Données projet'!$B$10,Paramètres!$A$1:$I$89,5,0)</f>
        <v>31.896282859064108</v>
      </c>
      <c r="AK21" s="13">
        <f t="shared" si="35"/>
        <v>9.8232861309767845</v>
      </c>
      <c r="AL21" s="20">
        <f t="shared" si="4"/>
        <v>72.661582657654549</v>
      </c>
      <c r="AM21" s="59">
        <f t="shared" si="5"/>
        <v>284.43093584965766</v>
      </c>
      <c r="AN21" s="59">
        <f ca="1">AVERAGE(OFFSET($AM$3,0,0,'Données projet'!$E$10+1,1))-AVERAGE(OFFSET($H$3,0,0,'Données projet'!$E$10+1,1))</f>
        <v>373.47758082856359</v>
      </c>
      <c r="AO21" s="59">
        <f t="shared" si="36"/>
        <v>277.24895424120166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3.887142857142857</v>
      </c>
      <c r="BD21" s="12">
        <f>IF('Données projet'!$A$88&gt;35,BD20+BC21-BL20,IF(A21&lt;'Données projet'!$A$88,$BA$205^A21,IF(A21='Données projet'!$A$88,'Données projet'!$B$88,BD20+BC21-BL20)))</f>
        <v>69.968571428571408</v>
      </c>
      <c r="BE21" s="13">
        <f>BD21*VLOOKUP('Données projet'!$B$11,Paramètres!$A$1:$I$89,3,0)*VLOOKUP('Données projet'!$B$11,Paramètres!$A$1:$I$89,5,0)</f>
        <v>63.307563428571406</v>
      </c>
      <c r="BF21" s="13">
        <f t="shared" si="37"/>
        <v>18.001895319269028</v>
      </c>
      <c r="BG21" s="20">
        <f t="shared" si="7"/>
        <v>141.61397398582207</v>
      </c>
      <c r="BH21" s="59">
        <f t="shared" si="8"/>
        <v>353.38332717782521</v>
      </c>
      <c r="BI21" s="59">
        <f ca="1">AVERAGE(OFFSET($BH$3,0,0,'Données projet'!$E$11+1,1))-AVERAGE(OFFSET($H$3,0,0,'Données projet'!$E$11+1,1))</f>
        <v>627.65081154031589</v>
      </c>
      <c r="BJ21" s="59">
        <f t="shared" si="38"/>
        <v>288.78083487077618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3.887142857142857</v>
      </c>
      <c r="BY21" s="12">
        <f>IF('Données projet'!$A$114&gt;35,BY20+BX21-CG20,IF(A21&lt;'Données projet'!$A$114,$BV$205^A21,IF(A21='Données projet'!$A$114,'Données projet'!$B$114,BY20+BX21-CG20)))</f>
        <v>69.968571428571408</v>
      </c>
      <c r="BZ21" s="13">
        <f>BY21*VLOOKUP('Données projet'!$B$12,Paramètres!$A$1:$I$89,3,0)*VLOOKUP('Données projet'!$B$12,Paramètres!$A$1:$I$89,5,0)</f>
        <v>70.948131428571415</v>
      </c>
      <c r="CA21" s="13">
        <f t="shared" si="39"/>
        <v>19.908727340770373</v>
      </c>
      <c r="CB21" s="20">
        <f t="shared" si="10"/>
        <v>158.24236235660359</v>
      </c>
      <c r="CC21" s="59">
        <f t="shared" si="11"/>
        <v>370.01171554860673</v>
      </c>
      <c r="CD21" s="59">
        <f ca="1">AVERAGE(OFFSET($CC$3,0,0,'Données projet'!$E$12+1,1))-AVERAGE(OFFSET($H$3,0,0,'Données projet'!$E$12+1,1))</f>
        <v>692.2706942067415</v>
      </c>
      <c r="CE21" s="59">
        <f t="shared" si="40"/>
        <v>316.17529091924803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3.887142857142857</v>
      </c>
      <c r="CT21" s="12">
        <f>IF('Données projet'!$A$140&gt;35,CT20+CS21-DB20,IF(A21&lt;'Données projet'!$A$140,$CQ$205^A21,IF(A21='Données projet'!$A$140,'Données projet'!$B$140,CT20+CS21-DB20)))</f>
        <v>69.968571428571408</v>
      </c>
      <c r="CU21" s="17">
        <f>CT21*VLOOKUP('Données projet'!$B$13,Paramètres!$A$1:$I$89,3,0)*VLOOKUP('Données projet'!$B$13,Paramètres!$A$1:$I$89,5,0)</f>
        <v>79.680209142857123</v>
      </c>
      <c r="CV21" s="13">
        <f t="shared" si="41"/>
        <v>22.058975383617572</v>
      </c>
      <c r="CW21" s="20">
        <f t="shared" si="13"/>
        <v>177.1957463836101</v>
      </c>
      <c r="CX21" s="59">
        <f t="shared" si="14"/>
        <v>388.96509957561318</v>
      </c>
      <c r="CY21" s="59">
        <f ca="1">AVERAGE(OFFSET($CX$3,0,0,'Données projet'!$E$13+1,1))-AVERAGE(OFFSET($H$3,0,0,'Données projet'!$E$13+1,1))</f>
        <v>765.9523557587147</v>
      </c>
      <c r="CZ21" s="59">
        <f t="shared" si="42"/>
        <v>347.40395092312815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6.1538461538461533</v>
      </c>
      <c r="DO21" s="12">
        <f>IF('Données projet'!$A$166&gt;35,DO20+DN21-DW20,IF(A21&lt;'Données projet'!$A$166,$DL$205^A21,IF(A21='Données projet'!$A$166,'Données projet'!$B$166,DO20+DN21-DW20)))</f>
        <v>56.92307692307692</v>
      </c>
      <c r="DP21" s="17">
        <f>DO21*VLOOKUP('Données projet'!$B$14,Paramètres!$A$1:$I$89,3,0)*VLOOKUP('Données projet'!$B$14,Paramètres!$A$1:$I$89,5,0)</f>
        <v>49.728000000000002</v>
      </c>
      <c r="DQ21" s="13">
        <f t="shared" si="43"/>
        <v>14.543492191982585</v>
      </c>
      <c r="DR21" s="20">
        <f t="shared" si="16"/>
        <v>111.939515567703</v>
      </c>
      <c r="DS21" s="59">
        <f t="shared" si="17"/>
        <v>323.70886875970609</v>
      </c>
      <c r="DT21" s="59">
        <f ca="1">AVERAGE(OFFSET($DS$3,0,0,'Données projet'!$E$14+1,1))-AVERAGE(OFFSET($H$3,0,0,'Données projet'!$E$14+1,1))</f>
        <v>253.82888243490106</v>
      </c>
      <c r="DU21" s="59">
        <f t="shared" si="44"/>
        <v>224.11983819941796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9.9228571428571435</v>
      </c>
      <c r="N22" s="13">
        <f>IF('Données projet'!$A$36&gt;35,N21+M22-V21,IF(A22&lt;'Données projet'!$A$36,$K$205^A22,IF(A22='Données projet'!$A$36,'Données projet'!$B$36,N21+M22-V21)))</f>
        <v>188.53428571428569</v>
      </c>
      <c r="O22" s="13">
        <f>N22*VLOOKUP('Données projet'!$B$9,Paramètres!$A$1:$I$89,3,0)*VLOOKUP('Données projet'!$B$9,Paramètres!$A$1:$I$89,5,0)</f>
        <v>88.234045714285699</v>
      </c>
      <c r="P22" s="13">
        <f t="shared" si="33"/>
        <v>24.138829378139974</v>
      </c>
      <c r="Q22" s="20">
        <f t="shared" si="2"/>
        <v>195.71609078597473</v>
      </c>
      <c r="R22" s="59">
        <f t="shared" si="0"/>
        <v>409.86818502899825</v>
      </c>
      <c r="S22" s="59">
        <f ca="1">AVERAGE(OFFSET($R$3,0,0,'Données projet'!$E$9+1,1))-AVERAGE(OFFSET($H$3,0,0,'Données projet'!$E$9+1,1))</f>
        <v>387.50901594883317</v>
      </c>
      <c r="T22" s="59">
        <f t="shared" si="34"/>
        <v>361.3623790401972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5.8668181818181813</v>
      </c>
      <c r="AI22" s="13">
        <f>IF('Données projet'!$A$62&gt;35,AI21+AH22-AQ21,IF(A22&lt;'Données projet'!$A$62,$AF$205^A22,IF(A22='Données projet'!$A$62,'Données projet'!$B$62,AI21+AH22-AQ21)))</f>
        <v>66.525093718950743</v>
      </c>
      <c r="AJ22" s="13">
        <f>AI22*VLOOKUP('Données projet'!$B$10,Paramètres!$A$1:$I$89,3,0)*VLOOKUP('Données projet'!$B$10,Paramètres!$A$1:$I$89,5,0)</f>
        <v>39.782006043932547</v>
      </c>
      <c r="AK22" s="13">
        <f t="shared" si="35"/>
        <v>11.940849220834615</v>
      </c>
      <c r="AL22" s="20">
        <f t="shared" si="4"/>
        <v>90.083972919469474</v>
      </c>
      <c r="AM22" s="59">
        <f t="shared" si="5"/>
        <v>304.23606716249299</v>
      </c>
      <c r="AN22" s="59">
        <f ca="1">AVERAGE(OFFSET($AM$3,0,0,'Données projet'!$E$10+1,1))-AVERAGE(OFFSET($H$3,0,0,'Données projet'!$E$10+1,1))</f>
        <v>373.47758082856359</v>
      </c>
      <c r="AO22" s="59">
        <f t="shared" si="36"/>
        <v>277.24895424120166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3.887142857142857</v>
      </c>
      <c r="BD22" s="12">
        <f>IF('Données projet'!$A$88&gt;35,BD21+BC22-BL21,IF(A22&lt;'Données projet'!$A$88,$BA$205^A22,IF(A22='Données projet'!$A$88,'Données projet'!$B$88,BD21+BC22-BL21)))</f>
        <v>73.855714285714271</v>
      </c>
      <c r="BE22" s="13">
        <f>BD22*VLOOKUP('Données projet'!$B$11,Paramètres!$A$1:$I$89,3,0)*VLOOKUP('Données projet'!$B$11,Paramètres!$A$1:$I$89,5,0)</f>
        <v>66.82465028571427</v>
      </c>
      <c r="BF22" s="13">
        <f t="shared" si="37"/>
        <v>18.882788477272459</v>
      </c>
      <c r="BG22" s="20">
        <f t="shared" si="7"/>
        <v>149.27378917886855</v>
      </c>
      <c r="BH22" s="59">
        <f t="shared" si="8"/>
        <v>363.42588342189208</v>
      </c>
      <c r="BI22" s="59">
        <f ca="1">AVERAGE(OFFSET($BH$3,0,0,'Données projet'!$E$11+1,1))-AVERAGE(OFFSET($H$3,0,0,'Données projet'!$E$11+1,1))</f>
        <v>627.65081154031589</v>
      </c>
      <c r="BJ22" s="59">
        <f t="shared" si="38"/>
        <v>288.78083487077618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3.887142857142857</v>
      </c>
      <c r="BY22" s="12">
        <f>IF('Données projet'!$A$114&gt;35,BY21+BX22-CG21,IF(A22&lt;'Données projet'!$A$114,$BV$205^A22,IF(A22='Données projet'!$A$114,'Données projet'!$B$114,BY21+BX22-CG21)))</f>
        <v>73.855714285714271</v>
      </c>
      <c r="BZ22" s="13">
        <f>BY22*VLOOKUP('Données projet'!$B$12,Paramètres!$A$1:$I$89,3,0)*VLOOKUP('Données projet'!$B$12,Paramètres!$A$1:$I$89,5,0)</f>
        <v>74.889694285714285</v>
      </c>
      <c r="CA22" s="13">
        <f t="shared" si="39"/>
        <v>20.882928189514811</v>
      </c>
      <c r="CB22" s="20">
        <f t="shared" si="10"/>
        <v>166.80398414435732</v>
      </c>
      <c r="CC22" s="59">
        <f t="shared" si="11"/>
        <v>380.95607838738084</v>
      </c>
      <c r="CD22" s="59">
        <f ca="1">AVERAGE(OFFSET($CC$3,0,0,'Données projet'!$E$12+1,1))-AVERAGE(OFFSET($H$3,0,0,'Données projet'!$E$12+1,1))</f>
        <v>692.2706942067415</v>
      </c>
      <c r="CE22" s="59">
        <f t="shared" si="40"/>
        <v>316.17529091924803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3.887142857142857</v>
      </c>
      <c r="CT22" s="12">
        <f>IF('Données projet'!$A$140&gt;35,CT21+CS22-DB21,IF(A22&lt;'Données projet'!$A$140,$CQ$205^A22,IF(A22='Données projet'!$A$140,'Données projet'!$B$140,CT21+CS22-DB21)))</f>
        <v>73.855714285714271</v>
      </c>
      <c r="CU22" s="17">
        <f>CT22*VLOOKUP('Données projet'!$B$13,Paramètres!$A$1:$I$89,3,0)*VLOOKUP('Données projet'!$B$13,Paramètres!$A$1:$I$89,5,0)</f>
        <v>84.106887428571412</v>
      </c>
      <c r="CV22" s="13">
        <f t="shared" si="41"/>
        <v>23.13839508600832</v>
      </c>
      <c r="CW22" s="20">
        <f t="shared" si="13"/>
        <v>186.78553371289306</v>
      </c>
      <c r="CX22" s="59">
        <f t="shared" si="14"/>
        <v>400.93762795591658</v>
      </c>
      <c r="CY22" s="59">
        <f ca="1">AVERAGE(OFFSET($CX$3,0,0,'Données projet'!$E$13+1,1))-AVERAGE(OFFSET($H$3,0,0,'Données projet'!$E$13+1,1))</f>
        <v>765.9523557587147</v>
      </c>
      <c r="CZ22" s="59">
        <f t="shared" si="42"/>
        <v>347.40395092312815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6.1538461538461533</v>
      </c>
      <c r="DO22" s="12">
        <f>IF('Données projet'!$A$166&gt;35,DO21+DN22-DW21,IF(A22&lt;'Données projet'!$A$166,$DL$205^A22,IF(A22='Données projet'!$A$166,'Données projet'!$B$166,DO21+DN22-DW21)))</f>
        <v>63.076923076923073</v>
      </c>
      <c r="DP22" s="17">
        <f>DO22*VLOOKUP('Données projet'!$B$14,Paramètres!$A$1:$I$89,3,0)*VLOOKUP('Données projet'!$B$14,Paramètres!$A$1:$I$89,5,0)</f>
        <v>55.104000000000006</v>
      </c>
      <c r="DQ22" s="13">
        <f t="shared" si="43"/>
        <v>15.924341205965586</v>
      </c>
      <c r="DR22" s="20">
        <f t="shared" si="16"/>
        <v>123.70769426705674</v>
      </c>
      <c r="DS22" s="59">
        <f t="shared" si="17"/>
        <v>337.85978851008025</v>
      </c>
      <c r="DT22" s="59">
        <f ca="1">AVERAGE(OFFSET($DS$3,0,0,'Données projet'!$E$14+1,1))-AVERAGE(OFFSET($H$3,0,0,'Données projet'!$E$14+1,1))</f>
        <v>253.82888243490106</v>
      </c>
      <c r="DU22" s="59">
        <f t="shared" si="44"/>
        <v>224.11983819941796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9.9228571428571435</v>
      </c>
      <c r="N23" s="13">
        <f>IF('Données projet'!$A$36&gt;35,N22+M23-V22,IF(A23&lt;'Données projet'!$A$36,$K$205^A23,IF(A23='Données projet'!$A$36,'Données projet'!$B$36,N22+M23-V22)))</f>
        <v>198.45714285714283</v>
      </c>
      <c r="O23" s="13">
        <f>N23*VLOOKUP('Données projet'!$B$9,Paramètres!$A$1:$I$89,3,0)*VLOOKUP('Données projet'!$B$9,Paramètres!$A$1:$I$89,5,0)</f>
        <v>92.877942857142855</v>
      </c>
      <c r="P23" s="13">
        <f t="shared" si="33"/>
        <v>25.258038876022667</v>
      </c>
      <c r="Q23" s="20">
        <f t="shared" si="2"/>
        <v>205.75350151859661</v>
      </c>
      <c r="R23" s="59">
        <f t="shared" si="0"/>
        <v>422.26820440549233</v>
      </c>
      <c r="S23" s="59">
        <f ca="1">AVERAGE(OFFSET($R$3,0,0,'Données projet'!$E$9+1,1))-AVERAGE(OFFSET($H$3,0,0,'Données projet'!$E$9+1,1))</f>
        <v>387.50901594883317</v>
      </c>
      <c r="T23" s="59">
        <f t="shared" si="34"/>
        <v>361.3623790401972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5.8668181818181813</v>
      </c>
      <c r="AI23" s="13">
        <f>IF('Données projet'!$A$62&gt;35,AI22+AH23-AQ22,IF(A23&lt;'Données projet'!$A$62,$AF$205^A23,IF(A23='Données projet'!$A$62,'Données projet'!$B$62,AI22+AH23-AQ22)))</f>
        <v>82.972103429550899</v>
      </c>
      <c r="AJ23" s="13">
        <f>AI23*VLOOKUP('Données projet'!$B$10,Paramètres!$A$1:$I$89,3,0)*VLOOKUP('Données projet'!$B$10,Paramètres!$A$1:$I$89,5,0)</f>
        <v>49.617317850871444</v>
      </c>
      <c r="AK23" s="13">
        <f t="shared" si="35"/>
        <v>14.514886181018609</v>
      </c>
      <c r="AL23" s="20">
        <f t="shared" si="4"/>
        <v>111.69692202220851</v>
      </c>
      <c r="AM23" s="59">
        <f t="shared" si="5"/>
        <v>328.21162490910422</v>
      </c>
      <c r="AN23" s="59">
        <f ca="1">AVERAGE(OFFSET($AM$3,0,0,'Données projet'!$E$10+1,1))-AVERAGE(OFFSET($H$3,0,0,'Données projet'!$E$10+1,1))</f>
        <v>373.47758082856359</v>
      </c>
      <c r="AO23" s="59">
        <f t="shared" si="36"/>
        <v>277.24895424120166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3.887142857142857</v>
      </c>
      <c r="BD23" s="12">
        <f>IF('Données projet'!$A$88&gt;35,BD22+BC23-BL22,IF(A23&lt;'Données projet'!$A$88,$BA$205^A23,IF(A23='Données projet'!$A$88,'Données projet'!$B$88,BD22+BC23-BL22)))</f>
        <v>77.742857142857133</v>
      </c>
      <c r="BE23" s="13">
        <f>BD23*VLOOKUP('Données projet'!$B$11,Paramètres!$A$1:$I$89,3,0)*VLOOKUP('Données projet'!$B$11,Paramètres!$A$1:$I$89,5,0)</f>
        <v>70.341737142857127</v>
      </c>
      <c r="BF23" s="13">
        <f t="shared" si="37"/>
        <v>19.758298879173367</v>
      </c>
      <c r="BG23" s="20">
        <f t="shared" si="7"/>
        <v>156.92422940503644</v>
      </c>
      <c r="BH23" s="59">
        <f t="shared" si="8"/>
        <v>373.43893229193213</v>
      </c>
      <c r="BI23" s="59">
        <f ca="1">AVERAGE(OFFSET($BH$3,0,0,'Données projet'!$E$11+1,1))-AVERAGE(OFFSET($H$3,0,0,'Données projet'!$E$11+1,1))</f>
        <v>627.65081154031589</v>
      </c>
      <c r="BJ23" s="59">
        <f t="shared" si="38"/>
        <v>288.78083487077618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3.887142857142857</v>
      </c>
      <c r="BY23" s="12">
        <f>IF('Données projet'!$A$114&gt;35,BY22+BX23-CG22,IF(A23&lt;'Données projet'!$A$114,$BV$205^A23,IF(A23='Données projet'!$A$114,'Données projet'!$B$114,BY22+BX23-CG22)))</f>
        <v>77.742857142857133</v>
      </c>
      <c r="BZ23" s="13">
        <f>BY23*VLOOKUP('Données projet'!$B$12,Paramètres!$A$1:$I$89,3,0)*VLOOKUP('Données projet'!$B$12,Paramètres!$A$1:$I$89,5,0)</f>
        <v>78.83125714285714</v>
      </c>
      <c r="CA23" s="13">
        <f t="shared" si="39"/>
        <v>21.851176119320101</v>
      </c>
      <c r="CB23" s="20">
        <f t="shared" si="10"/>
        <v>175.35523793162534</v>
      </c>
      <c r="CC23" s="59">
        <f t="shared" si="11"/>
        <v>391.86994081852106</v>
      </c>
      <c r="CD23" s="59">
        <f ca="1">AVERAGE(OFFSET($CC$3,0,0,'Données projet'!$E$12+1,1))-AVERAGE(OFFSET($H$3,0,0,'Données projet'!$E$12+1,1))</f>
        <v>692.2706942067415</v>
      </c>
      <c r="CE23" s="59">
        <f t="shared" si="40"/>
        <v>316.17529091924803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3.887142857142857</v>
      </c>
      <c r="CT23" s="12">
        <f>IF('Données projet'!$A$140&gt;35,CT22+CS23-DB22,IF(A23&lt;'Données projet'!$A$140,$CQ$205^A23,IF(A23='Données projet'!$A$140,'Données projet'!$B$140,CT22+CS23-DB22)))</f>
        <v>77.742857142857133</v>
      </c>
      <c r="CU23" s="17">
        <f>CT23*VLOOKUP('Données projet'!$B$13,Paramètres!$A$1:$I$89,3,0)*VLOOKUP('Données projet'!$B$13,Paramètres!$A$1:$I$89,5,0)</f>
        <v>88.5335657142857</v>
      </c>
      <c r="CV23" s="13">
        <f t="shared" si="41"/>
        <v>24.21121892267184</v>
      </c>
      <c r="CW23" s="20">
        <f t="shared" si="13"/>
        <v>196.36383324270105</v>
      </c>
      <c r="CX23" s="59">
        <f t="shared" si="14"/>
        <v>412.8785361295968</v>
      </c>
      <c r="CY23" s="59">
        <f ca="1">AVERAGE(OFFSET($CX$3,0,0,'Données projet'!$E$13+1,1))-AVERAGE(OFFSET($H$3,0,0,'Données projet'!$E$13+1,1))</f>
        <v>765.9523557587147</v>
      </c>
      <c r="CZ23" s="59">
        <f t="shared" si="42"/>
        <v>347.40395092312815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69.230769230769226</v>
      </c>
      <c r="DM23" s="12">
        <f>VLOOKUP(A23,'Données projet'!$A$165:$I$185,9,0)</f>
        <v>6.1538461538461533</v>
      </c>
      <c r="DN23" s="12">
        <f t="array" ref="DN23">INDEX(DM:DM,MIN(IF(ISNUMBER(DM23:DM219),ROW(DM23:DM219),"")))</f>
        <v>6.1538461538461533</v>
      </c>
      <c r="DO23" s="12">
        <f>IF('Données projet'!$A$166&gt;35,DO22+DN23-DW22,IF(A23&lt;'Données projet'!$A$166,$DL$205^A23,IF(A23='Données projet'!$A$166,'Données projet'!$B$166,DO22+DN23-DW22)))</f>
        <v>69.230769230769226</v>
      </c>
      <c r="DP23" s="17">
        <f>DO23*VLOOKUP('Données projet'!$B$14,Paramètres!$A$1:$I$89,3,0)*VLOOKUP('Données projet'!$B$14,Paramètres!$A$1:$I$89,5,0)</f>
        <v>60.480000000000011</v>
      </c>
      <c r="DQ23" s="13">
        <f t="shared" si="43"/>
        <v>17.289571735224513</v>
      </c>
      <c r="DR23" s="20">
        <f t="shared" si="16"/>
        <v>135.44867077218274</v>
      </c>
      <c r="DS23" s="59">
        <f t="shared" si="17"/>
        <v>351.96337365907846</v>
      </c>
      <c r="DT23" s="59">
        <f ca="1">AVERAGE(OFFSET($DS$3,0,0,'Données projet'!$E$14+1,1))-AVERAGE(OFFSET($H$3,0,0,'Données projet'!$E$14+1,1))</f>
        <v>253.82888243490106</v>
      </c>
      <c r="DU23" s="59">
        <f t="shared" si="44"/>
        <v>224.11983819941796</v>
      </c>
      <c r="DV23" s="15">
        <f>IF(ISNA(VLOOKUP(A23,'Données projet'!$A$165:$I$185,3,0)),0,VLOOKUP(A23,'Données projet'!$A$165:$I$185,3,0))</f>
        <v>3</v>
      </c>
      <c r="DW23" s="15">
        <f>IF(ISNA(VLOOKUP(A23,'Données projet'!$A$165:$I$185,4,0)),0,VLOOKUP(A23,'Données projet'!$A$165:$I$185,4,0))</f>
        <v>26.282051282051281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0.215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5.435557520074414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5.435557520074414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9.9228571428571435</v>
      </c>
      <c r="N24" s="13">
        <f>IF('Données projet'!$A$36&gt;35,N23+M24-V23,IF(A24&lt;'Données projet'!$A$36,$K$205^A24,IF(A24='Données projet'!$A$36,'Données projet'!$B$36,N23+M24-V23)))</f>
        <v>208.37999999999997</v>
      </c>
      <c r="O24" s="13">
        <f>N24*VLOOKUP('Données projet'!$B$9,Paramètres!$A$1:$I$89,3,0)*VLOOKUP('Données projet'!$B$9,Paramètres!$A$1:$I$89,5,0)</f>
        <v>97.521839999999983</v>
      </c>
      <c r="P24" s="13">
        <f t="shared" si="33"/>
        <v>26.370750634698393</v>
      </c>
      <c r="Q24" s="20">
        <f t="shared" si="2"/>
        <v>215.779595355433</v>
      </c>
      <c r="R24" s="59">
        <f t="shared" si="0"/>
        <v>434.63712373130738</v>
      </c>
      <c r="S24" s="59">
        <f ca="1">AVERAGE(OFFSET($R$3,0,0,'Données projet'!$E$9+1,1))-AVERAGE(OFFSET($H$3,0,0,'Données projet'!$E$9+1,1))</f>
        <v>387.50901594883317</v>
      </c>
      <c r="T24" s="59">
        <f t="shared" si="34"/>
        <v>361.3623790401972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5.8668181818181813</v>
      </c>
      <c r="AI24" s="13">
        <f>IF('Données projet'!$A$62&gt;35,AI23+AH24-AQ23,IF(A24&lt;'Données projet'!$A$62,$AF$205^A24,IF(A24='Données projet'!$A$62,'Données projet'!$B$62,AI23+AH24-AQ23)))</f>
        <v>103.48531001863087</v>
      </c>
      <c r="AJ24" s="13">
        <f>AI24*VLOOKUP('Données projet'!$B$10,Paramètres!$A$1:$I$89,3,0)*VLOOKUP('Données projet'!$B$10,Paramètres!$A$1:$I$89,5,0)</f>
        <v>61.884215391141261</v>
      </c>
      <c r="AK24" s="13">
        <f t="shared" si="35"/>
        <v>17.643797099482939</v>
      </c>
      <c r="AL24" s="20">
        <f t="shared" si="4"/>
        <v>138.51128842117049</v>
      </c>
      <c r="AM24" s="59">
        <f t="shared" si="5"/>
        <v>357.36881679704487</v>
      </c>
      <c r="AN24" s="59">
        <f ca="1">AVERAGE(OFFSET($AM$3,0,0,'Données projet'!$E$10+1,1))-AVERAGE(OFFSET($H$3,0,0,'Données projet'!$E$10+1,1))</f>
        <v>373.47758082856359</v>
      </c>
      <c r="AO24" s="59">
        <f t="shared" si="36"/>
        <v>277.24895424120166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3.887142857142857</v>
      </c>
      <c r="BD24" s="12">
        <f>IF('Données projet'!$A$88&gt;35,BD23+BC24-BL23,IF(A24&lt;'Données projet'!$A$88,$BA$205^A24,IF(A24='Données projet'!$A$88,'Données projet'!$B$88,BD23+BC24-BL23)))</f>
        <v>81.63</v>
      </c>
      <c r="BE24" s="13">
        <f>BD24*VLOOKUP('Données projet'!$B$11,Paramètres!$A$1:$I$89,3,0)*VLOOKUP('Données projet'!$B$11,Paramètres!$A$1:$I$89,5,0)</f>
        <v>73.858823999999984</v>
      </c>
      <c r="BF24" s="13">
        <f t="shared" si="37"/>
        <v>20.628726373651425</v>
      </c>
      <c r="BG24" s="20">
        <f t="shared" si="7"/>
        <v>164.56581690077618</v>
      </c>
      <c r="BH24" s="59">
        <f t="shared" si="8"/>
        <v>383.42334527665059</v>
      </c>
      <c r="BI24" s="59">
        <f ca="1">AVERAGE(OFFSET($BH$3,0,0,'Données projet'!$E$11+1,1))-AVERAGE(OFFSET($H$3,0,0,'Données projet'!$E$11+1,1))</f>
        <v>627.65081154031589</v>
      </c>
      <c r="BJ24" s="59">
        <f t="shared" si="38"/>
        <v>288.78083487077618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3.887142857142857</v>
      </c>
      <c r="BY24" s="12">
        <f>IF('Données projet'!$A$114&gt;35,BY23+BX24-CG23,IF(A24&lt;'Données projet'!$A$114,$BV$205^A24,IF(A24='Données projet'!$A$114,'Données projet'!$B$114,BY23+BX24-CG23)))</f>
        <v>81.63</v>
      </c>
      <c r="BZ24" s="13">
        <f>BY24*VLOOKUP('Données projet'!$B$12,Paramètres!$A$1:$I$89,3,0)*VLOOKUP('Données projet'!$B$12,Paramètres!$A$1:$I$89,5,0)</f>
        <v>82.772819999999996</v>
      </c>
      <c r="CA24" s="13">
        <f t="shared" si="39"/>
        <v>22.813802740025121</v>
      </c>
      <c r="CB24" s="20">
        <f t="shared" si="10"/>
        <v>183.89670127221041</v>
      </c>
      <c r="CC24" s="59">
        <f t="shared" si="11"/>
        <v>402.75422964808479</v>
      </c>
      <c r="CD24" s="59">
        <f ca="1">AVERAGE(OFFSET($CC$3,0,0,'Données projet'!$E$12+1,1))-AVERAGE(OFFSET($H$3,0,0,'Données projet'!$E$12+1,1))</f>
        <v>692.2706942067415</v>
      </c>
      <c r="CE24" s="59">
        <f t="shared" si="40"/>
        <v>316.17529091924803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3.887142857142857</v>
      </c>
      <c r="CT24" s="12">
        <f>IF('Données projet'!$A$140&gt;35,CT23+CS24-DB23,IF(A24&lt;'Données projet'!$A$140,$CQ$205^A24,IF(A24='Données projet'!$A$140,'Données projet'!$B$140,CT23+CS24-DB23)))</f>
        <v>81.63</v>
      </c>
      <c r="CU24" s="17">
        <f>CT24*VLOOKUP('Données projet'!$B$13,Paramètres!$A$1:$I$89,3,0)*VLOOKUP('Données projet'!$B$13,Paramètres!$A$1:$I$89,5,0)</f>
        <v>92.960243999999989</v>
      </c>
      <c r="CV24" s="13">
        <f t="shared" si="41"/>
        <v>25.277814319066749</v>
      </c>
      <c r="CW24" s="20">
        <f t="shared" si="13"/>
        <v>205.93128490570788</v>
      </c>
      <c r="CX24" s="59">
        <f t="shared" si="14"/>
        <v>424.78881328158229</v>
      </c>
      <c r="CY24" s="59">
        <f ca="1">AVERAGE(OFFSET($CX$3,0,0,'Données projet'!$E$13+1,1))-AVERAGE(OFFSET($H$3,0,0,'Données projet'!$E$13+1,1))</f>
        <v>765.9523557587147</v>
      </c>
      <c r="CZ24" s="59">
        <f t="shared" si="42"/>
        <v>347.40395092312815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5.8974358974358978</v>
      </c>
      <c r="DO24" s="12">
        <f>IF('Données projet'!$A$166&gt;35,DO23+DN24-DW23,IF(A24&lt;'Données projet'!$A$166,$DL$205^A24,IF(A24='Données projet'!$A$166,'Données projet'!$B$166,DO23+DN24-DW23)))</f>
        <v>48.84615384615384</v>
      </c>
      <c r="DP24" s="17">
        <f>DO24*VLOOKUP('Données projet'!$B$14,Paramètres!$A$1:$I$89,3,0)*VLOOKUP('Données projet'!$B$14,Paramètres!$A$1:$I$89,5,0)</f>
        <v>42.671999999999997</v>
      </c>
      <c r="DQ24" s="13">
        <f t="shared" si="43"/>
        <v>12.704173557197887</v>
      </c>
      <c r="DR24" s="20">
        <f t="shared" si="16"/>
        <v>96.446835612119642</v>
      </c>
      <c r="DS24" s="59">
        <f t="shared" si="17"/>
        <v>315.30436398799401</v>
      </c>
      <c r="DT24" s="59">
        <f ca="1">AVERAGE(OFFSET($DS$3,0,0,'Données projet'!$E$14+1,1))-AVERAGE(OFFSET($H$3,0,0,'Données projet'!$E$14+1,1))</f>
        <v>253.82888243490106</v>
      </c>
      <c r="DU24" s="59">
        <f t="shared" si="44"/>
        <v>224.11983819941796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5.2869219138444326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5.2869219138444326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9.9228571428571435</v>
      </c>
      <c r="N25" s="13">
        <f>IF('Données projet'!$A$36&gt;35,N24+M25-V24,IF(A25&lt;'Données projet'!$A$36,$K$205^A25,IF(A25='Données projet'!$A$36,'Données projet'!$B$36,N24+M25-V24)))</f>
        <v>218.30285714285711</v>
      </c>
      <c r="O25" s="13">
        <f>N25*VLOOKUP('Données projet'!$B$9,Paramètres!$A$1:$I$89,3,0)*VLOOKUP('Données projet'!$B$9,Paramètres!$A$1:$I$89,5,0)</f>
        <v>102.16573714285713</v>
      </c>
      <c r="P25" s="13">
        <f t="shared" si="33"/>
        <v>27.477309397316059</v>
      </c>
      <c r="Q25" s="20">
        <f t="shared" si="2"/>
        <v>225.79497272413494</v>
      </c>
      <c r="R25" s="59">
        <f t="shared" si="0"/>
        <v>446.97588662760336</v>
      </c>
      <c r="S25" s="59">
        <f ca="1">AVERAGE(OFFSET($R$3,0,0,'Données projet'!$E$9+1,1))-AVERAGE(OFFSET($H$3,0,0,'Données projet'!$E$9+1,1))</f>
        <v>387.50901594883317</v>
      </c>
      <c r="T25" s="59">
        <f t="shared" si="34"/>
        <v>361.3623790401972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>
        <f>VLOOKUP(A25,'Données projet'!$A$61:$I$81,2,0)</f>
        <v>129.07</v>
      </c>
      <c r="AG25" s="12">
        <f>VLOOKUP(A25,'Données projet'!$A$61:$I$81,9,0)</f>
        <v>5.8668181818181813</v>
      </c>
      <c r="AH25" s="12">
        <f t="array" ref="AH25">INDEX(AG:AG,MIN(IF(ISNUMBER(AG25:AG221),ROW(AG25:AG221),"")))</f>
        <v>5.8668181818181813</v>
      </c>
      <c r="AI25" s="13">
        <f>IF('Données projet'!$A$62&gt;35,AI24+AH25-AQ24,IF(A25&lt;'Données projet'!$A$62,$AF$205^A25,IF(A25='Données projet'!$A$62,'Données projet'!$B$62,AI24+AH25-AQ24)))</f>
        <v>129.07</v>
      </c>
      <c r="AJ25" s="13">
        <f>AI25*VLOOKUP('Données projet'!$B$10,Paramètres!$A$1:$I$89,3,0)*VLOOKUP('Données projet'!$B$10,Paramètres!$A$1:$I$89,5,0)</f>
        <v>77.183859999999996</v>
      </c>
      <c r="AK25" s="13">
        <f t="shared" si="35"/>
        <v>21.447193743401183</v>
      </c>
      <c r="AL25" s="20">
        <f t="shared" si="4"/>
        <v>171.78241860309038</v>
      </c>
      <c r="AM25" s="59">
        <f t="shared" si="5"/>
        <v>392.9633325065588</v>
      </c>
      <c r="AN25" s="59">
        <f ca="1">AVERAGE(OFFSET($AM$3,0,0,'Données projet'!$E$10+1,1))-AVERAGE(OFFSET($H$3,0,0,'Données projet'!$E$10+1,1))</f>
        <v>373.47758082856359</v>
      </c>
      <c r="AO25" s="59">
        <f t="shared" si="36"/>
        <v>277.24895424120166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52.41</v>
      </c>
      <c r="AR25" s="16">
        <f>IF(ISNA(VLOOKUP(A25,'Données projet'!$A$61:$I$81,5,0)),0%,VLOOKUP(A25,'Données projet'!$A$61:$I$81,5,0)*VLOOKUP('Données projet'!$B$10,Paramètres!$A$1:$I$89,7,0))</f>
        <v>4.5000000000000005E-2</v>
      </c>
      <c r="AS25" s="16">
        <f>IF(ISNA(VLOOKUP(A25,'Données projet'!$A$61:$I$81,6,0)),0%,VLOOKUP(A25,'Données projet'!$A$61:$I$81,6,0)*VLOOKUP('Données projet'!$B$10,Paramètres!$A$1:$I$89,7,0))</f>
        <v>0.36000000000000004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1.8709242920789675</v>
      </c>
      <c r="AV25" s="21">
        <f>EXP(-LN(2)/25)*AV24+(1-EXP(-LN(2)/25))/(LN(2)/25)*Calculateur!AQ25*Calculateur!AS25*VLOOKUP('Données projet'!$B$10,Paramètres!$A$1:$I$89,3,0)*0.475*44/12</f>
        <v>14.908462002104068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16.779386294183034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3.887142857142857</v>
      </c>
      <c r="BD25" s="12">
        <f>IF('Données projet'!$A$88&gt;35,BD24+BC25-BL24,IF(A25&lt;'Données projet'!$A$88,$BA$205^A25,IF(A25='Données projet'!$A$88,'Données projet'!$B$88,BD24+BC25-BL24)))</f>
        <v>85.517142857142858</v>
      </c>
      <c r="BE25" s="13">
        <f>BD25*VLOOKUP('Données projet'!$B$11,Paramètres!$A$1:$I$89,3,0)*VLOOKUP('Données projet'!$B$11,Paramètres!$A$1:$I$89,5,0)</f>
        <v>77.375910857142856</v>
      </c>
      <c r="BF25" s="13">
        <f t="shared" si="37"/>
        <v>21.49434063873689</v>
      </c>
      <c r="BG25" s="20">
        <f t="shared" si="7"/>
        <v>172.19902135532388</v>
      </c>
      <c r="BH25" s="59">
        <f t="shared" si="8"/>
        <v>393.37993525879227</v>
      </c>
      <c r="BI25" s="59">
        <f ca="1">AVERAGE(OFFSET($BH$3,0,0,'Données projet'!$E$11+1,1))-AVERAGE(OFFSET($H$3,0,0,'Données projet'!$E$11+1,1))</f>
        <v>627.65081154031589</v>
      </c>
      <c r="BJ25" s="59">
        <f t="shared" si="38"/>
        <v>288.78083487077618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3.887142857142857</v>
      </c>
      <c r="BY25" s="12">
        <f>IF('Données projet'!$A$114&gt;35,BY24+BX25-CG24,IF(A25&lt;'Données projet'!$A$114,$BV$205^A25,IF(A25='Données projet'!$A$114,'Données projet'!$B$114,BY24+BX25-CG24)))</f>
        <v>85.517142857142858</v>
      </c>
      <c r="BZ25" s="13">
        <f>BY25*VLOOKUP('Données projet'!$B$12,Paramètres!$A$1:$I$89,3,0)*VLOOKUP('Données projet'!$B$12,Paramètres!$A$1:$I$89,5,0)</f>
        <v>86.714382857142866</v>
      </c>
      <c r="CA25" s="13">
        <f t="shared" si="39"/>
        <v>23.771106295024762</v>
      </c>
      <c r="CB25" s="20">
        <f t="shared" si="10"/>
        <v>192.42889360669196</v>
      </c>
      <c r="CC25" s="59">
        <f t="shared" si="11"/>
        <v>413.60980751016035</v>
      </c>
      <c r="CD25" s="59">
        <f ca="1">AVERAGE(OFFSET($CC$3,0,0,'Données projet'!$E$12+1,1))-AVERAGE(OFFSET($H$3,0,0,'Données projet'!$E$12+1,1))</f>
        <v>692.2706942067415</v>
      </c>
      <c r="CE25" s="59">
        <f t="shared" si="40"/>
        <v>316.17529091924803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3.887142857142857</v>
      </c>
      <c r="CT25" s="12">
        <f>IF('Données projet'!$A$140&gt;35,CT24+CS25-DB24,IF(A25&lt;'Données projet'!$A$140,$CQ$205^A25,IF(A25='Données projet'!$A$140,'Données projet'!$B$140,CT24+CS25-DB24)))</f>
        <v>85.517142857142858</v>
      </c>
      <c r="CU25" s="17">
        <f>CT25*VLOOKUP('Données projet'!$B$13,Paramètres!$A$1:$I$89,3,0)*VLOOKUP('Données projet'!$B$13,Paramètres!$A$1:$I$89,5,0)</f>
        <v>97.386922285714292</v>
      </c>
      <c r="CV25" s="13">
        <f t="shared" si="41"/>
        <v>26.338511730454851</v>
      </c>
      <c r="CW25" s="20">
        <f t="shared" si="13"/>
        <v>215.48846424482792</v>
      </c>
      <c r="CX25" s="59">
        <f t="shared" si="14"/>
        <v>436.66937814829635</v>
      </c>
      <c r="CY25" s="59">
        <f ca="1">AVERAGE(OFFSET($CX$3,0,0,'Données projet'!$E$13+1,1))-AVERAGE(OFFSET($H$3,0,0,'Données projet'!$E$13+1,1))</f>
        <v>765.9523557587147</v>
      </c>
      <c r="CZ25" s="59">
        <f t="shared" si="42"/>
        <v>347.40395092312815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5.8974358974358978</v>
      </c>
      <c r="DO25" s="12">
        <f>IF('Données projet'!$A$166&gt;35,DO24+DN25-DW24,IF(A25&lt;'Données projet'!$A$166,$DL$205^A25,IF(A25='Données projet'!$A$166,'Données projet'!$B$166,DO24+DN25-DW24)))</f>
        <v>54.743589743589737</v>
      </c>
      <c r="DP25" s="17">
        <f>DO25*VLOOKUP('Données projet'!$B$14,Paramètres!$A$1:$I$89,3,0)*VLOOKUP('Données projet'!$B$14,Paramètres!$A$1:$I$89,5,0)</f>
        <v>47.824000000000005</v>
      </c>
      <c r="DQ25" s="13">
        <f t="shared" si="43"/>
        <v>14.050351204888287</v>
      </c>
      <c r="DR25" s="20">
        <f t="shared" si="16"/>
        <v>107.76449501518044</v>
      </c>
      <c r="DS25" s="59">
        <f t="shared" si="17"/>
        <v>328.94540891864881</v>
      </c>
      <c r="DT25" s="59">
        <f ca="1">AVERAGE(OFFSET($DS$3,0,0,'Données projet'!$E$14+1,1))-AVERAGE(OFFSET($H$3,0,0,'Données projet'!$E$14+1,1))</f>
        <v>253.82888243490106</v>
      </c>
      <c r="DU25" s="59">
        <f t="shared" si="44"/>
        <v>224.11983819941796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5.1423507560832169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5.1423507560832169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9.9228571428571435</v>
      </c>
      <c r="N26" s="13">
        <f>IF('Données projet'!$A$36&gt;35,N25+M26-V25,IF(A26&lt;'Données projet'!$A$36,$K$205^A26,IF(A26='Données projet'!$A$36,'Données projet'!$B$36,N25+M26-V25)))</f>
        <v>228.22571428571425</v>
      </c>
      <c r="O26" s="13">
        <f>N26*VLOOKUP('Données projet'!$B$9,Paramètres!$A$1:$I$89,3,0)*VLOOKUP('Données projet'!$B$9,Paramètres!$A$1:$I$89,5,0)</f>
        <v>106.80963428571427</v>
      </c>
      <c r="P26" s="13">
        <f t="shared" si="33"/>
        <v>28.578026795188716</v>
      </c>
      <c r="Q26" s="20">
        <f t="shared" si="2"/>
        <v>235.80017638257266</v>
      </c>
      <c r="R26" s="59">
        <f t="shared" si="0"/>
        <v>459.28537309211913</v>
      </c>
      <c r="S26" s="59">
        <f ca="1">AVERAGE(OFFSET($R$3,0,0,'Données projet'!$E$9+1,1))-AVERAGE(OFFSET($H$3,0,0,'Données projet'!$E$9+1,1))</f>
        <v>387.50901594883317</v>
      </c>
      <c r="T26" s="59">
        <f t="shared" si="34"/>
        <v>361.3623790401972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15.766000000000002</v>
      </c>
      <c r="AI26" s="13">
        <f>IF('Données projet'!$A$62&gt;35,AI25+AH26-AQ25,IF(A26&lt;'Données projet'!$A$62,$AF$205^A26,IF(A26='Données projet'!$A$62,'Données projet'!$B$62,AI25+AH26-AQ25)))</f>
        <v>92.425999999999988</v>
      </c>
      <c r="AJ26" s="13">
        <f>AI26*VLOOKUP('Données projet'!$B$10,Paramètres!$A$1:$I$89,3,0)*VLOOKUP('Données projet'!$B$10,Paramètres!$A$1:$I$89,5,0)</f>
        <v>55.27074799999999</v>
      </c>
      <c r="AK26" s="13">
        <f t="shared" si="35"/>
        <v>15.966912640281619</v>
      </c>
      <c r="AL26" s="20">
        <f t="shared" si="4"/>
        <v>124.07225894849046</v>
      </c>
      <c r="AM26" s="59">
        <f t="shared" si="5"/>
        <v>347.55745565803693</v>
      </c>
      <c r="AN26" s="59">
        <f ca="1">AVERAGE(OFFSET($AM$3,0,0,'Données projet'!$E$10+1,1))-AVERAGE(OFFSET($H$3,0,0,'Données projet'!$E$10+1,1))</f>
        <v>373.47758082856359</v>
      </c>
      <c r="AO26" s="59">
        <f t="shared" si="36"/>
        <v>277.24895424120166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1.8342366078624377</v>
      </c>
      <c r="AV26" s="21">
        <f>EXP(-LN(2)/25)*AV25+(1-EXP(-LN(2)/25))/(LN(2)/25)*Calculateur!AQ26*Calculateur!AS26*VLOOKUP('Données projet'!$B$10,Paramètres!$A$1:$I$89,3,0)*0.475*44/12</f>
        <v>14.500789324654589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16.335025932517027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3.887142857142857</v>
      </c>
      <c r="BD26" s="12">
        <f>IF('Données projet'!$A$88&gt;35,BD25+BC26-BL25,IF(A26&lt;'Données projet'!$A$88,$BA$205^A26,IF(A26='Données projet'!$A$88,'Données projet'!$B$88,BD25+BC26-BL25)))</f>
        <v>89.40428571428572</v>
      </c>
      <c r="BE26" s="13">
        <f>BD26*VLOOKUP('Données projet'!$B$11,Paramètres!$A$1:$I$89,3,0)*VLOOKUP('Données projet'!$B$11,Paramètres!$A$1:$I$89,5,0)</f>
        <v>80.892997714285713</v>
      </c>
      <c r="BF26" s="13">
        <f t="shared" si="37"/>
        <v>22.355385450466887</v>
      </c>
      <c r="BG26" s="20">
        <f t="shared" si="7"/>
        <v>179.82426734527743</v>
      </c>
      <c r="BH26" s="59">
        <f t="shared" si="8"/>
        <v>403.30946405482393</v>
      </c>
      <c r="BI26" s="59">
        <f ca="1">AVERAGE(OFFSET($BH$3,0,0,'Données projet'!$E$11+1,1))-AVERAGE(OFFSET($H$3,0,0,'Données projet'!$E$11+1,1))</f>
        <v>627.65081154031589</v>
      </c>
      <c r="BJ26" s="59">
        <f t="shared" si="38"/>
        <v>288.78083487077618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3.887142857142857</v>
      </c>
      <c r="BY26" s="12">
        <f>IF('Données projet'!$A$114&gt;35,BY25+BX26-CG25,IF(A26&lt;'Données projet'!$A$114,$BV$205^A26,IF(A26='Données projet'!$A$114,'Données projet'!$B$114,BY25+BX26-CG25)))</f>
        <v>89.40428571428572</v>
      </c>
      <c r="BZ26" s="13">
        <f>BY26*VLOOKUP('Données projet'!$B$12,Paramètres!$A$1:$I$89,3,0)*VLOOKUP('Données projet'!$B$12,Paramètres!$A$1:$I$89,5,0)</f>
        <v>90.655945714285721</v>
      </c>
      <c r="CA26" s="13">
        <f t="shared" si="39"/>
        <v>24.723356382079128</v>
      </c>
      <c r="CB26" s="20">
        <f t="shared" si="10"/>
        <v>200.95228448450212</v>
      </c>
      <c r="CC26" s="59">
        <f t="shared" si="11"/>
        <v>424.43748119404859</v>
      </c>
      <c r="CD26" s="59">
        <f ca="1">AVERAGE(OFFSET($CC$3,0,0,'Données projet'!$E$12+1,1))-AVERAGE(OFFSET($H$3,0,0,'Données projet'!$E$12+1,1))</f>
        <v>692.2706942067415</v>
      </c>
      <c r="CE26" s="59">
        <f t="shared" si="40"/>
        <v>316.17529091924803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3.887142857142857</v>
      </c>
      <c r="CT26" s="12">
        <f>IF('Données projet'!$A$140&gt;35,CT25+CS26-DB25,IF(A26&lt;'Données projet'!$A$140,$CQ$205^A26,IF(A26='Données projet'!$A$140,'Données projet'!$B$140,CT25+CS26-DB25)))</f>
        <v>89.40428571428572</v>
      </c>
      <c r="CU26" s="17">
        <f>CT26*VLOOKUP('Données projet'!$B$13,Paramètres!$A$1:$I$89,3,0)*VLOOKUP('Données projet'!$B$13,Paramètres!$A$1:$I$89,5,0)</f>
        <v>101.81360057142858</v>
      </c>
      <c r="CV26" s="13">
        <f t="shared" si="41"/>
        <v>27.393609872582861</v>
      </c>
      <c r="CW26" s="20">
        <f t="shared" si="13"/>
        <v>225.03589152331995</v>
      </c>
      <c r="CX26" s="59">
        <f t="shared" si="14"/>
        <v>448.52108823286642</v>
      </c>
      <c r="CY26" s="59">
        <f ca="1">AVERAGE(OFFSET($CX$3,0,0,'Données projet'!$E$13+1,1))-AVERAGE(OFFSET($H$3,0,0,'Données projet'!$E$13+1,1))</f>
        <v>765.9523557587147</v>
      </c>
      <c r="CZ26" s="59">
        <f t="shared" si="42"/>
        <v>347.40395092312815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5.8974358974358978</v>
      </c>
      <c r="DO26" s="12">
        <f>IF('Données projet'!$A$166&gt;35,DO25+DN26-DW25,IF(A26&lt;'Données projet'!$A$166,$DL$205^A26,IF(A26='Données projet'!$A$166,'Données projet'!$B$166,DO25+DN26-DW25)))</f>
        <v>60.641025641025635</v>
      </c>
      <c r="DP26" s="17">
        <f>DO26*VLOOKUP('Données projet'!$B$14,Paramètres!$A$1:$I$89,3,0)*VLOOKUP('Données projet'!$B$14,Paramètres!$A$1:$I$89,5,0)</f>
        <v>52.975999999999999</v>
      </c>
      <c r="DQ26" s="13">
        <f t="shared" si="43"/>
        <v>15.379719461541606</v>
      </c>
      <c r="DR26" s="20">
        <f t="shared" si="16"/>
        <v>119.05287806218496</v>
      </c>
      <c r="DS26" s="59">
        <f t="shared" si="17"/>
        <v>342.53807477173143</v>
      </c>
      <c r="DT26" s="59">
        <f ca="1">AVERAGE(OFFSET($DS$3,0,0,'Données projet'!$E$14+1,1))-AVERAGE(OFFSET($H$3,0,0,'Données projet'!$E$14+1,1))</f>
        <v>253.82888243490106</v>
      </c>
      <c r="DU26" s="59">
        <f t="shared" si="44"/>
        <v>224.11983819941796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5.0017329042336485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5.0017329042336485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9.9228571428571435</v>
      </c>
      <c r="N27" s="13">
        <f>IF('Données projet'!$A$36&gt;35,N26+M27-V26,IF(A27&lt;'Données projet'!$A$36,$K$205^A27,IF(A27='Données projet'!$A$36,'Données projet'!$B$36,N26+M27-V26)))</f>
        <v>238.14857142857139</v>
      </c>
      <c r="O27" s="13">
        <f>N27*VLOOKUP('Données projet'!$B$9,Paramètres!$A$1:$I$89,3,0)*VLOOKUP('Données projet'!$B$9,Paramètres!$A$1:$I$89,5,0)</f>
        <v>111.45353142857141</v>
      </c>
      <c r="P27" s="13">
        <f t="shared" si="33"/>
        <v>29.673185828840097</v>
      </c>
      <c r="Q27" s="20">
        <f t="shared" si="2"/>
        <v>245.79569922332504</v>
      </c>
      <c r="R27" s="59">
        <f t="shared" si="0"/>
        <v>471.56640740694485</v>
      </c>
      <c r="S27" s="59">
        <f ca="1">AVERAGE(OFFSET($R$3,0,0,'Données projet'!$E$9+1,1))-AVERAGE(OFFSET($H$3,0,0,'Données projet'!$E$9+1,1))</f>
        <v>387.50901594883317</v>
      </c>
      <c r="T27" s="59">
        <f t="shared" si="34"/>
        <v>361.3623790401972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15.766000000000002</v>
      </c>
      <c r="AI27" s="13">
        <f>IF('Données projet'!$A$62&gt;35,AI26+AH27-AQ26,IF(A27&lt;'Données projet'!$A$62,$AF$205^A27,IF(A27='Données projet'!$A$62,'Données projet'!$B$62,AI26+AH27-AQ26)))</f>
        <v>108.19199999999999</v>
      </c>
      <c r="AJ27" s="13">
        <f>AI27*VLOOKUP('Données projet'!$B$10,Paramètres!$A$1:$I$89,3,0)*VLOOKUP('Données projet'!$B$10,Paramètres!$A$1:$I$89,5,0)</f>
        <v>64.698815999999994</v>
      </c>
      <c r="AK27" s="13">
        <f t="shared" si="35"/>
        <v>18.351013925322782</v>
      </c>
      <c r="AL27" s="20">
        <f t="shared" si="4"/>
        <v>144.64512045327049</v>
      </c>
      <c r="AM27" s="59">
        <f t="shared" si="5"/>
        <v>370.4158286368903</v>
      </c>
      <c r="AN27" s="59">
        <f ca="1">AVERAGE(OFFSET($AM$3,0,0,'Données projet'!$E$10+1,1))-AVERAGE(OFFSET($H$3,0,0,'Données projet'!$E$10+1,1))</f>
        <v>373.47758082856359</v>
      </c>
      <c r="AO27" s="59">
        <f t="shared" si="36"/>
        <v>277.24895424120166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1.7982683467561162</v>
      </c>
      <c r="AV27" s="21">
        <f>EXP(-LN(2)/25)*AV26+(1-EXP(-LN(2)/25))/(LN(2)/25)*Calculateur!AQ27*Calculateur!AS27*VLOOKUP('Données projet'!$B$10,Paramètres!$A$1:$I$89,3,0)*0.475*44/12</f>
        <v>14.10426447800854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15.902532824764656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3.887142857142857</v>
      </c>
      <c r="BD27" s="12">
        <f>IF('Données projet'!$A$88&gt;35,BD26+BC27-BL26,IF(A27&lt;'Données projet'!$A$88,$BA$205^A27,IF(A27='Données projet'!$A$88,'Données projet'!$B$88,BD26+BC27-BL26)))</f>
        <v>93.291428571428582</v>
      </c>
      <c r="BE27" s="13">
        <f>BD27*VLOOKUP('Données projet'!$B$11,Paramètres!$A$1:$I$89,3,0)*VLOOKUP('Données projet'!$B$11,Paramètres!$A$1:$I$89,5,0)</f>
        <v>84.410084571428584</v>
      </c>
      <c r="BF27" s="13">
        <f t="shared" si="37"/>
        <v>23.212082188219242</v>
      </c>
      <c r="BG27" s="20">
        <f t="shared" si="7"/>
        <v>187.44194043971996</v>
      </c>
      <c r="BH27" s="59">
        <f t="shared" si="8"/>
        <v>413.21264862333976</v>
      </c>
      <c r="BI27" s="59">
        <f ca="1">AVERAGE(OFFSET($BH$3,0,0,'Données projet'!$E$11+1,1))-AVERAGE(OFFSET($H$3,0,0,'Données projet'!$E$11+1,1))</f>
        <v>627.65081154031589</v>
      </c>
      <c r="BJ27" s="59">
        <f t="shared" si="38"/>
        <v>288.78083487077618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3.887142857142857</v>
      </c>
      <c r="BY27" s="12">
        <f>IF('Données projet'!$A$114&gt;35,BY26+BX27-CG26,IF(A27&lt;'Données projet'!$A$114,$BV$205^A27,IF(A27='Données projet'!$A$114,'Données projet'!$B$114,BY26+BX27-CG26)))</f>
        <v>93.291428571428582</v>
      </c>
      <c r="BZ27" s="13">
        <f>BY27*VLOOKUP('Données projet'!$B$12,Paramètres!$A$1:$I$89,3,0)*VLOOKUP('Données projet'!$B$12,Paramètres!$A$1:$I$89,5,0)</f>
        <v>94.597508571428591</v>
      </c>
      <c r="CA27" s="13">
        <f t="shared" si="39"/>
        <v>25.670797829946185</v>
      </c>
      <c r="CB27" s="20">
        <f t="shared" si="10"/>
        <v>209.4673003157277</v>
      </c>
      <c r="CC27" s="59">
        <f t="shared" si="11"/>
        <v>435.23800849934753</v>
      </c>
      <c r="CD27" s="59">
        <f ca="1">AVERAGE(OFFSET($CC$3,0,0,'Données projet'!$E$12+1,1))-AVERAGE(OFFSET($H$3,0,0,'Données projet'!$E$12+1,1))</f>
        <v>692.2706942067415</v>
      </c>
      <c r="CE27" s="59">
        <f t="shared" si="40"/>
        <v>316.17529091924803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3.887142857142857</v>
      </c>
      <c r="CT27" s="12">
        <f>IF('Données projet'!$A$140&gt;35,CT26+CS27-DB26,IF(A27&lt;'Données projet'!$A$140,$CQ$205^A27,IF(A27='Données projet'!$A$140,'Données projet'!$B$140,CT26+CS27-DB26)))</f>
        <v>93.291428571428582</v>
      </c>
      <c r="CU27" s="17">
        <f>CT27*VLOOKUP('Données projet'!$B$13,Paramètres!$A$1:$I$89,3,0)*VLOOKUP('Données projet'!$B$13,Paramètres!$A$1:$I$89,5,0)</f>
        <v>106.24027885714285</v>
      </c>
      <c r="CV27" s="13">
        <f t="shared" si="41"/>
        <v>28.443380017011851</v>
      </c>
      <c r="CW27" s="20">
        <f t="shared" si="13"/>
        <v>234.57403920581942</v>
      </c>
      <c r="CX27" s="59">
        <f t="shared" si="14"/>
        <v>460.34474738943925</v>
      </c>
      <c r="CY27" s="59">
        <f ca="1">AVERAGE(OFFSET($CX$3,0,0,'Données projet'!$E$13+1,1))-AVERAGE(OFFSET($H$3,0,0,'Données projet'!$E$13+1,1))</f>
        <v>765.9523557587147</v>
      </c>
      <c r="CZ27" s="59">
        <f t="shared" si="42"/>
        <v>347.40395092312815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5.8974358974358978</v>
      </c>
      <c r="DO27" s="12">
        <f>IF('Données projet'!$A$166&gt;35,DO26+DN27-DW26,IF(A27&lt;'Données projet'!$A$166,$DL$205^A27,IF(A27='Données projet'!$A$166,'Données projet'!$B$166,DO26+DN27-DW26)))</f>
        <v>66.538461538461533</v>
      </c>
      <c r="DP27" s="17">
        <f>DO27*VLOOKUP('Données projet'!$B$14,Paramètres!$A$1:$I$89,3,0)*VLOOKUP('Données projet'!$B$14,Paramètres!$A$1:$I$89,5,0)</f>
        <v>58.128000000000007</v>
      </c>
      <c r="DQ27" s="13">
        <f t="shared" si="43"/>
        <v>16.694099094284901</v>
      </c>
      <c r="DR27" s="20">
        <f t="shared" si="16"/>
        <v>130.31515592254621</v>
      </c>
      <c r="DS27" s="59">
        <f t="shared" si="17"/>
        <v>356.08586410616601</v>
      </c>
      <c r="DT27" s="59">
        <f ca="1">AVERAGE(OFFSET($DS$3,0,0,'Données projet'!$E$14+1,1))-AVERAGE(OFFSET($H$3,0,0,'Données projet'!$E$14+1,1))</f>
        <v>253.82888243490106</v>
      </c>
      <c r="DU27" s="59">
        <f t="shared" si="44"/>
        <v>224.11983819941796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4.8649602549376771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4.8649602549376771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9.9228571428571435</v>
      </c>
      <c r="N28" s="13">
        <f>IF('Données projet'!$A$36&gt;35,N27+M28-V27,IF(A28&lt;'Données projet'!$A$36,$K$205^A28,IF(A28='Données projet'!$A$36,'Données projet'!$B$36,N27+M28-V27)))</f>
        <v>248.07142857142853</v>
      </c>
      <c r="O28" s="13">
        <f>N28*VLOOKUP('Données projet'!$B$9,Paramètres!$A$1:$I$89,3,0)*VLOOKUP('Données projet'!$B$9,Paramètres!$A$1:$I$89,5,0)</f>
        <v>116.09742857142854</v>
      </c>
      <c r="P28" s="13">
        <f t="shared" si="33"/>
        <v>30.763044581165421</v>
      </c>
      <c r="Q28" s="20">
        <f t="shared" si="2"/>
        <v>255.78199074076778</v>
      </c>
      <c r="R28" s="59">
        <f t="shared" si="0"/>
        <v>483.81976470709992</v>
      </c>
      <c r="S28" s="59">
        <f ca="1">AVERAGE(OFFSET($R$3,0,0,'Données projet'!$E$9+1,1))-AVERAGE(OFFSET($H$3,0,0,'Données projet'!$E$9+1,1))</f>
        <v>387.50901594883317</v>
      </c>
      <c r="T28" s="59">
        <f t="shared" si="34"/>
        <v>361.3623790401972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15.766000000000002</v>
      </c>
      <c r="AI28" s="13">
        <f>IF('Données projet'!$A$62&gt;35,AI27+AH28-AQ27,IF(A28&lt;'Données projet'!$A$62,$AF$205^A28,IF(A28='Données projet'!$A$62,'Données projet'!$B$62,AI27+AH28-AQ27)))</f>
        <v>123.958</v>
      </c>
      <c r="AJ28" s="13">
        <f>AI28*VLOOKUP('Données projet'!$B$10,Paramètres!$A$1:$I$89,3,0)*VLOOKUP('Données projet'!$B$10,Paramètres!$A$1:$I$89,5,0)</f>
        <v>74.126884000000004</v>
      </c>
      <c r="AK28" s="13">
        <f t="shared" si="35"/>
        <v>20.694866668390631</v>
      </c>
      <c r="AL28" s="20">
        <f t="shared" si="4"/>
        <v>165.1478824141137</v>
      </c>
      <c r="AM28" s="59">
        <f t="shared" si="5"/>
        <v>393.18565638044583</v>
      </c>
      <c r="AN28" s="59">
        <f ca="1">AVERAGE(OFFSET($AM$3,0,0,'Données projet'!$E$10+1,1))-AVERAGE(OFFSET($H$3,0,0,'Données projet'!$E$10+1,1))</f>
        <v>373.47758082856359</v>
      </c>
      <c r="AO28" s="59">
        <f t="shared" si="36"/>
        <v>277.24895424120166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1.7630054013116168</v>
      </c>
      <c r="AV28" s="21">
        <f>EXP(-LN(2)/25)*AV27+(1-EXP(-LN(2)/25))/(LN(2)/25)*Calculateur!AQ28*Calculateur!AS28*VLOOKUP('Données projet'!$B$10,Paramètres!$A$1:$I$89,3,0)*0.475*44/12</f>
        <v>13.718582624146363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15.481588025457979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3.887142857142857</v>
      </c>
      <c r="BD28" s="12">
        <f>IF('Données projet'!$A$88&gt;35,BD27+BC28-BL27,IF(A28&lt;'Données projet'!$A$88,$BA$205^A28,IF(A28='Données projet'!$A$88,'Données projet'!$B$88,BD27+BC28-BL27)))</f>
        <v>97.178571428571445</v>
      </c>
      <c r="BE28" s="13">
        <f>BD28*VLOOKUP('Données projet'!$B$11,Paramètres!$A$1:$I$89,3,0)*VLOOKUP('Données projet'!$B$11,Paramètres!$A$1:$I$89,5,0)</f>
        <v>87.927171428571441</v>
      </c>
      <c r="BF28" s="13">
        <f t="shared" si="37"/>
        <v>24.06463273936156</v>
      </c>
      <c r="BG28" s="20">
        <f t="shared" si="7"/>
        <v>195.05239225914997</v>
      </c>
      <c r="BH28" s="59">
        <f t="shared" si="8"/>
        <v>423.09016622548211</v>
      </c>
      <c r="BI28" s="59">
        <f ca="1">AVERAGE(OFFSET($BH$3,0,0,'Données projet'!$E$11+1,1))-AVERAGE(OFFSET($H$3,0,0,'Données projet'!$E$11+1,1))</f>
        <v>627.65081154031589</v>
      </c>
      <c r="BJ28" s="59">
        <f t="shared" si="38"/>
        <v>288.78083487077618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3.887142857142857</v>
      </c>
      <c r="BY28" s="12">
        <f>IF('Données projet'!$A$114&gt;35,BY27+BX28-CG27,IF(A28&lt;'Données projet'!$A$114,$BV$205^A28,IF(A28='Données projet'!$A$114,'Données projet'!$B$114,BY27+BX28-CG27)))</f>
        <v>97.178571428571445</v>
      </c>
      <c r="BZ28" s="13">
        <f>BY28*VLOOKUP('Données projet'!$B$12,Paramètres!$A$1:$I$89,3,0)*VLOOKUP('Données projet'!$B$12,Paramètres!$A$1:$I$89,5,0)</f>
        <v>98.539071428571447</v>
      </c>
      <c r="CA28" s="13">
        <f t="shared" si="39"/>
        <v>26.613653910702727</v>
      </c>
      <c r="CB28" s="20">
        <f t="shared" si="10"/>
        <v>217.97432996590248</v>
      </c>
      <c r="CC28" s="59">
        <f t="shared" si="11"/>
        <v>446.0121039322346</v>
      </c>
      <c r="CD28" s="59">
        <f ca="1">AVERAGE(OFFSET($CC$3,0,0,'Données projet'!$E$12+1,1))-AVERAGE(OFFSET($H$3,0,0,'Données projet'!$E$12+1,1))</f>
        <v>692.2706942067415</v>
      </c>
      <c r="CE28" s="59">
        <f t="shared" si="40"/>
        <v>316.17529091924803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3.887142857142857</v>
      </c>
      <c r="CT28" s="12">
        <f>IF('Données projet'!$A$140&gt;35,CT27+CS28-DB27,IF(A28&lt;'Données projet'!$A$140,$CQ$205^A28,IF(A28='Données projet'!$A$140,'Données projet'!$B$140,CT27+CS28-DB27)))</f>
        <v>97.178571428571445</v>
      </c>
      <c r="CU28" s="17">
        <f>CT28*VLOOKUP('Données projet'!$B$13,Paramètres!$A$1:$I$89,3,0)*VLOOKUP('Données projet'!$B$13,Paramètres!$A$1:$I$89,5,0)</f>
        <v>110.66695714285716</v>
      </c>
      <c r="CV28" s="13">
        <f t="shared" si="41"/>
        <v>29.488069550386033</v>
      </c>
      <c r="CW28" s="20">
        <f t="shared" si="13"/>
        <v>244.10333815739855</v>
      </c>
      <c r="CX28" s="59">
        <f t="shared" si="14"/>
        <v>472.14111212373064</v>
      </c>
      <c r="CY28" s="59">
        <f ca="1">AVERAGE(OFFSET($CX$3,0,0,'Données projet'!$E$13+1,1))-AVERAGE(OFFSET($H$3,0,0,'Données projet'!$E$13+1,1))</f>
        <v>765.9523557587147</v>
      </c>
      <c r="CZ28" s="59">
        <f t="shared" si="42"/>
        <v>347.40395092312815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72.435897435897431</v>
      </c>
      <c r="DM28" s="12">
        <f>VLOOKUP(A28,'Données projet'!$A$165:$I$185,9,0)</f>
        <v>5.8974358974358978</v>
      </c>
      <c r="DN28" s="12">
        <f t="array" ref="DN28">INDEX(DM:DM,MIN(IF(ISNUMBER(DM28:DM224),ROW(DM28:DM224),"")))</f>
        <v>5.8974358974358978</v>
      </c>
      <c r="DO28" s="12">
        <f>IF('Données projet'!$A$166&gt;35,DO27+DN28-DW27,IF(A28&lt;'Données projet'!$A$166,$DL$205^A28,IF(A28='Données projet'!$A$166,'Données projet'!$B$166,DO27+DN28-DW27)))</f>
        <v>72.435897435897431</v>
      </c>
      <c r="DP28" s="17">
        <f>DO28*VLOOKUP('Données projet'!$B$14,Paramètres!$A$1:$I$89,3,0)*VLOOKUP('Données projet'!$B$14,Paramètres!$A$1:$I$89,5,0)</f>
        <v>63.28</v>
      </c>
      <c r="DQ28" s="13">
        <f t="shared" si="43"/>
        <v>17.994969636661381</v>
      </c>
      <c r="DR28" s="20">
        <f t="shared" si="16"/>
        <v>141.55390545051856</v>
      </c>
      <c r="DS28" s="59">
        <f t="shared" si="17"/>
        <v>369.59167941685064</v>
      </c>
      <c r="DT28" s="59">
        <f ca="1">AVERAGE(OFFSET($DS$3,0,0,'Données projet'!$E$14+1,1))-AVERAGE(OFFSET($H$3,0,0,'Données projet'!$E$14+1,1))</f>
        <v>253.82888243490106</v>
      </c>
      <c r="DU28" s="59">
        <f t="shared" si="44"/>
        <v>224.11983819941796</v>
      </c>
      <c r="DV28" s="15">
        <f>IF(ISNA(VLOOKUP(A28,'Données projet'!$A$165:$I$185,3,0)),0,VLOOKUP(A28,'Données projet'!$A$165:$I$185,3,0))</f>
        <v>4</v>
      </c>
      <c r="DW28" s="15">
        <f>IF(ISNA(VLOOKUP(A28,'Données projet'!$A$165:$I$185,4,0)),0,VLOOKUP(A28,'Données projet'!$A$165:$I$185,4,0))</f>
        <v>14.743589743589743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0.215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7.781142855117352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7.781142855117352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9.9228571428571435</v>
      </c>
      <c r="N29" s="13">
        <f>IF('Données projet'!$A$36&gt;35,N28+M29-V28,IF(A29&lt;'Données projet'!$A$36,$K$205^A29,IF(A29='Données projet'!$A$36,'Données projet'!$B$36,N28+M29-V28)))</f>
        <v>257.9942857142857</v>
      </c>
      <c r="O29" s="13">
        <f>N29*VLOOKUP('Données projet'!$B$9,Paramètres!$A$1:$I$89,3,0)*VLOOKUP('Données projet'!$B$9,Paramètres!$A$1:$I$89,5,0)</f>
        <v>120.74132571428569</v>
      </c>
      <c r="P29" s="13">
        <f t="shared" si="33"/>
        <v>31.847839319762979</v>
      </c>
      <c r="Q29" s="20">
        <f t="shared" si="2"/>
        <v>265.75946243430144</v>
      </c>
      <c r="R29" s="59">
        <f t="shared" si="0"/>
        <v>496.04617648349165</v>
      </c>
      <c r="S29" s="59">
        <f ca="1">AVERAGE(OFFSET($R$3,0,0,'Données projet'!$E$9+1,1))-AVERAGE(OFFSET($H$3,0,0,'Données projet'!$E$9+1,1))</f>
        <v>387.50901594883317</v>
      </c>
      <c r="T29" s="59">
        <f t="shared" si="34"/>
        <v>361.3623790401972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15.766000000000002</v>
      </c>
      <c r="AI29" s="13">
        <f>IF('Données projet'!$A$62&gt;35,AI28+AH29-AQ28,IF(A29&lt;'Données projet'!$A$62,$AF$205^A29,IF(A29='Données projet'!$A$62,'Données projet'!$B$62,AI28+AH29-AQ28)))</f>
        <v>139.72399999999999</v>
      </c>
      <c r="AJ29" s="13">
        <f>AI29*VLOOKUP('Données projet'!$B$10,Paramètres!$A$1:$I$89,3,0)*VLOOKUP('Données projet'!$B$10,Paramètres!$A$1:$I$89,5,0)</f>
        <v>83.554952</v>
      </c>
      <c r="AK29" s="13">
        <f t="shared" si="35"/>
        <v>23.004176736574664</v>
      </c>
      <c r="AL29" s="20">
        <f t="shared" si="4"/>
        <v>185.59048254953419</v>
      </c>
      <c r="AM29" s="59">
        <f t="shared" si="5"/>
        <v>415.87719659872437</v>
      </c>
      <c r="AN29" s="59">
        <f ca="1">AVERAGE(OFFSET($AM$3,0,0,'Données projet'!$E$10+1,1))-AVERAGE(OFFSET($H$3,0,0,'Données projet'!$E$10+1,1))</f>
        <v>373.47758082856359</v>
      </c>
      <c r="AO29" s="59">
        <f t="shared" si="36"/>
        <v>277.24895424120166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1.728433940719011</v>
      </c>
      <c r="AV29" s="21">
        <f>EXP(-LN(2)/25)*AV28+(1-EXP(-LN(2)/25))/(LN(2)/25)*Calculateur!AQ29*Calculateur!AS29*VLOOKUP('Données projet'!$B$10,Paramètres!$A$1:$I$89,3,0)*0.475*44/12</f>
        <v>13.343447260860174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15.071881201579185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3.887142857142857</v>
      </c>
      <c r="BD29" s="12">
        <f>IF('Données projet'!$A$88&gt;35,BD28+BC29-BL28,IF(A29&lt;'Données projet'!$A$88,$BA$205^A29,IF(A29='Données projet'!$A$88,'Données projet'!$B$88,BD28+BC29-BL28)))</f>
        <v>101.06571428571431</v>
      </c>
      <c r="BE29" s="13">
        <f>BD29*VLOOKUP('Données projet'!$B$11,Paramètres!$A$1:$I$89,3,0)*VLOOKUP('Données projet'!$B$11,Paramètres!$A$1:$I$89,5,0)</f>
        <v>91.444258285714298</v>
      </c>
      <c r="BF29" s="13">
        <f t="shared" si="37"/>
        <v>24.913221926074399</v>
      </c>
      <c r="BG29" s="20">
        <f t="shared" si="7"/>
        <v>202.65594470219867</v>
      </c>
      <c r="BH29" s="59">
        <f t="shared" si="8"/>
        <v>432.94265875138888</v>
      </c>
      <c r="BI29" s="59">
        <f ca="1">AVERAGE(OFFSET($BH$3,0,0,'Données projet'!$E$11+1,1))-AVERAGE(OFFSET($H$3,0,0,'Données projet'!$E$11+1,1))</f>
        <v>627.65081154031589</v>
      </c>
      <c r="BJ29" s="59">
        <f t="shared" si="38"/>
        <v>288.78083487077618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3.887142857142857</v>
      </c>
      <c r="BY29" s="12">
        <f>IF('Données projet'!$A$114&gt;35,BY28+BX29-CG28,IF(A29&lt;'Données projet'!$A$114,$BV$205^A29,IF(A29='Données projet'!$A$114,'Données projet'!$B$114,BY28+BX29-CG28)))</f>
        <v>101.06571428571431</v>
      </c>
      <c r="BZ29" s="13">
        <f>BY29*VLOOKUP('Données projet'!$B$12,Paramètres!$A$1:$I$89,3,0)*VLOOKUP('Données projet'!$B$12,Paramètres!$A$1:$I$89,5,0)</f>
        <v>102.48063428571432</v>
      </c>
      <c r="CA29" s="13">
        <f t="shared" si="39"/>
        <v>27.552129023626446</v>
      </c>
      <c r="CB29" s="20">
        <f t="shared" si="10"/>
        <v>226.47372943043516</v>
      </c>
      <c r="CC29" s="59">
        <f t="shared" si="11"/>
        <v>456.76044347962534</v>
      </c>
      <c r="CD29" s="59">
        <f ca="1">AVERAGE(OFFSET($CC$3,0,0,'Données projet'!$E$12+1,1))-AVERAGE(OFFSET($H$3,0,0,'Données projet'!$E$12+1,1))</f>
        <v>692.2706942067415</v>
      </c>
      <c r="CE29" s="59">
        <f t="shared" si="40"/>
        <v>316.17529091924803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3.887142857142857</v>
      </c>
      <c r="CT29" s="12">
        <f>IF('Données projet'!$A$140&gt;35,CT28+CS29-DB28,IF(A29&lt;'Données projet'!$A$140,$CQ$205^A29,IF(A29='Données projet'!$A$140,'Données projet'!$B$140,CT28+CS29-DB28)))</f>
        <v>101.06571428571431</v>
      </c>
      <c r="CU29" s="17">
        <f>CT29*VLOOKUP('Données projet'!$B$13,Paramètres!$A$1:$I$89,3,0)*VLOOKUP('Données projet'!$B$13,Paramètres!$A$1:$I$89,5,0)</f>
        <v>115.09363542857146</v>
      </c>
      <c r="CV29" s="13">
        <f t="shared" si="41"/>
        <v>30.527904948188059</v>
      </c>
      <c r="CW29" s="20">
        <f t="shared" si="13"/>
        <v>253.62418282285617</v>
      </c>
      <c r="CX29" s="59">
        <f t="shared" si="14"/>
        <v>483.91089687204635</v>
      </c>
      <c r="CY29" s="59">
        <f ca="1">AVERAGE(OFFSET($CX$3,0,0,'Données projet'!$E$13+1,1))-AVERAGE(OFFSET($H$3,0,0,'Données projet'!$E$13+1,1))</f>
        <v>765.9523557587147</v>
      </c>
      <c r="CZ29" s="59">
        <f t="shared" si="42"/>
        <v>347.40395092312815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5.7692307692307692</v>
      </c>
      <c r="DO29" s="12">
        <f>IF('Données projet'!$A$166&gt;35,DO28+DN29-DW28,IF(A29&lt;'Données projet'!$A$166,$DL$205^A29,IF(A29='Données projet'!$A$166,'Données projet'!$B$166,DO28+DN29-DW28)))</f>
        <v>63.46153846153846</v>
      </c>
      <c r="DP29" s="17">
        <f>DO29*VLOOKUP('Données projet'!$B$14,Paramètres!$A$1:$I$89,3,0)*VLOOKUP('Données projet'!$B$14,Paramètres!$A$1:$I$89,5,0)</f>
        <v>55.440000000000005</v>
      </c>
      <c r="DQ29" s="13">
        <f t="shared" si="43"/>
        <v>16.010108070503204</v>
      </c>
      <c r="DR29" s="20">
        <f t="shared" si="16"/>
        <v>124.4422715561264</v>
      </c>
      <c r="DS29" s="59">
        <f t="shared" si="17"/>
        <v>354.72898560531655</v>
      </c>
      <c r="DT29" s="59">
        <f ca="1">AVERAGE(OFFSET($DS$3,0,0,'Données projet'!$E$14+1,1))-AVERAGE(OFFSET($H$3,0,0,'Données projet'!$E$14+1,1))</f>
        <v>253.82888243490106</v>
      </c>
      <c r="DU29" s="59">
        <f t="shared" si="44"/>
        <v>224.11983819941796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7.5683670945516495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7.5683670945516495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9.9228571428571435</v>
      </c>
      <c r="N30" s="13">
        <f>IF('Données projet'!$A$36&gt;35,N29+M30-V29,IF(A30&lt;'Données projet'!$A$36,$K$205^A30,IF(A30='Données projet'!$A$36,'Données projet'!$B$36,N29+M30-V29)))</f>
        <v>267.91714285714284</v>
      </c>
      <c r="O30" s="13">
        <f>N30*VLOOKUP('Données projet'!$B$9,Paramètres!$A$1:$I$89,3,0)*VLOOKUP('Données projet'!$B$9,Paramètres!$A$1:$I$89,5,0)</f>
        <v>125.38522285714285</v>
      </c>
      <c r="P30" s="13">
        <f t="shared" si="33"/>
        <v>32.927787108559478</v>
      </c>
      <c r="Q30" s="20">
        <f t="shared" si="2"/>
        <v>275.72849235693155</v>
      </c>
      <c r="R30" s="59">
        <f t="shared" si="0"/>
        <v>508.24633522949506</v>
      </c>
      <c r="S30" s="59">
        <f ca="1">AVERAGE(OFFSET($R$3,0,0,'Données projet'!$E$9+1,1))-AVERAGE(OFFSET($H$3,0,0,'Données projet'!$E$9+1,1))</f>
        <v>387.50901594883317</v>
      </c>
      <c r="T30" s="59">
        <f t="shared" si="34"/>
        <v>361.3623790401972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>
        <f>VLOOKUP(A30,'Données projet'!$A$61:$I$81,2,0)</f>
        <v>155.49</v>
      </c>
      <c r="AG30" s="12">
        <f>VLOOKUP(A30,'Données projet'!$A$61:$I$81,9,0)</f>
        <v>15.766000000000002</v>
      </c>
      <c r="AH30" s="12">
        <f t="array" ref="AH30">INDEX(AG:AG,MIN(IF(ISNUMBER(AG30:AG226),ROW(AG30:AG226),"")))</f>
        <v>15.766000000000002</v>
      </c>
      <c r="AI30" s="13">
        <f>IF('Données projet'!$A$62&gt;35,AI29+AH30-AQ29,IF(A30&lt;'Données projet'!$A$62,$AF$205^A30,IF(A30='Données projet'!$A$62,'Données projet'!$B$62,AI29+AH30-AQ29)))</f>
        <v>155.48999999999998</v>
      </c>
      <c r="AJ30" s="13">
        <f>AI30*VLOOKUP('Données projet'!$B$10,Paramètres!$A$1:$I$89,3,0)*VLOOKUP('Données projet'!$B$10,Paramètres!$A$1:$I$89,5,0)</f>
        <v>92.983019999999996</v>
      </c>
      <c r="AK30" s="13">
        <f t="shared" si="35"/>
        <v>25.283286610692237</v>
      </c>
      <c r="AL30" s="20">
        <f t="shared" si="4"/>
        <v>205.98048401362226</v>
      </c>
      <c r="AM30" s="59">
        <f t="shared" si="5"/>
        <v>438.49832688618574</v>
      </c>
      <c r="AN30" s="59">
        <f ca="1">AVERAGE(OFFSET($AM$3,0,0,'Données projet'!$E$10+1,1))-AVERAGE(OFFSET($H$3,0,0,'Données projet'!$E$10+1,1))</f>
        <v>373.47758082856359</v>
      </c>
      <c r="AO30" s="59">
        <f t="shared" si="36"/>
        <v>277.24895424120166</v>
      </c>
      <c r="AP30" s="15">
        <f>IF(ISNA(VLOOKUP(A30,'Données projet'!$A$61:$I$81,3,0)),0,VLOOKUP(A30,'Données projet'!$A$61:$I$81,3,0))</f>
        <v>2</v>
      </c>
      <c r="AQ30" s="15">
        <f>IF(ISNA(VLOOKUP(A30,'Données projet'!$A$61:$I$81,4,0)),0,VLOOKUP(A30,'Données projet'!$A$61:$I$81,4,0))</f>
        <v>37.840000000000003</v>
      </c>
      <c r="AR30" s="16">
        <f>IF(ISNA(VLOOKUP(A30,'Données projet'!$A$61:$I$81,5,0)),0%,VLOOKUP(A30,'Données projet'!$A$61:$I$81,5,0)*VLOOKUP('Données projet'!$B$10,Paramètres!$A$1:$I$89,7,0))</f>
        <v>4.5000000000000005E-2</v>
      </c>
      <c r="AS30" s="16">
        <f>IF(ISNA(VLOOKUP(A30,'Données projet'!$A$61:$I$81,6,0)),0%,VLOOKUP(A30,'Données projet'!$A$61:$I$81,6,0)*VLOOKUP('Données projet'!$B$10,Paramètres!$A$1:$I$89,7,0))</f>
        <v>0.36000000000000004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3.0453470303061421</v>
      </c>
      <c r="AV30" s="21">
        <f>EXP(-LN(2)/25)*AV29+(1-EXP(-LN(2)/25))/(LN(2)/25)*Calculateur!AQ30*Calculateur!AS30*VLOOKUP('Données projet'!$B$10,Paramètres!$A$1:$I$89,3,0)*0.475*44/12</f>
        <v>23.742473870162744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26.787820900468887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3.887142857142857</v>
      </c>
      <c r="BD30" s="12">
        <f>IF('Données projet'!$A$88&gt;35,BD29+BC30-BL29,IF(A30&lt;'Données projet'!$A$88,$BA$205^A30,IF(A30='Données projet'!$A$88,'Données projet'!$B$88,BD29+BC30-BL29)))</f>
        <v>104.95285714285717</v>
      </c>
      <c r="BE30" s="13">
        <f>BD30*VLOOKUP('Données projet'!$B$11,Paramètres!$A$1:$I$89,3,0)*VLOOKUP('Données projet'!$B$11,Paramètres!$A$1:$I$89,5,0)</f>
        <v>94.961345142857169</v>
      </c>
      <c r="BF30" s="13">
        <f t="shared" si="37"/>
        <v>25.758019548315733</v>
      </c>
      <c r="BG30" s="20">
        <f t="shared" si="7"/>
        <v>210.25289350379276</v>
      </c>
      <c r="BH30" s="59">
        <f t="shared" si="8"/>
        <v>442.77073637635624</v>
      </c>
      <c r="BI30" s="59">
        <f ca="1">AVERAGE(OFFSET($BH$3,0,0,'Données projet'!$E$11+1,1))-AVERAGE(OFFSET($H$3,0,0,'Données projet'!$E$11+1,1))</f>
        <v>627.65081154031589</v>
      </c>
      <c r="BJ30" s="59">
        <f t="shared" si="38"/>
        <v>288.78083487077618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3.887142857142857</v>
      </c>
      <c r="BY30" s="12">
        <f>IF('Données projet'!$A$114&gt;35,BY29+BX30-CG29,IF(A30&lt;'Données projet'!$A$114,$BV$205^A30,IF(A30='Données projet'!$A$114,'Données projet'!$B$114,BY29+BX30-CG29)))</f>
        <v>104.95285714285717</v>
      </c>
      <c r="BZ30" s="13">
        <f>BY30*VLOOKUP('Données projet'!$B$12,Paramètres!$A$1:$I$89,3,0)*VLOOKUP('Données projet'!$B$12,Paramètres!$A$1:$I$89,5,0)</f>
        <v>106.42219714285717</v>
      </c>
      <c r="CA30" s="13">
        <f t="shared" si="39"/>
        <v>28.486410954559084</v>
      </c>
      <c r="CB30" s="20">
        <f t="shared" si="10"/>
        <v>234.96582576966659</v>
      </c>
      <c r="CC30" s="59">
        <f t="shared" si="11"/>
        <v>467.4836686422301</v>
      </c>
      <c r="CD30" s="59">
        <f ca="1">AVERAGE(OFFSET($CC$3,0,0,'Données projet'!$E$12+1,1))-AVERAGE(OFFSET($H$3,0,0,'Données projet'!$E$12+1,1))</f>
        <v>692.2706942067415</v>
      </c>
      <c r="CE30" s="59">
        <f t="shared" si="40"/>
        <v>316.17529091924803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3.887142857142857</v>
      </c>
      <c r="CT30" s="12">
        <f>IF('Données projet'!$A$140&gt;35,CT29+CS30-DB29,IF(A30&lt;'Données projet'!$A$140,$CQ$205^A30,IF(A30='Données projet'!$A$140,'Données projet'!$B$140,CT29+CS30-DB29)))</f>
        <v>104.95285714285717</v>
      </c>
      <c r="CU30" s="17">
        <f>CT30*VLOOKUP('Données projet'!$B$13,Paramètres!$A$1:$I$89,3,0)*VLOOKUP('Données projet'!$B$13,Paramètres!$A$1:$I$89,5,0)</f>
        <v>119.52031371428573</v>
      </c>
      <c r="CV30" s="13">
        <f t="shared" si="41"/>
        <v>31.563094278125622</v>
      </c>
      <c r="CW30" s="20">
        <f t="shared" si="13"/>
        <v>263.13693558678312</v>
      </c>
      <c r="CX30" s="59">
        <f t="shared" si="14"/>
        <v>495.65477845934663</v>
      </c>
      <c r="CY30" s="59">
        <f ca="1">AVERAGE(OFFSET($CX$3,0,0,'Données projet'!$E$13+1,1))-AVERAGE(OFFSET($H$3,0,0,'Données projet'!$E$13+1,1))</f>
        <v>765.9523557587147</v>
      </c>
      <c r="CZ30" s="59">
        <f t="shared" si="42"/>
        <v>347.40395092312815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5.7692307692307692</v>
      </c>
      <c r="DO30" s="12">
        <f>IF('Données projet'!$A$166&gt;35,DO29+DN30-DW29,IF(A30&lt;'Données projet'!$A$166,$DL$205^A30,IF(A30='Données projet'!$A$166,'Données projet'!$B$166,DO29+DN30-DW29)))</f>
        <v>69.230769230769226</v>
      </c>
      <c r="DP30" s="17">
        <f>DO30*VLOOKUP('Données projet'!$B$14,Paramètres!$A$1:$I$89,3,0)*VLOOKUP('Données projet'!$B$14,Paramètres!$A$1:$I$89,5,0)</f>
        <v>60.480000000000011</v>
      </c>
      <c r="DQ30" s="13">
        <f t="shared" si="43"/>
        <v>17.289571735224513</v>
      </c>
      <c r="DR30" s="20">
        <f t="shared" si="16"/>
        <v>135.44867077218274</v>
      </c>
      <c r="DS30" s="59">
        <f t="shared" si="17"/>
        <v>367.96651364474621</v>
      </c>
      <c r="DT30" s="59">
        <f ca="1">AVERAGE(OFFSET($DS$3,0,0,'Données projet'!$E$14+1,1))-AVERAGE(OFFSET($H$3,0,0,'Données projet'!$E$14+1,1))</f>
        <v>253.82888243490106</v>
      </c>
      <c r="DU30" s="59">
        <f t="shared" si="44"/>
        <v>224.11983819941796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7.3614096983480071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7.3614096983480071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9.9228571428571435</v>
      </c>
      <c r="N31" s="13">
        <f>IF('Données projet'!$A$36&gt;35,N30+M31-V30,IF(A31&lt;'Données projet'!$A$36,$K$205^A31,IF(A31='Données projet'!$A$36,'Données projet'!$B$36,N30+M31-V30)))</f>
        <v>277.83999999999997</v>
      </c>
      <c r="O31" s="13">
        <f>N31*VLOOKUP('Données projet'!$B$9,Paramètres!$A$1:$I$89,3,0)*VLOOKUP('Données projet'!$B$9,Paramètres!$A$1:$I$89,5,0)</f>
        <v>130.02912000000001</v>
      </c>
      <c r="P31" s="13">
        <f t="shared" si="33"/>
        <v>34.003088021651131</v>
      </c>
      <c r="Q31" s="20">
        <f t="shared" si="2"/>
        <v>285.68942897104239</v>
      </c>
      <c r="R31" s="59">
        <f t="shared" si="0"/>
        <v>520.4208983930265</v>
      </c>
      <c r="S31" s="59">
        <f ca="1">AVERAGE(OFFSET($R$3,0,0,'Données projet'!$E$9+1,1))-AVERAGE(OFFSET($H$3,0,0,'Données projet'!$E$9+1,1))</f>
        <v>387.50901594883317</v>
      </c>
      <c r="T31" s="59">
        <f t="shared" si="34"/>
        <v>361.3623790401972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16.614999999999998</v>
      </c>
      <c r="AI31" s="13">
        <f>IF('Données projet'!$A$62&gt;35,AI30+AH31-AQ30,IF(A31&lt;'Données projet'!$A$62,$AF$205^A31,IF(A31='Données projet'!$A$62,'Données projet'!$B$62,AI30+AH31-AQ30)))</f>
        <v>134.26499999999999</v>
      </c>
      <c r="AJ31" s="13">
        <f>AI31*VLOOKUP('Données projet'!$B$10,Paramètres!$A$1:$I$89,3,0)*VLOOKUP('Données projet'!$B$10,Paramètres!$A$1:$I$89,5,0)</f>
        <v>80.290469999999999</v>
      </c>
      <c r="AK31" s="13">
        <f t="shared" si="35"/>
        <v>22.208190565938402</v>
      </c>
      <c r="AL31" s="20">
        <f t="shared" si="4"/>
        <v>178.51850048567601</v>
      </c>
      <c r="AM31" s="59">
        <f t="shared" si="5"/>
        <v>413.2499699076601</v>
      </c>
      <c r="AN31" s="59">
        <f ca="1">AVERAGE(OFFSET($AM$3,0,0,'Données projet'!$E$10+1,1))-AVERAGE(OFFSET($H$3,0,0,'Données projet'!$E$10+1,1))</f>
        <v>373.47758082856359</v>
      </c>
      <c r="AO31" s="59">
        <f t="shared" si="36"/>
        <v>277.24895424120166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2.9856296325201162</v>
      </c>
      <c r="AV31" s="21">
        <f>EXP(-LN(2)/25)*AV30+(1-EXP(-LN(2)/25))/(LN(2)/25)*Calculateur!AQ31*Calculateur!AS31*VLOOKUP('Données projet'!$B$10,Paramètres!$A$1:$I$89,3,0)*0.475*44/12</f>
        <v>23.093234673620707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26.078864306140822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3.887142857142857</v>
      </c>
      <c r="BD31" s="12">
        <f>IF('Données projet'!$A$88&gt;35,BD30+BC31-BL30,IF(A31&lt;'Données projet'!$A$88,$BA$205^A31,IF(A31='Données projet'!$A$88,'Données projet'!$B$88,BD30+BC31-BL30)))</f>
        <v>108.84000000000003</v>
      </c>
      <c r="BE31" s="13">
        <f>BD31*VLOOKUP('Données projet'!$B$11,Paramètres!$A$1:$I$89,3,0)*VLOOKUP('Données projet'!$B$11,Paramètres!$A$1:$I$89,5,0)</f>
        <v>98.478432000000026</v>
      </c>
      <c r="BF31" s="13">
        <f t="shared" si="37"/>
        <v>26.599182115615513</v>
      </c>
      <c r="BG31" s="20">
        <f t="shared" si="7"/>
        <v>217.84351125136371</v>
      </c>
      <c r="BH31" s="59">
        <f t="shared" si="8"/>
        <v>452.5749806733478</v>
      </c>
      <c r="BI31" s="59">
        <f ca="1">AVERAGE(OFFSET($BH$3,0,0,'Données projet'!$E$11+1,1))-AVERAGE(OFFSET($H$3,0,0,'Données projet'!$E$11+1,1))</f>
        <v>627.65081154031589</v>
      </c>
      <c r="BJ31" s="59">
        <f t="shared" si="38"/>
        <v>288.78083487077618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3.887142857142857</v>
      </c>
      <c r="BY31" s="12">
        <f>IF('Données projet'!$A$114&gt;35,BY30+BX31-CG30,IF(A31&lt;'Données projet'!$A$114,$BV$205^A31,IF(A31='Données projet'!$A$114,'Données projet'!$B$114,BY30+BX31-CG30)))</f>
        <v>108.84000000000003</v>
      </c>
      <c r="BZ31" s="13">
        <f>BY31*VLOOKUP('Données projet'!$B$12,Paramètres!$A$1:$I$89,3,0)*VLOOKUP('Données projet'!$B$12,Paramètres!$A$1:$I$89,5,0)</f>
        <v>110.36376000000004</v>
      </c>
      <c r="CA31" s="13">
        <f t="shared" si="39"/>
        <v>29.416672791139618</v>
      </c>
      <c r="CB31" s="20">
        <f t="shared" si="10"/>
        <v>243.45092044456825</v>
      </c>
      <c r="CC31" s="59">
        <f t="shared" si="11"/>
        <v>478.18238986655234</v>
      </c>
      <c r="CD31" s="59">
        <f ca="1">AVERAGE(OFFSET($CC$3,0,0,'Données projet'!$E$12+1,1))-AVERAGE(OFFSET($H$3,0,0,'Données projet'!$E$12+1,1))</f>
        <v>692.2706942067415</v>
      </c>
      <c r="CE31" s="59">
        <f t="shared" si="40"/>
        <v>316.17529091924803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3.887142857142857</v>
      </c>
      <c r="CT31" s="12">
        <f>IF('Données projet'!$A$140&gt;35,CT30+CS31-DB30,IF(A31&lt;'Données projet'!$A$140,$CQ$205^A31,IF(A31='Données projet'!$A$140,'Données projet'!$B$140,CT30+CS31-DB30)))</f>
        <v>108.84000000000003</v>
      </c>
      <c r="CU31" s="17">
        <f>CT31*VLOOKUP('Données projet'!$B$13,Paramètres!$A$1:$I$89,3,0)*VLOOKUP('Données projet'!$B$13,Paramètres!$A$1:$I$89,5,0)</f>
        <v>123.94699200000004</v>
      </c>
      <c r="CV31" s="13">
        <f t="shared" si="41"/>
        <v>32.593829322219847</v>
      </c>
      <c r="CW31" s="20">
        <f t="shared" si="13"/>
        <v>272.64193046953295</v>
      </c>
      <c r="CX31" s="59">
        <f t="shared" si="14"/>
        <v>507.37339989151701</v>
      </c>
      <c r="CY31" s="59">
        <f ca="1">AVERAGE(OFFSET($CX$3,0,0,'Données projet'!$E$13+1,1))-AVERAGE(OFFSET($H$3,0,0,'Données projet'!$E$13+1,1))</f>
        <v>765.9523557587147</v>
      </c>
      <c r="CZ31" s="59">
        <f t="shared" si="42"/>
        <v>347.40395092312815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5.7692307692307692</v>
      </c>
      <c r="DO31" s="12">
        <f>IF('Données projet'!$A$166&gt;35,DO30+DN31-DW30,IF(A31&lt;'Données projet'!$A$166,$DL$205^A31,IF(A31='Données projet'!$A$166,'Données projet'!$B$166,DO30+DN31-DW30)))</f>
        <v>75</v>
      </c>
      <c r="DP31" s="17">
        <f>DO31*VLOOKUP('Données projet'!$B$14,Paramètres!$A$1:$I$89,3,0)*VLOOKUP('Données projet'!$B$14,Paramètres!$A$1:$I$89,5,0)</f>
        <v>65.52000000000001</v>
      </c>
      <c r="DQ31" s="13">
        <f t="shared" si="43"/>
        <v>18.556669503136725</v>
      </c>
      <c r="DR31" s="20">
        <f t="shared" si="16"/>
        <v>146.43353271796315</v>
      </c>
      <c r="DS31" s="59">
        <f t="shared" si="17"/>
        <v>381.16500213994721</v>
      </c>
      <c r="DT31" s="59">
        <f ca="1">AVERAGE(OFFSET($DS$3,0,0,'Données projet'!$E$14+1,1))-AVERAGE(OFFSET($H$3,0,0,'Données projet'!$E$14+1,1))</f>
        <v>253.82888243490106</v>
      </c>
      <c r="DU31" s="59">
        <f t="shared" si="44"/>
        <v>224.11983819941796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7.1601115630269696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7.1601115630269696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9.9228571428571435</v>
      </c>
      <c r="N32" s="13">
        <f>IF('Données projet'!$A$36&gt;35,N31+M32-V31,IF(A32&lt;'Données projet'!$A$36,$K$205^A32,IF(A32='Données projet'!$A$36,'Données projet'!$B$36,N31+M32-V31)))</f>
        <v>287.76285714285711</v>
      </c>
      <c r="O32" s="13">
        <f>N32*VLOOKUP('Données projet'!$B$9,Paramètres!$A$1:$I$89,3,0)*VLOOKUP('Données projet'!$B$9,Paramètres!$A$1:$I$89,5,0)</f>
        <v>134.67301714285713</v>
      </c>
      <c r="P32" s="13">
        <f t="shared" si="33"/>
        <v>35.073927031994522</v>
      </c>
      <c r="Q32" s="20">
        <f t="shared" si="2"/>
        <v>295.64259443786659</v>
      </c>
      <c r="R32" s="59">
        <f t="shared" si="0"/>
        <v>532.57049176064243</v>
      </c>
      <c r="S32" s="59">
        <f ca="1">AVERAGE(OFFSET($R$3,0,0,'Données projet'!$E$9+1,1))-AVERAGE(OFFSET($H$3,0,0,'Données projet'!$E$9+1,1))</f>
        <v>387.50901594883317</v>
      </c>
      <c r="T32" s="59">
        <f t="shared" si="34"/>
        <v>361.3623790401972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16.614999999999998</v>
      </c>
      <c r="AI32" s="13">
        <f>IF('Données projet'!$A$62&gt;35,AI31+AH32-AQ31,IF(A32&lt;'Données projet'!$A$62,$AF$205^A32,IF(A32='Données projet'!$A$62,'Données projet'!$B$62,AI31+AH32-AQ31)))</f>
        <v>150.88</v>
      </c>
      <c r="AJ32" s="13">
        <f>AI32*VLOOKUP('Données projet'!$B$10,Paramètres!$A$1:$I$89,3,0)*VLOOKUP('Données projet'!$B$10,Paramètres!$A$1:$I$89,5,0)</f>
        <v>90.22623999999999</v>
      </c>
      <c r="AK32" s="13">
        <f t="shared" si="35"/>
        <v>24.619780658757083</v>
      </c>
      <c r="AL32" s="20">
        <f t="shared" si="4"/>
        <v>200.02348598066854</v>
      </c>
      <c r="AM32" s="59">
        <f t="shared" si="5"/>
        <v>436.95138330344435</v>
      </c>
      <c r="AN32" s="59">
        <f ca="1">AVERAGE(OFFSET($AM$3,0,0,'Données projet'!$E$10+1,1))-AVERAGE(OFFSET($H$3,0,0,'Données projet'!$E$10+1,1))</f>
        <v>373.47758082856359</v>
      </c>
      <c r="AO32" s="59">
        <f t="shared" si="36"/>
        <v>277.24895424120166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2.9270832564806581</v>
      </c>
      <c r="AV32" s="21">
        <f>EXP(-LN(2)/25)*AV31+(1-EXP(-LN(2)/25))/(LN(2)/25)*Calculateur!AQ32*Calculateur!AS32*VLOOKUP('Données projet'!$B$10,Paramètres!$A$1:$I$89,3,0)*0.475*44/12</f>
        <v>22.461748957050116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25.388832213530772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3.887142857142857</v>
      </c>
      <c r="BD32" s="12">
        <f>IF('Données projet'!$A$88&gt;35,BD31+BC32-BL31,IF(A32&lt;'Données projet'!$A$88,$BA$205^A32,IF(A32='Données projet'!$A$88,'Données projet'!$B$88,BD31+BC32-BL31)))</f>
        <v>112.72714285714289</v>
      </c>
      <c r="BE32" s="13">
        <f>BD32*VLOOKUP('Données projet'!$B$11,Paramètres!$A$1:$I$89,3,0)*VLOOKUP('Données projet'!$B$11,Paramètres!$A$1:$I$89,5,0)</f>
        <v>101.99551885714288</v>
      </c>
      <c r="BF32" s="13">
        <f t="shared" si="37"/>
        <v>27.436854324518826</v>
      </c>
      <c r="BG32" s="20">
        <f t="shared" si="7"/>
        <v>225.4280499580608</v>
      </c>
      <c r="BH32" s="59">
        <f t="shared" si="8"/>
        <v>462.35594728083663</v>
      </c>
      <c r="BI32" s="59">
        <f ca="1">AVERAGE(OFFSET($BH$3,0,0,'Données projet'!$E$11+1,1))-AVERAGE(OFFSET($H$3,0,0,'Données projet'!$E$11+1,1))</f>
        <v>627.65081154031589</v>
      </c>
      <c r="BJ32" s="59">
        <f t="shared" si="38"/>
        <v>288.78083487077618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3.887142857142857</v>
      </c>
      <c r="BY32" s="12">
        <f>IF('Données projet'!$A$114&gt;35,BY31+BX32-CG31,IF(A32&lt;'Données projet'!$A$114,$BV$205^A32,IF(A32='Données projet'!$A$114,'Données projet'!$B$114,BY31+BX32-CG31)))</f>
        <v>112.72714285714289</v>
      </c>
      <c r="BZ32" s="13">
        <f>BY32*VLOOKUP('Données projet'!$B$12,Paramètres!$A$1:$I$89,3,0)*VLOOKUP('Données projet'!$B$12,Paramètres!$A$1:$I$89,5,0)</f>
        <v>114.3053228571429</v>
      </c>
      <c r="CA32" s="13">
        <f t="shared" si="39"/>
        <v>30.343074556744043</v>
      </c>
      <c r="CB32" s="20">
        <f t="shared" si="10"/>
        <v>251.92929216251972</v>
      </c>
      <c r="CC32" s="59">
        <f t="shared" si="11"/>
        <v>488.85718948529552</v>
      </c>
      <c r="CD32" s="59">
        <f ca="1">AVERAGE(OFFSET($CC$3,0,0,'Données projet'!$E$12+1,1))-AVERAGE(OFFSET($H$3,0,0,'Données projet'!$E$12+1,1))</f>
        <v>692.2706942067415</v>
      </c>
      <c r="CE32" s="59">
        <f t="shared" si="40"/>
        <v>316.17529091924803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3.887142857142857</v>
      </c>
      <c r="CT32" s="12">
        <f>IF('Données projet'!$A$140&gt;35,CT31+CS32-DB31,IF(A32&lt;'Données projet'!$A$140,$CQ$205^A32,IF(A32='Données projet'!$A$140,'Données projet'!$B$140,CT31+CS32-DB31)))</f>
        <v>112.72714285714289</v>
      </c>
      <c r="CU32" s="17">
        <f>CT32*VLOOKUP('Données projet'!$B$13,Paramètres!$A$1:$I$89,3,0)*VLOOKUP('Données projet'!$B$13,Paramètres!$A$1:$I$89,5,0)</f>
        <v>128.37367028571433</v>
      </c>
      <c r="CV32" s="13">
        <f t="shared" si="41"/>
        <v>33.62028738721925</v>
      </c>
      <c r="CW32" s="20">
        <f t="shared" si="13"/>
        <v>282.13947628035925</v>
      </c>
      <c r="CX32" s="59">
        <f t="shared" si="14"/>
        <v>519.06737360313514</v>
      </c>
      <c r="CY32" s="59">
        <f ca="1">AVERAGE(OFFSET($CX$3,0,0,'Données projet'!$E$13+1,1))-AVERAGE(OFFSET($H$3,0,0,'Données projet'!$E$13+1,1))</f>
        <v>765.9523557587147</v>
      </c>
      <c r="CZ32" s="59">
        <f t="shared" si="42"/>
        <v>347.40395092312815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5.7692307692307692</v>
      </c>
      <c r="DO32" s="12">
        <f>IF('Données projet'!$A$166&gt;35,DO31+DN32-DW31,IF(A32&lt;'Données projet'!$A$166,$DL$205^A32,IF(A32='Données projet'!$A$166,'Données projet'!$B$166,DO31+DN32-DW31)))</f>
        <v>80.769230769230774</v>
      </c>
      <c r="DP32" s="17">
        <f>DO32*VLOOKUP('Données projet'!$B$14,Paramètres!$A$1:$I$89,3,0)*VLOOKUP('Données projet'!$B$14,Paramètres!$A$1:$I$89,5,0)</f>
        <v>70.560000000000016</v>
      </c>
      <c r="DQ32" s="13">
        <f t="shared" si="43"/>
        <v>19.812460750274294</v>
      </c>
      <c r="DR32" s="20">
        <f t="shared" si="16"/>
        <v>157.39870247339442</v>
      </c>
      <c r="DS32" s="59">
        <f t="shared" si="17"/>
        <v>394.32659979617029</v>
      </c>
      <c r="DT32" s="59">
        <f ca="1">AVERAGE(OFFSET($DS$3,0,0,'Données projet'!$E$14+1,1))-AVERAGE(OFFSET($H$3,0,0,'Données projet'!$E$14+1,1))</f>
        <v>253.82888243490106</v>
      </c>
      <c r="DU32" s="59">
        <f t="shared" si="44"/>
        <v>224.11983819941796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6.9643179358020948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6.9643179358020948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9.9228571428571435</v>
      </c>
      <c r="N33" s="13">
        <f>IF('Données projet'!$A$36&gt;35,N32+M33-V32,IF(A33&lt;'Données projet'!$A$36,$K$205^A33,IF(A33='Données projet'!$A$36,'Données projet'!$B$36,N32+M33-V32)))</f>
        <v>297.68571428571425</v>
      </c>
      <c r="O33" s="13">
        <f>N33*VLOOKUP('Données projet'!$B$9,Paramètres!$A$1:$I$89,3,0)*VLOOKUP('Données projet'!$B$9,Paramètres!$A$1:$I$89,5,0)</f>
        <v>139.31691428571426</v>
      </c>
      <c r="P33" s="13">
        <f t="shared" si="33"/>
        <v>36.14047563226957</v>
      </c>
      <c r="Q33" s="20">
        <f t="shared" si="2"/>
        <v>305.58828744048856</v>
      </c>
      <c r="R33" s="59">
        <f t="shared" si="0"/>
        <v>544.69571237353057</v>
      </c>
      <c r="S33" s="59">
        <f ca="1">AVERAGE(OFFSET($R$3,0,0,'Données projet'!$E$9+1,1))-AVERAGE(OFFSET($H$3,0,0,'Données projet'!$E$9+1,1))</f>
        <v>387.50901594883317</v>
      </c>
      <c r="T33" s="59">
        <f t="shared" si="34"/>
        <v>361.3623790401972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16.614999999999998</v>
      </c>
      <c r="AI33" s="13">
        <f>IF('Données projet'!$A$62&gt;35,AI32+AH33-AQ32,IF(A33&lt;'Données projet'!$A$62,$AF$205^A33,IF(A33='Données projet'!$A$62,'Données projet'!$B$62,AI32+AH33-AQ32)))</f>
        <v>167.495</v>
      </c>
      <c r="AJ33" s="13">
        <f>AI33*VLOOKUP('Données projet'!$B$10,Paramètres!$A$1:$I$89,3,0)*VLOOKUP('Données projet'!$B$10,Paramètres!$A$1:$I$89,5,0)</f>
        <v>100.16201000000001</v>
      </c>
      <c r="AK33" s="13">
        <f t="shared" si="35"/>
        <v>27.000590559708886</v>
      </c>
      <c r="AL33" s="20">
        <f t="shared" si="4"/>
        <v>221.47486264149299</v>
      </c>
      <c r="AM33" s="59">
        <f t="shared" si="5"/>
        <v>460.58228757453497</v>
      </c>
      <c r="AN33" s="59">
        <f ca="1">AVERAGE(OFFSET($AM$3,0,0,'Données projet'!$E$10+1,1))-AVERAGE(OFFSET($H$3,0,0,'Données projet'!$E$10+1,1))</f>
        <v>373.47758082856359</v>
      </c>
      <c r="AO33" s="59">
        <f t="shared" si="36"/>
        <v>277.24895424120166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2.8696849391655705</v>
      </c>
      <c r="AV33" s="21">
        <f>EXP(-LN(2)/25)*AV32+(1-EXP(-LN(2)/25))/(LN(2)/25)*Calculateur!AQ33*Calculateur!AS33*VLOOKUP('Données projet'!$B$10,Paramètres!$A$1:$I$89,3,0)*0.475*44/12</f>
        <v>21.847531250607538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24.717216189773108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3.887142857142857</v>
      </c>
      <c r="BD33" s="12">
        <f>IF('Données projet'!$A$88&gt;35,BD32+BC33-BL32,IF(A33&lt;'Données projet'!$A$88,$BA$205^A33,IF(A33='Données projet'!$A$88,'Données projet'!$B$88,BD32+BC33-BL32)))</f>
        <v>116.61428571428576</v>
      </c>
      <c r="BE33" s="13">
        <f>BD33*VLOOKUP('Données projet'!$B$11,Paramètres!$A$1:$I$89,3,0)*VLOOKUP('Données projet'!$B$11,Paramètres!$A$1:$I$89,5,0)</f>
        <v>105.51260571428575</v>
      </c>
      <c r="BF33" s="13">
        <f t="shared" si="37"/>
        <v>28.271170326518615</v>
      </c>
      <c r="BG33" s="20">
        <f t="shared" si="7"/>
        <v>233.00674327106756</v>
      </c>
      <c r="BH33" s="59">
        <f t="shared" si="8"/>
        <v>472.11416820410955</v>
      </c>
      <c r="BI33" s="59">
        <f ca="1">AVERAGE(OFFSET($BH$3,0,0,'Données projet'!$E$11+1,1))-AVERAGE(OFFSET($H$3,0,0,'Données projet'!$E$11+1,1))</f>
        <v>627.65081154031589</v>
      </c>
      <c r="BJ33" s="59">
        <f t="shared" si="38"/>
        <v>288.78083487077618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3.887142857142857</v>
      </c>
      <c r="BY33" s="12">
        <f>IF('Données projet'!$A$114&gt;35,BY32+BX33-CG32,IF(A33&lt;'Données projet'!$A$114,$BV$205^A33,IF(A33='Données projet'!$A$114,'Données projet'!$B$114,BY32+BX33-CG32)))</f>
        <v>116.61428571428576</v>
      </c>
      <c r="BZ33" s="13">
        <f>BY33*VLOOKUP('Données projet'!$B$12,Paramètres!$A$1:$I$89,3,0)*VLOOKUP('Données projet'!$B$12,Paramètres!$A$1:$I$89,5,0)</f>
        <v>118.24688571428577</v>
      </c>
      <c r="CA33" s="13">
        <f t="shared" si="39"/>
        <v>31.265764612722538</v>
      </c>
      <c r="CB33" s="20">
        <f t="shared" si="10"/>
        <v>260.40119931953944</v>
      </c>
      <c r="CC33" s="59">
        <f t="shared" si="11"/>
        <v>499.5086242525814</v>
      </c>
      <c r="CD33" s="59">
        <f ca="1">AVERAGE(OFFSET($CC$3,0,0,'Données projet'!$E$12+1,1))-AVERAGE(OFFSET($H$3,0,0,'Données projet'!$E$12+1,1))</f>
        <v>692.2706942067415</v>
      </c>
      <c r="CE33" s="59">
        <f t="shared" si="40"/>
        <v>316.17529091924803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3.887142857142857</v>
      </c>
      <c r="CT33" s="12">
        <f>IF('Données projet'!$A$140&gt;35,CT32+CS33-DB32,IF(A33&lt;'Données projet'!$A$140,$CQ$205^A33,IF(A33='Données projet'!$A$140,'Données projet'!$B$140,CT32+CS33-DB32)))</f>
        <v>116.61428571428576</v>
      </c>
      <c r="CU33" s="17">
        <f>CT33*VLOOKUP('Données projet'!$B$13,Paramètres!$A$1:$I$89,3,0)*VLOOKUP('Données projet'!$B$13,Paramètres!$A$1:$I$89,5,0)</f>
        <v>132.80034857142863</v>
      </c>
      <c r="CV33" s="13">
        <f t="shared" si="41"/>
        <v>34.64263285828595</v>
      </c>
      <c r="CW33" s="20">
        <f t="shared" si="13"/>
        <v>291.62985932341957</v>
      </c>
      <c r="CX33" s="59">
        <f t="shared" si="14"/>
        <v>530.73728425646152</v>
      </c>
      <c r="CY33" s="59">
        <f ca="1">AVERAGE(OFFSET($CX$3,0,0,'Données projet'!$E$13+1,1))-AVERAGE(OFFSET($H$3,0,0,'Données projet'!$E$13+1,1))</f>
        <v>765.9523557587147</v>
      </c>
      <c r="CZ33" s="59">
        <f t="shared" si="42"/>
        <v>347.40395092312815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86.538461538461533</v>
      </c>
      <c r="DM33" s="12">
        <f>VLOOKUP(A33,'Données projet'!$A$165:$I$185,9,0)</f>
        <v>5.7692307692307692</v>
      </c>
      <c r="DN33" s="12">
        <f t="array" ref="DN33">INDEX(DM:DM,MIN(IF(ISNUMBER(DM33:DM229),ROW(DM33:DM229),"")))</f>
        <v>5.7692307692307692</v>
      </c>
      <c r="DO33" s="12">
        <f>IF('Données projet'!$A$166&gt;35,DO32+DN33-DW32,IF(A33&lt;'Données projet'!$A$166,$DL$205^A33,IF(A33='Données projet'!$A$166,'Données projet'!$B$166,DO32+DN33-DW32)))</f>
        <v>86.538461538461547</v>
      </c>
      <c r="DP33" s="17">
        <f>DO33*VLOOKUP('Données projet'!$B$14,Paramètres!$A$1:$I$89,3,0)*VLOOKUP('Données projet'!$B$14,Paramètres!$A$1:$I$89,5,0)</f>
        <v>75.600000000000023</v>
      </c>
      <c r="DQ33" s="13">
        <f t="shared" si="43"/>
        <v>21.057844937632133</v>
      </c>
      <c r="DR33" s="20">
        <f t="shared" si="16"/>
        <v>168.34574659970932</v>
      </c>
      <c r="DS33" s="59">
        <f t="shared" si="17"/>
        <v>407.4531715327513</v>
      </c>
      <c r="DT33" s="59">
        <f ca="1">AVERAGE(OFFSET($DS$3,0,0,'Données projet'!$E$14+1,1))-AVERAGE(OFFSET($H$3,0,0,'Données projet'!$E$14+1,1))</f>
        <v>253.82888243490106</v>
      </c>
      <c r="DU33" s="59">
        <f t="shared" si="44"/>
        <v>224.11983819941796</v>
      </c>
      <c r="DV33" s="15">
        <f>IF(ISNA(VLOOKUP(A33,'Données projet'!$A$165:$I$185,3,0)),0,VLOOKUP(A33,'Données projet'!$A$165:$I$185,3,0))</f>
        <v>5</v>
      </c>
      <c r="DW33" s="15">
        <f>IF(ISNA(VLOOKUP(A33,'Données projet'!$A$165:$I$185,4,0)),0,VLOOKUP(A33,'Données projet'!$A$165:$I$185,4,0))</f>
        <v>15.384615384615383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0.215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9.9556680634584609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9.9556680634584609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9.9228571428571435</v>
      </c>
      <c r="N34" s="13">
        <f>IF('Données projet'!$A$36&gt;35,N33+M34-V33,IF(A34&lt;'Données projet'!$A$36,$K$205^A34,IF(A34='Données projet'!$A$36,'Données projet'!$B$36,N33+M34-V33)))</f>
        <v>307.60857142857139</v>
      </c>
      <c r="O34" s="13">
        <f>N34*VLOOKUP('Données projet'!$B$9,Paramètres!$A$1:$I$89,3,0)*VLOOKUP('Données projet'!$B$9,Paramètres!$A$1:$I$89,5,0)</f>
        <v>143.96081142857142</v>
      </c>
      <c r="P34" s="13">
        <f t="shared" si="33"/>
        <v>37.202893233556154</v>
      </c>
      <c r="Q34" s="20">
        <f t="shared" si="2"/>
        <v>315.52678561987216</v>
      </c>
      <c r="R34" s="59">
        <f t="shared" si="0"/>
        <v>555.57490883268974</v>
      </c>
      <c r="S34" s="59">
        <f ca="1">AVERAGE(OFFSET($R$3,0,0,'Données projet'!$E$9+1,1))-AVERAGE(OFFSET($H$3,0,0,'Données projet'!$E$9+1,1))</f>
        <v>387.50901594883317</v>
      </c>
      <c r="T34" s="59">
        <f t="shared" si="34"/>
        <v>361.3623790401972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16.614999999999998</v>
      </c>
      <c r="AI34" s="13">
        <f>IF('Données projet'!$A$62&gt;35,AI33+AH34-AQ33,IF(A34&lt;'Données projet'!$A$62,$AF$205^A34,IF(A34='Données projet'!$A$62,'Données projet'!$B$62,AI33+AH34-AQ33)))</f>
        <v>184.11</v>
      </c>
      <c r="AJ34" s="13">
        <f>AI34*VLOOKUP('Données projet'!$B$10,Paramètres!$A$1:$I$89,3,0)*VLOOKUP('Données projet'!$B$10,Paramètres!$A$1:$I$89,5,0)</f>
        <v>110.09778000000001</v>
      </c>
      <c r="AK34" s="13">
        <f t="shared" si="35"/>
        <v>29.354021111763256</v>
      </c>
      <c r="AL34" s="20">
        <f t="shared" si="4"/>
        <v>242.87855360298769</v>
      </c>
      <c r="AM34" s="59">
        <f t="shared" si="5"/>
        <v>482.92667681580525</v>
      </c>
      <c r="AN34" s="59">
        <f ca="1">AVERAGE(OFFSET($AM$3,0,0,'Données projet'!$E$10+1,1))-AVERAGE(OFFSET($H$3,0,0,'Données projet'!$E$10+1,1))</f>
        <v>373.47758082856359</v>
      </c>
      <c r="AO34" s="59">
        <f t="shared" si="36"/>
        <v>277.24895424120166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2.8134121678435156</v>
      </c>
      <c r="AV34" s="21">
        <f>EXP(-LN(2)/25)*AV33+(1-EXP(-LN(2)/25))/(LN(2)/25)*Calculateur!AQ34*Calculateur!AS34*VLOOKUP('Données projet'!$B$10,Paramètres!$A$1:$I$89,3,0)*0.475*44/12</f>
        <v>21.25010935964794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24.063521527491456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3.887142857142857</v>
      </c>
      <c r="BD34" s="12">
        <f>IF('Données projet'!$A$88&gt;35,BD33+BC34-BL33,IF(A34&lt;'Données projet'!$A$88,$BA$205^A34,IF(A34='Données projet'!$A$88,'Données projet'!$B$88,BD33+BC34-BL33)))</f>
        <v>120.50142857142862</v>
      </c>
      <c r="BE34" s="13">
        <f>BD34*VLOOKUP('Données projet'!$B$11,Paramètres!$A$1:$I$89,3,0)*VLOOKUP('Données projet'!$B$11,Paramètres!$A$1:$I$89,5,0)</f>
        <v>109.02969257142863</v>
      </c>
      <c r="BF34" s="13">
        <f t="shared" si="37"/>
        <v>29.102254822181546</v>
      </c>
      <c r="BG34" s="20">
        <f t="shared" si="7"/>
        <v>240.57980837720436</v>
      </c>
      <c r="BH34" s="59">
        <f t="shared" si="8"/>
        <v>480.62793159002194</v>
      </c>
      <c r="BI34" s="59">
        <f ca="1">AVERAGE(OFFSET($BH$3,0,0,'Données projet'!$E$11+1,1))-AVERAGE(OFFSET($H$3,0,0,'Données projet'!$E$11+1,1))</f>
        <v>627.65081154031589</v>
      </c>
      <c r="BJ34" s="59">
        <f t="shared" si="38"/>
        <v>288.78083487077618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3.887142857142857</v>
      </c>
      <c r="BY34" s="12">
        <f>IF('Données projet'!$A$114&gt;35,BY33+BX34-CG33,IF(A34&lt;'Données projet'!$A$114,$BV$205^A34,IF(A34='Données projet'!$A$114,'Données projet'!$B$114,BY33+BX34-CG33)))</f>
        <v>120.50142857142862</v>
      </c>
      <c r="BZ34" s="13">
        <f>BY34*VLOOKUP('Données projet'!$B$12,Paramètres!$A$1:$I$89,3,0)*VLOOKUP('Données projet'!$B$12,Paramètres!$A$1:$I$89,5,0)</f>
        <v>122.18844857142862</v>
      </c>
      <c r="CA34" s="13">
        <f t="shared" si="39"/>
        <v>32.184880868419519</v>
      </c>
      <c r="CB34" s="20">
        <f t="shared" si="10"/>
        <v>268.86688210773553</v>
      </c>
      <c r="CC34" s="59">
        <f t="shared" si="11"/>
        <v>508.91500532055306</v>
      </c>
      <c r="CD34" s="59">
        <f ca="1">AVERAGE(OFFSET($CC$3,0,0,'Données projet'!$E$12+1,1))-AVERAGE(OFFSET($H$3,0,0,'Données projet'!$E$12+1,1))</f>
        <v>692.2706942067415</v>
      </c>
      <c r="CE34" s="59">
        <f t="shared" si="40"/>
        <v>316.17529091924803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3.887142857142857</v>
      </c>
      <c r="CT34" s="12">
        <f>IF('Données projet'!$A$140&gt;35,CT33+CS34-DB33,IF(A34&lt;'Données projet'!$A$140,$CQ$205^A34,IF(A34='Données projet'!$A$140,'Données projet'!$B$140,CT33+CS34-DB33)))</f>
        <v>120.50142857142862</v>
      </c>
      <c r="CU34" s="17">
        <f>CT34*VLOOKUP('Données projet'!$B$13,Paramètres!$A$1:$I$89,3,0)*VLOOKUP('Données projet'!$B$13,Paramètres!$A$1:$I$89,5,0)</f>
        <v>137.22702685714293</v>
      </c>
      <c r="CV34" s="13">
        <f t="shared" si="41"/>
        <v>35.661018539704294</v>
      </c>
      <c r="CW34" s="20">
        <f t="shared" si="13"/>
        <v>301.11334573284222</v>
      </c>
      <c r="CX34" s="59">
        <f t="shared" si="14"/>
        <v>541.16146894565975</v>
      </c>
      <c r="CY34" s="59">
        <f ca="1">AVERAGE(OFFSET($CX$3,0,0,'Données projet'!$E$13+1,1))-AVERAGE(OFFSET($H$3,0,0,'Données projet'!$E$13+1,1))</f>
        <v>765.9523557587147</v>
      </c>
      <c r="CZ34" s="59">
        <f t="shared" si="42"/>
        <v>347.40395092312815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5.3846153846153868</v>
      </c>
      <c r="DO34" s="12">
        <f>IF('Données projet'!$A$166&gt;35,DO33+DN34-DW33,IF(A34&lt;'Données projet'!$A$166,$DL$205^A34,IF(A34='Données projet'!$A$166,'Données projet'!$B$166,DO33+DN34-DW33)))</f>
        <v>76.538461538461547</v>
      </c>
      <c r="DP34" s="17">
        <f>DO34*VLOOKUP('Données projet'!$B$14,Paramètres!$A$1:$I$89,3,0)*VLOOKUP('Données projet'!$B$14,Paramètres!$A$1:$I$89,5,0)</f>
        <v>66.864000000000019</v>
      </c>
      <c r="DQ34" s="13">
        <f t="shared" si="43"/>
        <v>18.892613008635955</v>
      </c>
      <c r="DR34" s="20">
        <f t="shared" si="16"/>
        <v>149.35943432337433</v>
      </c>
      <c r="DS34" s="59">
        <f t="shared" si="17"/>
        <v>389.40755753619192</v>
      </c>
      <c r="DT34" s="59">
        <f ca="1">AVERAGE(OFFSET($DS$3,0,0,'Données projet'!$E$14+1,1))-AVERAGE(OFFSET($H$3,0,0,'Données projet'!$E$14+1,1))</f>
        <v>253.82888243490106</v>
      </c>
      <c r="DU34" s="59">
        <f t="shared" si="44"/>
        <v>224.11983819941796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9.683429796717359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9.683429796717359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9.9228571428571435</v>
      </c>
      <c r="N35" s="13">
        <f>IF('Données projet'!$A$36&gt;35,N34+M35-V34,IF(A35&lt;'Données projet'!$A$36,$K$205^A35,IF(A35='Données projet'!$A$36,'Données projet'!$B$36,N34+M35-V34)))</f>
        <v>317.53142857142853</v>
      </c>
      <c r="O35" s="13">
        <f>N35*VLOOKUP('Données projet'!$B$9,Paramètres!$A$1:$I$89,3,0)*VLOOKUP('Données projet'!$B$9,Paramètres!$A$1:$I$89,5,0)</f>
        <v>148.60470857142857</v>
      </c>
      <c r="P35" s="13">
        <f t="shared" si="33"/>
        <v>38.261328378466914</v>
      </c>
      <c r="Q35" s="20">
        <f t="shared" ref="Q35:Q66" si="53">(O35+P35)*0.475*44/12</f>
        <v>325.4583476877346</v>
      </c>
      <c r="R35" s="59">
        <f t="shared" si="0"/>
        <v>566.43085016825989</v>
      </c>
      <c r="S35" s="59">
        <f ca="1">AVERAGE(OFFSET($R$3,0,0,'Données projet'!$E$9+1,1))-AVERAGE(OFFSET($H$3,0,0,'Données projet'!$E$9+1,1))</f>
        <v>387.50901594883317</v>
      </c>
      <c r="T35" s="59">
        <f t="shared" si="34"/>
        <v>361.3623790401972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16.614999999999998</v>
      </c>
      <c r="AI35" s="13">
        <f>IF('Données projet'!$A$62&gt;35,AI34+AH35-AQ34,IF(A35&lt;'Données projet'!$A$62,$AF$205^A35,IF(A35='Données projet'!$A$62,'Données projet'!$B$62,AI34+AH35-AQ34)))</f>
        <v>200.72500000000002</v>
      </c>
      <c r="AJ35" s="13">
        <f>AI35*VLOOKUP('Données projet'!$B$10,Paramètres!$A$1:$I$89,3,0)*VLOOKUP('Données projet'!$B$10,Paramètres!$A$1:$I$89,5,0)</f>
        <v>120.03355000000002</v>
      </c>
      <c r="AK35" s="13">
        <f t="shared" si="35"/>
        <v>31.68282415335652</v>
      </c>
      <c r="AL35" s="20">
        <f t="shared" si="4"/>
        <v>264.23935165042923</v>
      </c>
      <c r="AM35" s="59">
        <f t="shared" si="5"/>
        <v>505.21185413095452</v>
      </c>
      <c r="AN35" s="59">
        <f ca="1">AVERAGE(OFFSET($AM$3,0,0,'Données projet'!$E$10+1,1))-AVERAGE(OFFSET($H$3,0,0,'Données projet'!$E$10+1,1))</f>
        <v>373.47758082856359</v>
      </c>
      <c r="AO35" s="59">
        <f t="shared" si="36"/>
        <v>277.24895424120166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2.7582428712440845</v>
      </c>
      <c r="AV35" s="21">
        <f>EXP(-LN(2)/25)*AV34+(1-EXP(-LN(2)/25))/(LN(2)/25)*Calculateur!AQ35*Calculateur!AS35*VLOOKUP('Données projet'!$B$10,Paramètres!$A$1:$I$89,3,0)*0.475*44/12</f>
        <v>20.669024001713684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23.42726687295777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3.887142857142857</v>
      </c>
      <c r="BD35" s="12">
        <f>IF('Données projet'!$A$88&gt;35,BD34+BC35-BL34,IF(A35&lt;'Données projet'!$A$88,$BA$205^A35,IF(A35='Données projet'!$A$88,'Données projet'!$B$88,BD34+BC35-BL34)))</f>
        <v>124.38857142857148</v>
      </c>
      <c r="BE35" s="13">
        <f>BD35*VLOOKUP('Données projet'!$B$11,Paramètres!$A$1:$I$89,3,0)*VLOOKUP('Données projet'!$B$11,Paramètres!$A$1:$I$89,5,0)</f>
        <v>112.54677942857147</v>
      </c>
      <c r="BF35" s="13">
        <f t="shared" si="37"/>
        <v>29.930224010130704</v>
      </c>
      <c r="BG35" s="20">
        <f t="shared" si="7"/>
        <v>248.14744765573963</v>
      </c>
      <c r="BH35" s="59">
        <f t="shared" si="8"/>
        <v>489.11995013626495</v>
      </c>
      <c r="BI35" s="59">
        <f ca="1">AVERAGE(OFFSET($BH$3,0,0,'Données projet'!$E$11+1,1))-AVERAGE(OFFSET($H$3,0,0,'Données projet'!$E$11+1,1))</f>
        <v>627.65081154031589</v>
      </c>
      <c r="BJ35" s="59">
        <f t="shared" si="38"/>
        <v>288.78083487077618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3.887142857142857</v>
      </c>
      <c r="BY35" s="12">
        <f>IF('Données projet'!$A$114&gt;35,BY34+BX35-CG34,IF(A35&lt;'Données projet'!$A$114,$BV$205^A35,IF(A35='Données projet'!$A$114,'Données projet'!$B$114,BY34+BX35-CG34)))</f>
        <v>124.38857142857148</v>
      </c>
      <c r="BZ35" s="13">
        <f>BY35*VLOOKUP('Données projet'!$B$12,Paramètres!$A$1:$I$89,3,0)*VLOOKUP('Données projet'!$B$12,Paramètres!$A$1:$I$89,5,0)</f>
        <v>126.13001142857149</v>
      </c>
      <c r="CA35" s="13">
        <f t="shared" si="39"/>
        <v>33.100551830676153</v>
      </c>
      <c r="CB35" s="20">
        <f t="shared" si="10"/>
        <v>277.32656434318966</v>
      </c>
      <c r="CC35" s="59">
        <f t="shared" si="11"/>
        <v>518.29906682371495</v>
      </c>
      <c r="CD35" s="59">
        <f ca="1">AVERAGE(OFFSET($CC$3,0,0,'Données projet'!$E$12+1,1))-AVERAGE(OFFSET($H$3,0,0,'Données projet'!$E$12+1,1))</f>
        <v>692.2706942067415</v>
      </c>
      <c r="CE35" s="59">
        <f t="shared" si="40"/>
        <v>316.17529091924803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3.887142857142857</v>
      </c>
      <c r="CT35" s="12">
        <f>IF('Données projet'!$A$140&gt;35,CT34+CS35-DB34,IF(A35&lt;'Données projet'!$A$140,$CQ$205^A35,IF(A35='Données projet'!$A$140,'Données projet'!$B$140,CT34+CS35-DB34)))</f>
        <v>124.38857142857148</v>
      </c>
      <c r="CU35" s="17">
        <f>CT35*VLOOKUP('Données projet'!$B$13,Paramètres!$A$1:$I$89,3,0)*VLOOKUP('Données projet'!$B$13,Paramètres!$A$1:$I$89,5,0)</f>
        <v>141.65370514285721</v>
      </c>
      <c r="CV35" s="13">
        <f t="shared" si="41"/>
        <v>36.675586817735244</v>
      </c>
      <c r="CW35" s="20">
        <f t="shared" si="13"/>
        <v>310.59018349803188</v>
      </c>
      <c r="CX35" s="59">
        <f t="shared" si="14"/>
        <v>551.56268597855717</v>
      </c>
      <c r="CY35" s="59">
        <f ca="1">AVERAGE(OFFSET($CX$3,0,0,'Données projet'!$E$13+1,1))-AVERAGE(OFFSET($H$3,0,0,'Données projet'!$E$13+1,1))</f>
        <v>765.9523557587147</v>
      </c>
      <c r="CZ35" s="59">
        <f t="shared" si="42"/>
        <v>347.40395092312815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5.3846153846153868</v>
      </c>
      <c r="DO35" s="12">
        <f>IF('Données projet'!$A$166&gt;35,DO34+DN35-DW34,IF(A35&lt;'Données projet'!$A$166,$DL$205^A35,IF(A35='Données projet'!$A$166,'Données projet'!$B$166,DO34+DN35-DW34)))</f>
        <v>81.923076923076934</v>
      </c>
      <c r="DP35" s="17">
        <f>DO35*VLOOKUP('Données projet'!$B$14,Paramètres!$A$1:$I$89,3,0)*VLOOKUP('Données projet'!$B$14,Paramètres!$A$1:$I$89,5,0)</f>
        <v>71.568000000000012</v>
      </c>
      <c r="DQ35" s="13">
        <f t="shared" si="43"/>
        <v>20.062343777240784</v>
      </c>
      <c r="DR35" s="20">
        <f t="shared" si="16"/>
        <v>159.58951541202774</v>
      </c>
      <c r="DS35" s="59">
        <f t="shared" si="17"/>
        <v>400.56201789255306</v>
      </c>
      <c r="DT35" s="59">
        <f ca="1">AVERAGE(OFFSET($DS$3,0,0,'Données projet'!$E$14+1,1))-AVERAGE(OFFSET($H$3,0,0,'Données projet'!$E$14+1,1))</f>
        <v>253.82888243490106</v>
      </c>
      <c r="DU35" s="59">
        <f t="shared" si="44"/>
        <v>224.11983819941796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9.4186358996966817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9.4186358996966817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9.9228571428571435</v>
      </c>
      <c r="N36" s="13">
        <f>IF('Données projet'!$A$36&gt;35,N35+M36-V35,IF(A36&lt;'Données projet'!$A$36,$K$205^A36,IF(A36='Données projet'!$A$36,'Données projet'!$B$36,N35+M36-V35)))</f>
        <v>327.45428571428567</v>
      </c>
      <c r="O36" s="13">
        <f>N36*VLOOKUP('Données projet'!$B$9,Paramètres!$A$1:$I$89,3,0)*VLOOKUP('Données projet'!$B$9,Paramètres!$A$1:$I$89,5,0)</f>
        <v>153.2486057142857</v>
      </c>
      <c r="P36" s="13">
        <f t="shared" si="33"/>
        <v>39.315919798378474</v>
      </c>
      <c r="Q36" s="20">
        <f t="shared" si="53"/>
        <v>335.38321526789008</v>
      </c>
      <c r="R36" s="59">
        <f t="shared" si="0"/>
        <v>577.26406110243079</v>
      </c>
      <c r="S36" s="59">
        <f ca="1">AVERAGE(OFFSET($R$3,0,0,'Données projet'!$E$9+1,1))-AVERAGE(OFFSET($H$3,0,0,'Données projet'!$E$9+1,1))</f>
        <v>387.50901594883317</v>
      </c>
      <c r="T36" s="59">
        <f t="shared" si="34"/>
        <v>361.3623790401972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>
        <f>VLOOKUP(A36,'Données projet'!$A$61:$I$81,2,0)</f>
        <v>217.34</v>
      </c>
      <c r="AG36" s="12">
        <f>VLOOKUP(A36,'Données projet'!$A$61:$I$81,9,0)</f>
        <v>16.614999999999998</v>
      </c>
      <c r="AH36" s="12">
        <f t="array" ref="AH36">INDEX(AG:AG,MIN(IF(ISNUMBER(AG36:AG232),ROW(AG36:AG232),"")))</f>
        <v>16.614999999999998</v>
      </c>
      <c r="AI36" s="13">
        <f>IF('Données projet'!$A$62&gt;35,AI35+AH36-AQ35,IF(A36&lt;'Données projet'!$A$62,$AF$205^A36,IF(A36='Données projet'!$A$62,'Données projet'!$B$62,AI35+AH36-AQ35)))</f>
        <v>217.34000000000003</v>
      </c>
      <c r="AJ36" s="13">
        <f>AI36*VLOOKUP('Données projet'!$B$10,Paramètres!$A$1:$I$89,3,0)*VLOOKUP('Données projet'!$B$10,Paramètres!$A$1:$I$89,5,0)</f>
        <v>129.96932000000001</v>
      </c>
      <c r="AK36" s="13">
        <f t="shared" si="35"/>
        <v>33.989269987755954</v>
      </c>
      <c r="AL36" s="20">
        <f t="shared" si="4"/>
        <v>285.56121089534162</v>
      </c>
      <c r="AM36" s="59">
        <f t="shared" si="5"/>
        <v>527.44205672988232</v>
      </c>
      <c r="AN36" s="59">
        <f ca="1">AVERAGE(OFFSET($AM$3,0,0,'Données projet'!$E$10+1,1))-AVERAGE(OFFSET($H$3,0,0,'Données projet'!$E$10+1,1))</f>
        <v>373.47758082856359</v>
      </c>
      <c r="AO36" s="59">
        <f t="shared" si="36"/>
        <v>277.24895424120166</v>
      </c>
      <c r="AP36" s="15">
        <f>IF(ISNA(VLOOKUP(A36,'Données projet'!$A$61:$I$81,3,0)),0,VLOOKUP(A36,'Données projet'!$A$61:$I$81,3,0))</f>
        <v>3</v>
      </c>
      <c r="AQ36" s="15">
        <f>IF(ISNA(VLOOKUP(A36,'Données projet'!$A$61:$I$81,4,0)),0,VLOOKUP(A36,'Données projet'!$A$61:$I$81,4,0))</f>
        <v>50.41</v>
      </c>
      <c r="AR36" s="16">
        <f>IF(ISNA(VLOOKUP(A36,'Données projet'!$A$61:$I$81,5,0)),0%,VLOOKUP(A36,'Données projet'!$A$61:$I$81,5,0)*VLOOKUP('Données projet'!$B$10,Paramètres!$A$1:$I$89,7,0))</f>
        <v>0.13500000000000001</v>
      </c>
      <c r="AS36" s="16">
        <f>IF(ISNA(VLOOKUP(A36,'Données projet'!$A$61:$I$81,6,0)),0%,VLOOKUP(A36,'Données projet'!$A$61:$I$81,6,0)*VLOOKUP('Données projet'!$B$10,Paramètres!$A$1:$I$89,7,0))</f>
        <v>0.22500000000000001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8.1027411901626536</v>
      </c>
      <c r="AV36" s="21">
        <f>EXP(-LN(2)/25)*AV35+(1-EXP(-LN(2)/25))/(LN(2)/25)*Calculateur!AQ36*Calculateur!AS36*VLOOKUP('Données projet'!$B$10,Paramètres!$A$1:$I$89,3,0)*0.475*44/12</f>
        <v>29.066044270160475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37.168785460323129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3.887142857142857</v>
      </c>
      <c r="BD36" s="12">
        <f>IF('Données projet'!$A$88&gt;35,BD35+BC36-BL35,IF(A36&lt;'Données projet'!$A$88,$BA$205^A36,IF(A36='Données projet'!$A$88,'Données projet'!$B$88,BD35+BC36-BL35)))</f>
        <v>128.27571428571434</v>
      </c>
      <c r="BE36" s="13">
        <f>BD36*VLOOKUP('Données projet'!$B$11,Paramètres!$A$1:$I$89,3,0)*VLOOKUP('Données projet'!$B$11,Paramètres!$A$1:$I$89,5,0)</f>
        <v>116.06386628571434</v>
      </c>
      <c r="BF36" s="13">
        <f t="shared" si="37"/>
        <v>30.755186414072718</v>
      </c>
      <c r="BG36" s="20">
        <f t="shared" si="7"/>
        <v>255.70985011879577</v>
      </c>
      <c r="BH36" s="59">
        <f t="shared" si="8"/>
        <v>497.59069595333654</v>
      </c>
      <c r="BI36" s="59">
        <f ca="1">AVERAGE(OFFSET($BH$3,0,0,'Données projet'!$E$11+1,1))-AVERAGE(OFFSET($H$3,0,0,'Données projet'!$E$11+1,1))</f>
        <v>627.65081154031589</v>
      </c>
      <c r="BJ36" s="59">
        <f t="shared" si="38"/>
        <v>288.78083487077618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3.887142857142857</v>
      </c>
      <c r="BY36" s="12">
        <f>IF('Données projet'!$A$114&gt;35,BY35+BX36-CG35,IF(A36&lt;'Données projet'!$A$114,$BV$205^A36,IF(A36='Données projet'!$A$114,'Données projet'!$B$114,BY35+BX36-CG35)))</f>
        <v>128.27571428571434</v>
      </c>
      <c r="BZ36" s="13">
        <f>BY36*VLOOKUP('Données projet'!$B$12,Paramètres!$A$1:$I$89,3,0)*VLOOKUP('Données projet'!$B$12,Paramètres!$A$1:$I$89,5,0)</f>
        <v>130.07157428571435</v>
      </c>
      <c r="CA36" s="13">
        <f t="shared" si="39"/>
        <v>34.012897518459816</v>
      </c>
      <c r="CB36" s="20">
        <f t="shared" si="10"/>
        <v>285.78045505893664</v>
      </c>
      <c r="CC36" s="59">
        <f t="shared" si="11"/>
        <v>527.66130089347735</v>
      </c>
      <c r="CD36" s="59">
        <f ca="1">AVERAGE(OFFSET($CC$3,0,0,'Données projet'!$E$12+1,1))-AVERAGE(OFFSET($H$3,0,0,'Données projet'!$E$12+1,1))</f>
        <v>692.2706942067415</v>
      </c>
      <c r="CE36" s="59">
        <f t="shared" si="40"/>
        <v>316.17529091924803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3.887142857142857</v>
      </c>
      <c r="CT36" s="12">
        <f>IF('Données projet'!$A$140&gt;35,CT35+CS36-DB35,IF(A36&lt;'Données projet'!$A$140,$CQ$205^A36,IF(A36='Données projet'!$A$140,'Données projet'!$B$140,CT35+CS36-DB35)))</f>
        <v>128.27571428571434</v>
      </c>
      <c r="CU36" s="17">
        <f>CT36*VLOOKUP('Données projet'!$B$13,Paramètres!$A$1:$I$89,3,0)*VLOOKUP('Données projet'!$B$13,Paramètres!$A$1:$I$89,5,0)</f>
        <v>146.08038342857151</v>
      </c>
      <c r="CV36" s="13">
        <f t="shared" si="41"/>
        <v>37.686470674030502</v>
      </c>
      <c r="CW36" s="20">
        <f t="shared" si="13"/>
        <v>320.06060422869842</v>
      </c>
      <c r="CX36" s="59">
        <f t="shared" si="14"/>
        <v>561.94145006323913</v>
      </c>
      <c r="CY36" s="59">
        <f ca="1">AVERAGE(OFFSET($CX$3,0,0,'Données projet'!$E$13+1,1))-AVERAGE(OFFSET($H$3,0,0,'Données projet'!$E$13+1,1))</f>
        <v>765.9523557587147</v>
      </c>
      <c r="CZ36" s="59">
        <f t="shared" si="42"/>
        <v>347.40395092312815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5.3846153846153868</v>
      </c>
      <c r="DO36" s="12">
        <f>IF('Données projet'!$A$166&gt;35,DO35+DN36-DW35,IF(A36&lt;'Données projet'!$A$166,$DL$205^A36,IF(A36='Données projet'!$A$166,'Données projet'!$B$166,DO35+DN36-DW35)))</f>
        <v>87.307692307692321</v>
      </c>
      <c r="DP36" s="17">
        <f>DO36*VLOOKUP('Données projet'!$B$14,Paramètres!$A$1:$I$89,3,0)*VLOOKUP('Données projet'!$B$14,Paramètres!$A$1:$I$89,5,0)</f>
        <v>76.27200000000002</v>
      </c>
      <c r="DQ36" s="13">
        <f t="shared" si="43"/>
        <v>21.223152649691638</v>
      </c>
      <c r="DR36" s="20">
        <f t="shared" si="16"/>
        <v>169.80405753154631</v>
      </c>
      <c r="DS36" s="59">
        <f t="shared" si="17"/>
        <v>411.68490336608704</v>
      </c>
      <c r="DT36" s="59">
        <f ca="1">AVERAGE(OFFSET($DS$3,0,0,'Données projet'!$E$14+1,1))-AVERAGE(OFFSET($H$3,0,0,'Données projet'!$E$14+1,1))</f>
        <v>253.82888243490106</v>
      </c>
      <c r="DU36" s="59">
        <f t="shared" si="44"/>
        <v>224.11983819941796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9.1610828057149405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9.1610828057149405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9.9228571428571435</v>
      </c>
      <c r="N37" s="13">
        <f>IF('Données projet'!$A$36&gt;35,N36+M37-V36,IF(A37&lt;'Données projet'!$A$36,$K$205^A37,IF(A37='Données projet'!$A$36,'Données projet'!$B$36,N36+M37-V36)))</f>
        <v>337.37714285714281</v>
      </c>
      <c r="O37" s="13">
        <f>N37*VLOOKUP('Données projet'!$B$9,Paramètres!$A$1:$I$89,3,0)*VLOOKUP('Données projet'!$B$9,Paramètres!$A$1:$I$89,5,0)</f>
        <v>157.89250285714283</v>
      </c>
      <c r="P37" s="13">
        <f t="shared" si="33"/>
        <v>40.366797338912775</v>
      </c>
      <c r="Q37" s="20">
        <f t="shared" si="53"/>
        <v>345.30161450813017</v>
      </c>
      <c r="R37" s="59">
        <f t="shared" si="0"/>
        <v>588.07504597024581</v>
      </c>
      <c r="S37" s="59">
        <f ca="1">AVERAGE(OFFSET($R$3,0,0,'Données projet'!$E$9+1,1))-AVERAGE(OFFSET($H$3,0,0,'Données projet'!$E$9+1,1))</f>
        <v>387.50901594883317</v>
      </c>
      <c r="T37" s="59">
        <f t="shared" si="34"/>
        <v>361.3623790401972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16.701250000000002</v>
      </c>
      <c r="AI37" s="13">
        <f>IF('Données projet'!$A$62&gt;35,AI36+AH37-AQ36,IF(A37&lt;'Données projet'!$A$62,$AF$205^A37,IF(A37='Données projet'!$A$62,'Données projet'!$B$62,AI36+AH37-AQ36)))</f>
        <v>183.63125000000005</v>
      </c>
      <c r="AJ37" s="13">
        <f>AI37*VLOOKUP('Données projet'!$B$10,Paramètres!$A$1:$I$89,3,0)*VLOOKUP('Données projet'!$B$10,Paramètres!$A$1:$I$89,5,0)</f>
        <v>109.81148750000004</v>
      </c>
      <c r="AK37" s="13">
        <f t="shared" si="35"/>
        <v>29.286565124423376</v>
      </c>
      <c r="AL37" s="20">
        <f t="shared" si="4"/>
        <v>242.26244165420408</v>
      </c>
      <c r="AM37" s="59">
        <f t="shared" si="5"/>
        <v>485.03587311631964</v>
      </c>
      <c r="AN37" s="59">
        <f ca="1">AVERAGE(OFFSET($AM$3,0,0,'Données projet'!$E$10+1,1))-AVERAGE(OFFSET($H$3,0,0,'Données projet'!$E$10+1,1))</f>
        <v>373.47758082856359</v>
      </c>
      <c r="AO37" s="59">
        <f t="shared" si="36"/>
        <v>277.24895424120166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7.9438513776076896</v>
      </c>
      <c r="AV37" s="21">
        <f>EXP(-LN(2)/25)*AV36+(1-EXP(-LN(2)/25))/(LN(2)/25)*Calculateur!AQ37*Calculateur!AS37*VLOOKUP('Données projet'!$B$10,Paramètres!$A$1:$I$89,3,0)*0.475*44/12</f>
        <v>28.271231761076098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36.215083138683788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3.887142857142857</v>
      </c>
      <c r="BD37" s="12">
        <f>IF('Données projet'!$A$88&gt;35,BD36+BC37-BL36,IF(A37&lt;'Données projet'!$A$88,$BA$205^A37,IF(A37='Données projet'!$A$88,'Données projet'!$B$88,BD36+BC37-BL36)))</f>
        <v>132.16285714285721</v>
      </c>
      <c r="BE37" s="13">
        <f>BD37*VLOOKUP('Données projet'!$B$11,Paramètres!$A$1:$I$89,3,0)*VLOOKUP('Données projet'!$B$11,Paramètres!$A$1:$I$89,5,0)</f>
        <v>119.58095314285718</v>
      </c>
      <c r="BF37" s="13">
        <f t="shared" si="37"/>
        <v>31.577243606763055</v>
      </c>
      <c r="BG37" s="20">
        <f t="shared" si="7"/>
        <v>263.26719267225525</v>
      </c>
      <c r="BH37" s="59">
        <f t="shared" si="8"/>
        <v>506.04062413437083</v>
      </c>
      <c r="BI37" s="59">
        <f ca="1">AVERAGE(OFFSET($BH$3,0,0,'Données projet'!$E$11+1,1))-AVERAGE(OFFSET($H$3,0,0,'Données projet'!$E$11+1,1))</f>
        <v>627.65081154031589</v>
      </c>
      <c r="BJ37" s="59">
        <f t="shared" si="38"/>
        <v>288.78083487077618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3.887142857142857</v>
      </c>
      <c r="BY37" s="12">
        <f>IF('Données projet'!$A$114&gt;35,BY36+BX37-CG36,IF(A37&lt;'Données projet'!$A$114,$BV$205^A37,IF(A37='Données projet'!$A$114,'Données projet'!$B$114,BY36+BX37-CG36)))</f>
        <v>132.16285714285721</v>
      </c>
      <c r="BZ37" s="13">
        <f>BY37*VLOOKUP('Données projet'!$B$12,Paramètres!$A$1:$I$89,3,0)*VLOOKUP('Données projet'!$B$12,Paramètres!$A$1:$I$89,5,0)</f>
        <v>134.0131371428572</v>
      </c>
      <c r="CA37" s="13">
        <f t="shared" si="39"/>
        <v>34.92203026351433</v>
      </c>
      <c r="CB37" s="20">
        <f t="shared" si="10"/>
        <v>294.2287498994304</v>
      </c>
      <c r="CC37" s="59">
        <f t="shared" si="11"/>
        <v>537.00218136154604</v>
      </c>
      <c r="CD37" s="59">
        <f ca="1">AVERAGE(OFFSET($CC$3,0,0,'Données projet'!$E$12+1,1))-AVERAGE(OFFSET($H$3,0,0,'Données projet'!$E$12+1,1))</f>
        <v>692.2706942067415</v>
      </c>
      <c r="CE37" s="59">
        <f t="shared" si="40"/>
        <v>316.17529091924803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3.887142857142857</v>
      </c>
      <c r="CT37" s="12">
        <f>IF('Données projet'!$A$140&gt;35,CT36+CS37-DB36,IF(A37&lt;'Données projet'!$A$140,$CQ$205^A37,IF(A37='Données projet'!$A$140,'Données projet'!$B$140,CT36+CS37-DB36)))</f>
        <v>132.16285714285721</v>
      </c>
      <c r="CU37" s="17">
        <f>CT37*VLOOKUP('Données projet'!$B$13,Paramètres!$A$1:$I$89,3,0)*VLOOKUP('Données projet'!$B$13,Paramètres!$A$1:$I$89,5,0)</f>
        <v>150.50706171428578</v>
      </c>
      <c r="CV37" s="13">
        <f t="shared" si="41"/>
        <v>38.693794572757533</v>
      </c>
      <c r="CW37" s="20">
        <f t="shared" si="13"/>
        <v>329.52482469993373</v>
      </c>
      <c r="CX37" s="59">
        <f t="shared" si="14"/>
        <v>572.29825616204926</v>
      </c>
      <c r="CY37" s="59">
        <f ca="1">AVERAGE(OFFSET($CX$3,0,0,'Données projet'!$E$13+1,1))-AVERAGE(OFFSET($H$3,0,0,'Données projet'!$E$13+1,1))</f>
        <v>765.9523557587147</v>
      </c>
      <c r="CZ37" s="59">
        <f t="shared" si="42"/>
        <v>347.40395092312815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5.3846153846153868</v>
      </c>
      <c r="DO37" s="12">
        <f>IF('Données projet'!$A$166&gt;35,DO36+DN37-DW36,IF(A37&lt;'Données projet'!$A$166,$DL$205^A37,IF(A37='Données projet'!$A$166,'Données projet'!$B$166,DO36+DN37-DW36)))</f>
        <v>92.692307692307708</v>
      </c>
      <c r="DP37" s="17">
        <f>DO37*VLOOKUP('Données projet'!$B$14,Paramètres!$A$1:$I$89,3,0)*VLOOKUP('Données projet'!$B$14,Paramètres!$A$1:$I$89,5,0)</f>
        <v>80.976000000000028</v>
      </c>
      <c r="DQ37" s="13">
        <f t="shared" si="43"/>
        <v>22.375652525067999</v>
      </c>
      <c r="DR37" s="20">
        <f t="shared" si="16"/>
        <v>180.0041281478268</v>
      </c>
      <c r="DS37" s="59">
        <f t="shared" si="17"/>
        <v>422.77755960994239</v>
      </c>
      <c r="DT37" s="59">
        <f ca="1">AVERAGE(OFFSET($DS$3,0,0,'Données projet'!$E$14+1,1))-AVERAGE(OFFSET($H$3,0,0,'Données projet'!$E$14+1,1))</f>
        <v>253.82888243490106</v>
      </c>
      <c r="DU37" s="59">
        <f t="shared" si="44"/>
        <v>224.11983819941796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8.9105725146322587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8.9105725146322587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9.9228571428571435</v>
      </c>
      <c r="N38" s="13">
        <f>IF('Données projet'!$A$36&gt;35,N37+M38-V37,IF(A38&lt;'Données projet'!$A$36,$K$205^A38,IF(A38='Données projet'!$A$36,'Données projet'!$B$36,N37+M38-V37)))</f>
        <v>347.29999999999995</v>
      </c>
      <c r="O38" s="13">
        <f>N38*VLOOKUP('Données projet'!$B$9,Paramètres!$A$1:$I$89,3,0)*VLOOKUP('Données projet'!$B$9,Paramètres!$A$1:$I$89,5,0)</f>
        <v>162.53639999999999</v>
      </c>
      <c r="P38" s="13">
        <f t="shared" si="33"/>
        <v>41.414082773478739</v>
      </c>
      <c r="Q38" s="20">
        <f t="shared" si="53"/>
        <v>355.21375749714207</v>
      </c>
      <c r="R38" s="59">
        <f t="shared" si="0"/>
        <v>598.8642902217166</v>
      </c>
      <c r="S38" s="59">
        <f ca="1">AVERAGE(OFFSET($R$3,0,0,'Données projet'!$E$9+1,1))-AVERAGE(OFFSET($H$3,0,0,'Données projet'!$E$9+1,1))</f>
        <v>387.50901594883317</v>
      </c>
      <c r="T38" s="59">
        <f t="shared" si="34"/>
        <v>361.3623790401972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16.701250000000002</v>
      </c>
      <c r="AI38" s="13">
        <f>IF('Données projet'!$A$62&gt;35,AI37+AH38-AQ37,IF(A38&lt;'Données projet'!$A$62,$AF$205^A38,IF(A38='Données projet'!$A$62,'Données projet'!$B$62,AI37+AH38-AQ37)))</f>
        <v>200.33250000000004</v>
      </c>
      <c r="AJ38" s="13">
        <f>AI38*VLOOKUP('Données projet'!$B$10,Paramètres!$A$1:$I$89,3,0)*VLOOKUP('Données projet'!$B$10,Paramètres!$A$1:$I$89,5,0)</f>
        <v>119.79883500000003</v>
      </c>
      <c r="AK38" s="13">
        <f t="shared" si="35"/>
        <v>31.628076280921128</v>
      </c>
      <c r="AL38" s="20">
        <f t="shared" si="4"/>
        <v>263.73520381427102</v>
      </c>
      <c r="AM38" s="59">
        <f t="shared" si="5"/>
        <v>507.38573653884555</v>
      </c>
      <c r="AN38" s="59">
        <f ca="1">AVERAGE(OFFSET($AM$3,0,0,'Données projet'!$E$10+1,1))-AVERAGE(OFFSET($H$3,0,0,'Données projet'!$E$10+1,1))</f>
        <v>373.47758082856359</v>
      </c>
      <c r="AO38" s="59">
        <f t="shared" si="36"/>
        <v>277.24895424120166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7.7880772973637127</v>
      </c>
      <c r="AV38" s="21">
        <f>EXP(-LN(2)/25)*AV37+(1-EXP(-LN(2)/25))/(LN(2)/25)*Calculateur!AQ38*Calculateur!AS38*VLOOKUP('Données projet'!$B$10,Paramètres!$A$1:$I$89,3,0)*0.475*44/12</f>
        <v>27.498153441850008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35.286230739213721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3.887142857142857</v>
      </c>
      <c r="BD38" s="12">
        <f>IF('Données projet'!$A$88&gt;35,BD37+BC38-BL37,IF(A38&lt;'Données projet'!$A$88,$BA$205^A38,IF(A38='Données projet'!$A$88,'Données projet'!$B$88,BD37+BC38-BL37)))</f>
        <v>136.05000000000007</v>
      </c>
      <c r="BE38" s="13">
        <f>BD38*VLOOKUP('Données projet'!$B$11,Paramètres!$A$1:$I$89,3,0)*VLOOKUP('Données projet'!$B$11,Paramètres!$A$1:$I$89,5,0)</f>
        <v>123.09804000000005</v>
      </c>
      <c r="BF38" s="13">
        <f t="shared" si="37"/>
        <v>32.396490846405321</v>
      </c>
      <c r="BG38" s="20">
        <f t="shared" si="7"/>
        <v>270.81964122415599</v>
      </c>
      <c r="BH38" s="59">
        <f t="shared" si="8"/>
        <v>514.47017394873046</v>
      </c>
      <c r="BI38" s="59">
        <f ca="1">AVERAGE(OFFSET($BH$3,0,0,'Données projet'!$E$11+1,1))-AVERAGE(OFFSET($H$3,0,0,'Données projet'!$E$11+1,1))</f>
        <v>627.65081154031589</v>
      </c>
      <c r="BJ38" s="59">
        <f t="shared" si="38"/>
        <v>288.78083487077618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3.887142857142857</v>
      </c>
      <c r="BY38" s="12">
        <f>IF('Données projet'!$A$114&gt;35,BY37+BX38-CG37,IF(A38&lt;'Données projet'!$A$114,$BV$205^A38,IF(A38='Données projet'!$A$114,'Données projet'!$B$114,BY37+BX38-CG37)))</f>
        <v>136.05000000000007</v>
      </c>
      <c r="BZ38" s="13">
        <f>BY38*VLOOKUP('Données projet'!$B$12,Paramètres!$A$1:$I$89,3,0)*VLOOKUP('Données projet'!$B$12,Paramètres!$A$1:$I$89,5,0)</f>
        <v>137.95470000000009</v>
      </c>
      <c r="CA38" s="13">
        <f t="shared" si="39"/>
        <v>35.828055414169384</v>
      </c>
      <c r="CB38" s="20">
        <f t="shared" si="10"/>
        <v>302.67163234634512</v>
      </c>
      <c r="CC38" s="59">
        <f t="shared" si="11"/>
        <v>546.3221650709196</v>
      </c>
      <c r="CD38" s="59">
        <f ca="1">AVERAGE(OFFSET($CC$3,0,0,'Données projet'!$E$12+1,1))-AVERAGE(OFFSET($H$3,0,0,'Données projet'!$E$12+1,1))</f>
        <v>692.2706942067415</v>
      </c>
      <c r="CE38" s="59">
        <f t="shared" si="40"/>
        <v>316.17529091924803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3.887142857142857</v>
      </c>
      <c r="CT38" s="12">
        <f>IF('Données projet'!$A$140&gt;35,CT37+CS38-DB37,IF(A38&lt;'Données projet'!$A$140,$CQ$205^A38,IF(A38='Données projet'!$A$140,'Données projet'!$B$140,CT37+CS38-DB37)))</f>
        <v>136.05000000000007</v>
      </c>
      <c r="CU38" s="17">
        <f>CT38*VLOOKUP('Données projet'!$B$13,Paramètres!$A$1:$I$89,3,0)*VLOOKUP('Données projet'!$B$13,Paramètres!$A$1:$I$89,5,0)</f>
        <v>154.93374000000009</v>
      </c>
      <c r="CV38" s="13">
        <f t="shared" si="41"/>
        <v>39.697675240423798</v>
      </c>
      <c r="CW38" s="20">
        <f t="shared" si="13"/>
        <v>338.98304821040489</v>
      </c>
      <c r="CX38" s="59">
        <f t="shared" si="14"/>
        <v>582.63358093497936</v>
      </c>
      <c r="CY38" s="59">
        <f ca="1">AVERAGE(OFFSET($CX$3,0,0,'Données projet'!$E$13+1,1))-AVERAGE(OFFSET($H$3,0,0,'Données projet'!$E$13+1,1))</f>
        <v>765.9523557587147</v>
      </c>
      <c r="CZ38" s="59">
        <f t="shared" si="42"/>
        <v>347.40395092312815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98.07692307692308</v>
      </c>
      <c r="DM38" s="12">
        <f>VLOOKUP(A38,'Données projet'!$A$165:$I$185,9,0)</f>
        <v>5.3846153846153868</v>
      </c>
      <c r="DN38" s="12">
        <f t="array" ref="DN38">INDEX(DM:DM,MIN(IF(ISNUMBER(DM38:DM234),ROW(DM38:DM234),"")))</f>
        <v>5.3846153846153868</v>
      </c>
      <c r="DO38" s="12">
        <f>IF('Données projet'!$A$166&gt;35,DO37+DN38-DW37,IF(A38&lt;'Données projet'!$A$166,$DL$205^A38,IF(A38='Données projet'!$A$166,'Données projet'!$B$166,DO37+DN38-DW37)))</f>
        <v>98.076923076923094</v>
      </c>
      <c r="DP38" s="17">
        <f>DO38*VLOOKUP('Données projet'!$B$14,Paramètres!$A$1:$I$89,3,0)*VLOOKUP('Données projet'!$B$14,Paramètres!$A$1:$I$89,5,0)</f>
        <v>85.680000000000035</v>
      </c>
      <c r="DQ38" s="13">
        <f t="shared" si="43"/>
        <v>23.520381071926291</v>
      </c>
      <c r="DR38" s="20">
        <f t="shared" si="16"/>
        <v>190.19066370027167</v>
      </c>
      <c r="DS38" s="59">
        <f t="shared" si="17"/>
        <v>433.8411964248462</v>
      </c>
      <c r="DT38" s="59">
        <f ca="1">AVERAGE(OFFSET($DS$3,0,0,'Données projet'!$E$14+1,1))-AVERAGE(OFFSET($H$3,0,0,'Données projet'!$E$14+1,1))</f>
        <v>253.82888243490106</v>
      </c>
      <c r="DU38" s="59">
        <f t="shared" si="44"/>
        <v>224.11983819941796</v>
      </c>
      <c r="DV38" s="15">
        <f>IF(ISNA(VLOOKUP(A38,'Données projet'!$A$165:$I$185,3,0)),0,VLOOKUP(A38,'Données projet'!$A$165:$I$185,3,0))</f>
        <v>6</v>
      </c>
      <c r="DW38" s="15">
        <f>IF(ISNA(VLOOKUP(A38,'Données projet'!$A$165:$I$185,4,0)),0,VLOOKUP(A38,'Données projet'!$A$165:$I$185,4,0))</f>
        <v>15.384615384615383</v>
      </c>
      <c r="DX38" s="16">
        <f>IF(ISNA(VLOOKUP(A38,'Données projet'!$A$165:$I$185,5,0)),0%,VLOOKUP(A38,'Données projet'!$A$165:$I$185,5,0)*VLOOKUP('Données projet'!$B$14,Paramètres!$A$1:$I$89,7,0))</f>
        <v>0.25800000000000001</v>
      </c>
      <c r="DY38" s="16">
        <f>IF(ISNA(VLOOKUP(A38,'Données projet'!$A$165:$I$185,6,0)),0%,VLOOKUP(A38,'Données projet'!$A$165:$I$185,6,0)*VLOOKUP('Données projet'!$B$14,Paramètres!$A$1:$I$89,7,0))</f>
        <v>8.6000000000000007E-2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3.8332406504380949</v>
      </c>
      <c r="EB38" s="21">
        <f>EXP(-LN(2)/25)*EB37+(1-EXP(-LN(2)/25))/(LN(2)/25)*Calculateur!DW38*Calculateur!DY38*VLOOKUP('Données projet'!$B$14,Paramètres!$A$1:$I$89,3,0)*0.475*44/12</f>
        <v>9.9396283477723717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13.772868998210466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9.9228571428571435</v>
      </c>
      <c r="N39" s="13">
        <f>IF('Données projet'!$A$36&gt;35,N38+M39-V38,IF(A39&lt;'Données projet'!$A$36,$K$205^A39,IF(A39='Données projet'!$A$36,'Données projet'!$B$36,N38+M39-V38)))</f>
        <v>357.22285714285709</v>
      </c>
      <c r="O39" s="13">
        <f>N39*VLOOKUP('Données projet'!$B$9,Paramètres!$A$1:$I$89,3,0)*VLOOKUP('Données projet'!$B$9,Paramètres!$A$1:$I$89,5,0)</f>
        <v>167.18029714285711</v>
      </c>
      <c r="P39" s="13">
        <f t="shared" si="33"/>
        <v>42.457890521224527</v>
      </c>
      <c r="Q39" s="20">
        <f t="shared" si="53"/>
        <v>365.1198435149422</v>
      </c>
      <c r="R39" s="59">
        <f t="shared" si="0"/>
        <v>609.63226175597663</v>
      </c>
      <c r="S39" s="59">
        <f ca="1">AVERAGE(OFFSET($R$3,0,0,'Données projet'!$E$9+1,1))-AVERAGE(OFFSET($H$3,0,0,'Données projet'!$E$9+1,1))</f>
        <v>387.50901594883317</v>
      </c>
      <c r="T39" s="59">
        <f t="shared" si="34"/>
        <v>361.3623790401972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16.701250000000002</v>
      </c>
      <c r="AI39" s="13">
        <f>IF('Données projet'!$A$62&gt;35,AI38+AH39-AQ38,IF(A39&lt;'Données projet'!$A$62,$AF$205^A39,IF(A39='Données projet'!$A$62,'Données projet'!$B$62,AI38+AH39-AQ38)))</f>
        <v>217.03375000000005</v>
      </c>
      <c r="AJ39" s="13">
        <f>AI39*VLOOKUP('Données projet'!$B$10,Paramètres!$A$1:$I$89,3,0)*VLOOKUP('Données projet'!$B$10,Paramètres!$A$1:$I$89,5,0)</f>
        <v>129.78618250000005</v>
      </c>
      <c r="AK39" s="13">
        <f t="shared" si="35"/>
        <v>33.946947653586037</v>
      </c>
      <c r="AL39" s="20">
        <f t="shared" si="4"/>
        <v>285.1685350174958</v>
      </c>
      <c r="AM39" s="59">
        <f t="shared" si="5"/>
        <v>529.68095325853028</v>
      </c>
      <c r="AN39" s="59">
        <f ca="1">AVERAGE(OFFSET($AM$3,0,0,'Données projet'!$E$10+1,1))-AVERAGE(OFFSET($H$3,0,0,'Données projet'!$E$10+1,1))</f>
        <v>373.47758082856359</v>
      </c>
      <c r="AO39" s="59">
        <f t="shared" si="36"/>
        <v>277.24895424120166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7.6353578518205127</v>
      </c>
      <c r="AV39" s="21">
        <f>EXP(-LN(2)/25)*AV38+(1-EXP(-LN(2)/25))/(LN(2)/25)*Calculateur!AQ39*Calculateur!AS39*VLOOKUP('Données projet'!$B$10,Paramètres!$A$1:$I$89,3,0)*0.475*44/12</f>
        <v>26.746214989917579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34.381572841738091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3.887142857142857</v>
      </c>
      <c r="BD39" s="12">
        <f>IF('Données projet'!$A$88&gt;35,BD38+BC39-BL38,IF(A39&lt;'Données projet'!$A$88,$BA$205^A39,IF(A39='Données projet'!$A$88,'Données projet'!$B$88,BD38+BC39-BL38)))</f>
        <v>139.93714285714293</v>
      </c>
      <c r="BE39" s="13">
        <f>BD39*VLOOKUP('Données projet'!$B$11,Paramètres!$A$1:$I$89,3,0)*VLOOKUP('Données projet'!$B$11,Paramètres!$A$1:$I$89,5,0)</f>
        <v>126.61512685714293</v>
      </c>
      <c r="BF39" s="13">
        <f t="shared" si="37"/>
        <v>33.213017638275041</v>
      </c>
      <c r="BG39" s="20">
        <f t="shared" si="7"/>
        <v>278.36735166285297</v>
      </c>
      <c r="BH39" s="59">
        <f t="shared" si="8"/>
        <v>522.87976990388734</v>
      </c>
      <c r="BI39" s="59">
        <f ca="1">AVERAGE(OFFSET($BH$3,0,0,'Données projet'!$E$11+1,1))-AVERAGE(OFFSET($H$3,0,0,'Données projet'!$E$11+1,1))</f>
        <v>627.65081154031589</v>
      </c>
      <c r="BJ39" s="59">
        <f t="shared" si="38"/>
        <v>288.78083487077618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3.887142857142857</v>
      </c>
      <c r="BY39" s="12">
        <f>IF('Données projet'!$A$114&gt;35,BY38+BX39-CG38,IF(A39&lt;'Données projet'!$A$114,$BV$205^A39,IF(A39='Données projet'!$A$114,'Données projet'!$B$114,BY38+BX39-CG38)))</f>
        <v>139.93714285714293</v>
      </c>
      <c r="BZ39" s="13">
        <f>BY39*VLOOKUP('Données projet'!$B$12,Paramètres!$A$1:$I$89,3,0)*VLOOKUP('Données projet'!$B$12,Paramètres!$A$1:$I$89,5,0)</f>
        <v>141.89626285714294</v>
      </c>
      <c r="CA39" s="13">
        <f t="shared" si="39"/>
        <v>36.73107195645354</v>
      </c>
      <c r="CB39" s="20">
        <f t="shared" si="10"/>
        <v>311.10927480034724</v>
      </c>
      <c r="CC39" s="59">
        <f t="shared" si="11"/>
        <v>555.6216930413816</v>
      </c>
      <c r="CD39" s="59">
        <f ca="1">AVERAGE(OFFSET($CC$3,0,0,'Données projet'!$E$12+1,1))-AVERAGE(OFFSET($H$3,0,0,'Données projet'!$E$12+1,1))</f>
        <v>692.2706942067415</v>
      </c>
      <c r="CE39" s="59">
        <f t="shared" si="40"/>
        <v>316.17529091924803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3.887142857142857</v>
      </c>
      <c r="CT39" s="12">
        <f>IF('Données projet'!$A$140&gt;35,CT38+CS39-DB38,IF(A39&lt;'Données projet'!$A$140,$CQ$205^A39,IF(A39='Données projet'!$A$140,'Données projet'!$B$140,CT38+CS39-DB38)))</f>
        <v>139.93714285714293</v>
      </c>
      <c r="CU39" s="17">
        <f>CT39*VLOOKUP('Données projet'!$B$13,Paramètres!$A$1:$I$89,3,0)*VLOOKUP('Données projet'!$B$13,Paramètres!$A$1:$I$89,5,0)</f>
        <v>159.36041828571439</v>
      </c>
      <c r="CV39" s="13">
        <f t="shared" si="41"/>
        <v>40.698222354073451</v>
      </c>
      <c r="CW39" s="20">
        <f t="shared" si="13"/>
        <v>348.4354657809638</v>
      </c>
      <c r="CX39" s="59">
        <f t="shared" si="14"/>
        <v>592.94788402199822</v>
      </c>
      <c r="CY39" s="59">
        <f ca="1">AVERAGE(OFFSET($CX$3,0,0,'Données projet'!$E$13+1,1))-AVERAGE(OFFSET($H$3,0,0,'Données projet'!$E$13+1,1))</f>
        <v>765.9523557587147</v>
      </c>
      <c r="CZ39" s="59">
        <f t="shared" si="42"/>
        <v>347.40395092312815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4.9999999999999973</v>
      </c>
      <c r="DO39" s="12">
        <f>IF('Données projet'!$A$166&gt;35,DO38+DN39-DW38,IF(A39&lt;'Données projet'!$A$166,$DL$205^A39,IF(A39='Données projet'!$A$166,'Données projet'!$B$166,DO38+DN39-DW38)))</f>
        <v>87.692307692307708</v>
      </c>
      <c r="DP39" s="17">
        <f>DO39*VLOOKUP('Données projet'!$B$14,Paramètres!$A$1:$I$89,3,0)*VLOOKUP('Données projet'!$B$14,Paramètres!$A$1:$I$89,5,0)</f>
        <v>76.608000000000018</v>
      </c>
      <c r="DQ39" s="13">
        <f t="shared" si="43"/>
        <v>21.305742859224864</v>
      </c>
      <c r="DR39" s="20">
        <f t="shared" si="16"/>
        <v>170.53310214648332</v>
      </c>
      <c r="DS39" s="59">
        <f t="shared" si="17"/>
        <v>415.04552038751774</v>
      </c>
      <c r="DT39" s="59">
        <f ca="1">AVERAGE(OFFSET($DS$3,0,0,'Données projet'!$E$14+1,1))-AVERAGE(OFFSET($H$3,0,0,'Données projet'!$E$14+1,1))</f>
        <v>253.82888243490106</v>
      </c>
      <c r="DU39" s="59">
        <f t="shared" si="44"/>
        <v>224.11983819941796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3.7580731393289377</v>
      </c>
      <c r="EB39" s="21">
        <f>EXP(-LN(2)/25)*EB38+(1-EXP(-LN(2)/25))/(LN(2)/25)*Calculateur!DW39*Calculateur!DY39*VLOOKUP('Données projet'!$B$14,Paramètres!$A$1:$I$89,3,0)*0.475*44/12</f>
        <v>9.6678286879001991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13.425901827229136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9.9228571428571435</v>
      </c>
      <c r="N40" s="13">
        <f>IF('Données projet'!$A$36&gt;35,N39+M40-V39,IF(A40&lt;'Données projet'!$A$36,$K$205^A40,IF(A40='Données projet'!$A$36,'Données projet'!$B$36,N39+M40-V39)))</f>
        <v>367.14571428571423</v>
      </c>
      <c r="O40" s="13">
        <f>N40*VLOOKUP('Données projet'!$B$9,Paramètres!$A$1:$I$89,3,0)*VLOOKUP('Données projet'!$B$9,Paramètres!$A$1:$I$89,5,0)</f>
        <v>171.82419428571427</v>
      </c>
      <c r="P40" s="13">
        <f t="shared" si="33"/>
        <v>43.498328282974661</v>
      </c>
      <c r="Q40" s="20">
        <f t="shared" si="53"/>
        <v>375.02006014046651</v>
      </c>
      <c r="R40" s="59">
        <f t="shared" si="0"/>
        <v>620.37941211113764</v>
      </c>
      <c r="S40" s="59">
        <f ca="1">AVERAGE(OFFSET($R$3,0,0,'Données projet'!$E$9+1,1))-AVERAGE(OFFSET($H$3,0,0,'Données projet'!$E$9+1,1))</f>
        <v>387.50901594883317</v>
      </c>
      <c r="T40" s="59">
        <f t="shared" si="34"/>
        <v>361.3623790401972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16.701250000000002</v>
      </c>
      <c r="AI40" s="13">
        <f>IF('Données projet'!$A$62&gt;35,AI39+AH40-AQ39,IF(A40&lt;'Données projet'!$A$62,$AF$205^A40,IF(A40='Données projet'!$A$62,'Données projet'!$B$62,AI39+AH40-AQ39)))</f>
        <v>233.73500000000007</v>
      </c>
      <c r="AJ40" s="13">
        <f>AI40*VLOOKUP('Données projet'!$B$10,Paramètres!$A$1:$I$89,3,0)*VLOOKUP('Données projet'!$B$10,Paramètres!$A$1:$I$89,5,0)</f>
        <v>139.77353000000005</v>
      </c>
      <c r="AK40" s="13">
        <f t="shared" si="35"/>
        <v>36.245119510821418</v>
      </c>
      <c r="AL40" s="20">
        <f t="shared" si="4"/>
        <v>306.56581456468069</v>
      </c>
      <c r="AM40" s="59">
        <f t="shared" si="5"/>
        <v>551.92516653535176</v>
      </c>
      <c r="AN40" s="59">
        <f ca="1">AVERAGE(OFFSET($AM$3,0,0,'Données projet'!$E$10+1,1))-AVERAGE(OFFSET($H$3,0,0,'Données projet'!$E$10+1,1))</f>
        <v>373.47758082856359</v>
      </c>
      <c r="AO40" s="59">
        <f t="shared" si="36"/>
        <v>277.24895424120166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7.485633141454751</v>
      </c>
      <c r="AV40" s="21">
        <f>EXP(-LN(2)/25)*AV39+(1-EXP(-LN(2)/25))/(LN(2)/25)*Calculateur!AQ40*Calculateur!AS40*VLOOKUP('Données projet'!$B$10,Paramètres!$A$1:$I$89,3,0)*0.475*44/12</f>
        <v>26.014838334495966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33.500471475950718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3.887142857142857</v>
      </c>
      <c r="BD40" s="12">
        <f>IF('Données projet'!$A$88&gt;35,BD39+BC40-BL39,IF(A40&lt;'Données projet'!$A$88,$BA$205^A40,IF(A40='Données projet'!$A$88,'Données projet'!$B$88,BD39+BC40-BL39)))</f>
        <v>143.82428571428579</v>
      </c>
      <c r="BE40" s="13">
        <f>BD40*VLOOKUP('Données projet'!$B$11,Paramètres!$A$1:$I$89,3,0)*VLOOKUP('Données projet'!$B$11,Paramètres!$A$1:$I$89,5,0)</f>
        <v>130.13221371428577</v>
      </c>
      <c r="BF40" s="13">
        <f t="shared" si="37"/>
        <v>34.026908232186209</v>
      </c>
      <c r="BG40" s="20">
        <f t="shared" si="7"/>
        <v>285.91047072343866</v>
      </c>
      <c r="BH40" s="59">
        <f t="shared" si="8"/>
        <v>531.26982269410973</v>
      </c>
      <c r="BI40" s="59">
        <f ca="1">AVERAGE(OFFSET($BH$3,0,0,'Données projet'!$E$11+1,1))-AVERAGE(OFFSET($H$3,0,0,'Données projet'!$E$11+1,1))</f>
        <v>627.65081154031589</v>
      </c>
      <c r="BJ40" s="59">
        <f t="shared" si="38"/>
        <v>288.78083487077618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3.887142857142857</v>
      </c>
      <c r="BY40" s="12">
        <f>IF('Données projet'!$A$114&gt;35,BY39+BX40-CG39,IF(A40&lt;'Données projet'!$A$114,$BV$205^A40,IF(A40='Données projet'!$A$114,'Données projet'!$B$114,BY39+BX40-CG39)))</f>
        <v>143.82428571428579</v>
      </c>
      <c r="BZ40" s="13">
        <f>BY40*VLOOKUP('Données projet'!$B$12,Paramètres!$A$1:$I$89,3,0)*VLOOKUP('Données projet'!$B$12,Paramètres!$A$1:$I$89,5,0)</f>
        <v>145.8378257142858</v>
      </c>
      <c r="CA40" s="13">
        <f t="shared" si="39"/>
        <v>37.631173064254732</v>
      </c>
      <c r="CB40" s="20">
        <f t="shared" si="10"/>
        <v>319.5418395392914</v>
      </c>
      <c r="CC40" s="59">
        <f t="shared" si="11"/>
        <v>564.90119150996247</v>
      </c>
      <c r="CD40" s="59">
        <f ca="1">AVERAGE(OFFSET($CC$3,0,0,'Données projet'!$E$12+1,1))-AVERAGE(OFFSET($H$3,0,0,'Données projet'!$E$12+1,1))</f>
        <v>692.2706942067415</v>
      </c>
      <c r="CE40" s="59">
        <f t="shared" si="40"/>
        <v>316.17529091924803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3.887142857142857</v>
      </c>
      <c r="CT40" s="12">
        <f>IF('Données projet'!$A$140&gt;35,CT39+CS40-DB39,IF(A40&lt;'Données projet'!$A$140,$CQ$205^A40,IF(A40='Données projet'!$A$140,'Données projet'!$B$140,CT39+CS40-DB39)))</f>
        <v>143.82428571428579</v>
      </c>
      <c r="CU40" s="17">
        <f>CT40*VLOOKUP('Données projet'!$B$13,Paramètres!$A$1:$I$89,3,0)*VLOOKUP('Données projet'!$B$13,Paramètres!$A$1:$I$89,5,0)</f>
        <v>163.78709657142866</v>
      </c>
      <c r="CV40" s="13">
        <f t="shared" si="41"/>
        <v>41.695539150868008</v>
      </c>
      <c r="CW40" s="20">
        <f t="shared" si="13"/>
        <v>357.8822572163333</v>
      </c>
      <c r="CX40" s="59">
        <f t="shared" si="14"/>
        <v>603.24160918700443</v>
      </c>
      <c r="CY40" s="59">
        <f ca="1">AVERAGE(OFFSET($CX$3,0,0,'Données projet'!$E$13+1,1))-AVERAGE(OFFSET($H$3,0,0,'Données projet'!$E$13+1,1))</f>
        <v>765.9523557587147</v>
      </c>
      <c r="CZ40" s="59">
        <f t="shared" si="42"/>
        <v>347.40395092312815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4.9999999999999973</v>
      </c>
      <c r="DO40" s="12">
        <f>IF('Données projet'!$A$166&gt;35,DO39+DN40-DW39,IF(A40&lt;'Données projet'!$A$166,$DL$205^A40,IF(A40='Données projet'!$A$166,'Données projet'!$B$166,DO39+DN40-DW39)))</f>
        <v>92.692307692307708</v>
      </c>
      <c r="DP40" s="17">
        <f>DO40*VLOOKUP('Données projet'!$B$14,Paramètres!$A$1:$I$89,3,0)*VLOOKUP('Données projet'!$B$14,Paramètres!$A$1:$I$89,5,0)</f>
        <v>80.976000000000028</v>
      </c>
      <c r="DQ40" s="13">
        <f t="shared" si="43"/>
        <v>22.375652525067999</v>
      </c>
      <c r="DR40" s="20">
        <f t="shared" si="16"/>
        <v>180.0041281478268</v>
      </c>
      <c r="DS40" s="59">
        <f t="shared" si="17"/>
        <v>425.36348011849793</v>
      </c>
      <c r="DT40" s="59">
        <f ca="1">AVERAGE(OFFSET($DS$3,0,0,'Données projet'!$E$14+1,1))-AVERAGE(OFFSET($H$3,0,0,'Données projet'!$E$14+1,1))</f>
        <v>253.82888243490106</v>
      </c>
      <c r="DU40" s="59">
        <f t="shared" si="44"/>
        <v>224.11983819941796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3.6843796172649763</v>
      </c>
      <c r="EB40" s="21">
        <f>EXP(-LN(2)/25)*EB39+(1-EXP(-LN(2)/25))/(LN(2)/25)*Calculateur!DW40*Calculateur!DY40*VLOOKUP('Données projet'!$B$14,Paramètres!$A$1:$I$89,3,0)*0.475*44/12</f>
        <v>9.403461404020554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13.087841021285531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9.9228571428571435</v>
      </c>
      <c r="N41" s="13">
        <f>IF('Données projet'!$A$36&gt;35,N40+M41-V40,IF(A41&lt;'Données projet'!$A$36,$K$205^A41,IF(A41='Données projet'!$A$36,'Données projet'!$B$36,N40+M41-V40)))</f>
        <v>377.06857142857137</v>
      </c>
      <c r="O41" s="13">
        <f>N41*VLOOKUP('Données projet'!$B$9,Paramètres!$A$1:$I$89,3,0)*VLOOKUP('Données projet'!$B$9,Paramètres!$A$1:$I$89,5,0)</f>
        <v>176.4680914285714</v>
      </c>
      <c r="P41" s="13">
        <f t="shared" si="33"/>
        <v>44.535497606483588</v>
      </c>
      <c r="Q41" s="20">
        <f t="shared" si="53"/>
        <v>384.91458423605405</v>
      </c>
      <c r="R41" s="59">
        <f t="shared" si="0"/>
        <v>631.10617752961275</v>
      </c>
      <c r="S41" s="59">
        <f ca="1">AVERAGE(OFFSET($R$3,0,0,'Données projet'!$E$9+1,1))-AVERAGE(OFFSET($H$3,0,0,'Données projet'!$E$9+1,1))</f>
        <v>387.50901594883317</v>
      </c>
      <c r="T41" s="59">
        <f t="shared" si="34"/>
        <v>361.3623790401972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16.701250000000002</v>
      </c>
      <c r="AI41" s="13">
        <f>IF('Données projet'!$A$62&gt;35,AI40+AH41-AQ40,IF(A41&lt;'Données projet'!$A$62,$AF$205^A41,IF(A41='Données projet'!$A$62,'Données projet'!$B$62,AI40+AH41-AQ40)))</f>
        <v>250.43625000000009</v>
      </c>
      <c r="AJ41" s="13">
        <f>AI41*VLOOKUP('Données projet'!$B$10,Paramètres!$A$1:$I$89,3,0)*VLOOKUP('Données projet'!$B$10,Paramètres!$A$1:$I$89,5,0)</f>
        <v>149.76087750000008</v>
      </c>
      <c r="AK41" s="13">
        <f t="shared" si="35"/>
        <v>38.524239129902824</v>
      </c>
      <c r="AL41" s="20">
        <f t="shared" si="4"/>
        <v>327.9299114637476</v>
      </c>
      <c r="AM41" s="59">
        <f t="shared" si="5"/>
        <v>574.1215047573063</v>
      </c>
      <c r="AN41" s="59">
        <f ca="1">AVERAGE(OFFSET($AM$3,0,0,'Données projet'!$E$10+1,1))-AVERAGE(OFFSET($H$3,0,0,'Données projet'!$E$10+1,1))</f>
        <v>373.47758082856359</v>
      </c>
      <c r="AO41" s="59">
        <f t="shared" si="36"/>
        <v>277.24895424120166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7.3388444413362057</v>
      </c>
      <c r="AV41" s="21">
        <f>EXP(-LN(2)/25)*AV40+(1-EXP(-LN(2)/25))/(LN(2)/25)*Calculateur!AQ41*Calculateur!AS41*VLOOKUP('Données projet'!$B$10,Paramètres!$A$1:$I$89,3,0)*0.475*44/12</f>
        <v>25.303461212178284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32.642305653514491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3.887142857142857</v>
      </c>
      <c r="BD41" s="12">
        <f>IF('Données projet'!$A$88&gt;35,BD40+BC41-BL40,IF(A41&lt;'Données projet'!$A$88,$BA$205^A41,IF(A41='Données projet'!$A$88,'Données projet'!$B$88,BD40+BC41-BL40)))</f>
        <v>147.71142857142866</v>
      </c>
      <c r="BE41" s="13">
        <f>BD41*VLOOKUP('Données projet'!$B$11,Paramètres!$A$1:$I$89,3,0)*VLOOKUP('Données projet'!$B$11,Paramètres!$A$1:$I$89,5,0)</f>
        <v>133.64930057142865</v>
      </c>
      <c r="BF41" s="13">
        <f t="shared" si="37"/>
        <v>34.8382420646657</v>
      </c>
      <c r="BG41" s="20">
        <f t="shared" si="7"/>
        <v>293.44913675786432</v>
      </c>
      <c r="BH41" s="59">
        <f t="shared" si="8"/>
        <v>539.64073005142302</v>
      </c>
      <c r="BI41" s="59">
        <f ca="1">AVERAGE(OFFSET($BH$3,0,0,'Données projet'!$E$11+1,1))-AVERAGE(OFFSET($H$3,0,0,'Données projet'!$E$11+1,1))</f>
        <v>627.65081154031589</v>
      </c>
      <c r="BJ41" s="59">
        <f t="shared" si="38"/>
        <v>288.78083487077618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3.887142857142857</v>
      </c>
      <c r="BY41" s="12">
        <f>IF('Données projet'!$A$114&gt;35,BY40+BX41-CG40,IF(A41&lt;'Données projet'!$A$114,$BV$205^A41,IF(A41='Données projet'!$A$114,'Données projet'!$B$114,BY40+BX41-CG40)))</f>
        <v>147.71142857142866</v>
      </c>
      <c r="BZ41" s="13">
        <f>BY41*VLOOKUP('Données projet'!$B$12,Paramètres!$A$1:$I$89,3,0)*VLOOKUP('Données projet'!$B$12,Paramètres!$A$1:$I$89,5,0)</f>
        <v>149.77938857142865</v>
      </c>
      <c r="CA41" s="13">
        <f t="shared" si="39"/>
        <v>38.528446588331214</v>
      </c>
      <c r="CB41" s="20">
        <f t="shared" si="10"/>
        <v>327.96947956991511</v>
      </c>
      <c r="CC41" s="59">
        <f t="shared" si="11"/>
        <v>574.16107286347381</v>
      </c>
      <c r="CD41" s="59">
        <f ca="1">AVERAGE(OFFSET($CC$3,0,0,'Données projet'!$E$12+1,1))-AVERAGE(OFFSET($H$3,0,0,'Données projet'!$E$12+1,1))</f>
        <v>692.2706942067415</v>
      </c>
      <c r="CE41" s="59">
        <f t="shared" si="40"/>
        <v>316.17529091924803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3.887142857142857</v>
      </c>
      <c r="CT41" s="12">
        <f>IF('Données projet'!$A$140&gt;35,CT40+CS41-DB40,IF(A41&lt;'Données projet'!$A$140,$CQ$205^A41,IF(A41='Données projet'!$A$140,'Données projet'!$B$140,CT40+CS41-DB40)))</f>
        <v>147.71142857142866</v>
      </c>
      <c r="CU41" s="17">
        <f>CT41*VLOOKUP('Données projet'!$B$13,Paramètres!$A$1:$I$89,3,0)*VLOOKUP('Données projet'!$B$13,Paramètres!$A$1:$I$89,5,0)</f>
        <v>168.21377485714297</v>
      </c>
      <c r="CV41" s="13">
        <f t="shared" si="41"/>
        <v>42.68972296991312</v>
      </c>
      <c r="CW41" s="20">
        <f t="shared" si="13"/>
        <v>367.32359204878929</v>
      </c>
      <c r="CX41" s="59">
        <f t="shared" si="14"/>
        <v>613.51518534234799</v>
      </c>
      <c r="CY41" s="59">
        <f ca="1">AVERAGE(OFFSET($CX$3,0,0,'Données projet'!$E$13+1,1))-AVERAGE(OFFSET($H$3,0,0,'Données projet'!$E$13+1,1))</f>
        <v>765.9523557587147</v>
      </c>
      <c r="CZ41" s="59">
        <f t="shared" si="42"/>
        <v>347.40395092312815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4.9999999999999973</v>
      </c>
      <c r="DO41" s="12">
        <f>IF('Données projet'!$A$166&gt;35,DO40+DN41-DW40,IF(A41&lt;'Données projet'!$A$166,$DL$205^A41,IF(A41='Données projet'!$A$166,'Données projet'!$B$166,DO40+DN41-DW40)))</f>
        <v>97.692307692307708</v>
      </c>
      <c r="DP41" s="17">
        <f>DO41*VLOOKUP('Données projet'!$B$14,Paramètres!$A$1:$I$89,3,0)*VLOOKUP('Données projet'!$B$14,Paramètres!$A$1:$I$89,5,0)</f>
        <v>85.344000000000023</v>
      </c>
      <c r="DQ41" s="13">
        <f t="shared" si="43"/>
        <v>23.438862017116406</v>
      </c>
      <c r="DR41" s="20">
        <f t="shared" si="16"/>
        <v>189.4634846798111</v>
      </c>
      <c r="DS41" s="59">
        <f t="shared" si="17"/>
        <v>435.65507797336983</v>
      </c>
      <c r="DT41" s="59">
        <f ca="1">AVERAGE(OFFSET($DS$3,0,0,'Données projet'!$E$14+1,1))-AVERAGE(OFFSET($H$3,0,0,'Données projet'!$E$14+1,1))</f>
        <v>253.82888243490106</v>
      </c>
      <c r="DU41" s="59">
        <f t="shared" si="44"/>
        <v>224.11983819941796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3.6121311802200791</v>
      </c>
      <c r="EB41" s="21">
        <f>EXP(-LN(2)/25)*EB40+(1-EXP(-LN(2)/25))/(LN(2)/25)*Calculateur!DW41*Calculateur!DY41*VLOOKUP('Données projet'!$B$14,Paramètres!$A$1:$I$89,3,0)*0.475*44/12</f>
        <v>9.1463232574210682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12.758454437641147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9.9228571428571435</v>
      </c>
      <c r="N42" s="13">
        <f>IF('Données projet'!$A$36&gt;35,N41+M42-V41,IF(A42&lt;'Données projet'!$A$36,$K$205^A42,IF(A42='Données projet'!$A$36,'Données projet'!$B$36,N41+M42-V41)))</f>
        <v>386.99142857142851</v>
      </c>
      <c r="O42" s="13">
        <f>N42*VLOOKUP('Données projet'!$B$9,Paramètres!$A$1:$I$89,3,0)*VLOOKUP('Données projet'!$B$9,Paramètres!$A$1:$I$89,5,0)</f>
        <v>181.11198857142855</v>
      </c>
      <c r="P42" s="13">
        <f t="shared" si="33"/>
        <v>45.569494390515281</v>
      </c>
      <c r="Q42" s="20">
        <f t="shared" si="53"/>
        <v>394.80358282538549</v>
      </c>
      <c r="R42" s="59">
        <f t="shared" si="0"/>
        <v>641.81297991549263</v>
      </c>
      <c r="S42" s="59">
        <f ca="1">AVERAGE(OFFSET($R$3,0,0,'Données projet'!$E$9+1,1))-AVERAGE(OFFSET($H$3,0,0,'Données projet'!$E$9+1,1))</f>
        <v>387.50901594883317</v>
      </c>
      <c r="T42" s="59">
        <f t="shared" si="34"/>
        <v>361.3623790401972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16.701250000000002</v>
      </c>
      <c r="AI42" s="13">
        <f>IF('Données projet'!$A$62&gt;35,AI41+AH42-AQ41,IF(A42&lt;'Données projet'!$A$62,$AF$205^A42,IF(A42='Données projet'!$A$62,'Données projet'!$B$62,AI41+AH42-AQ41)))</f>
        <v>267.1375000000001</v>
      </c>
      <c r="AJ42" s="13">
        <f>AI42*VLOOKUP('Données projet'!$B$10,Paramètres!$A$1:$I$89,3,0)*VLOOKUP('Données projet'!$B$10,Paramètres!$A$1:$I$89,5,0)</f>
        <v>159.74822500000008</v>
      </c>
      <c r="AK42" s="13">
        <f t="shared" si="35"/>
        <v>40.785721648734771</v>
      </c>
      <c r="AL42" s="20">
        <f t="shared" si="4"/>
        <v>349.26329041321316</v>
      </c>
      <c r="AM42" s="59">
        <f t="shared" si="5"/>
        <v>596.2726875033203</v>
      </c>
      <c r="AN42" s="59">
        <f ca="1">AVERAGE(OFFSET($AM$3,0,0,'Données projet'!$E$10+1,1))-AVERAGE(OFFSET($H$3,0,0,'Données projet'!$E$10+1,1))</f>
        <v>373.47758082856359</v>
      </c>
      <c r="AO42" s="59">
        <f t="shared" si="36"/>
        <v>277.24895424120166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7.1949341780947185</v>
      </c>
      <c r="AV42" s="21">
        <f>EXP(-LN(2)/25)*AV41+(1-EXP(-LN(2)/25))/(LN(2)/25)*Calculateur!AQ42*Calculateur!AS42*VLOOKUP('Données projet'!$B$10,Paramètres!$A$1:$I$89,3,0)*0.475*44/12</f>
        <v>24.611536734680076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31.806470912774795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3.887142857142857</v>
      </c>
      <c r="BD42" s="12">
        <f>IF('Données projet'!$A$88&gt;35,BD41+BC42-BL41,IF(A42&lt;'Données projet'!$A$88,$BA$205^A42,IF(A42='Données projet'!$A$88,'Données projet'!$B$88,BD41+BC42-BL41)))</f>
        <v>151.59857142857152</v>
      </c>
      <c r="BE42" s="13">
        <f>BD42*VLOOKUP('Données projet'!$B$11,Paramètres!$A$1:$I$89,3,0)*VLOOKUP('Données projet'!$B$11,Paramètres!$A$1:$I$89,5,0)</f>
        <v>137.16638742857151</v>
      </c>
      <c r="BF42" s="13">
        <f t="shared" si="37"/>
        <v>35.647094153273272</v>
      </c>
      <c r="BG42" s="20">
        <f t="shared" si="7"/>
        <v>300.98348042171295</v>
      </c>
      <c r="BH42" s="59">
        <f t="shared" si="8"/>
        <v>547.9928775118201</v>
      </c>
      <c r="BI42" s="59">
        <f ca="1">AVERAGE(OFFSET($BH$3,0,0,'Données projet'!$E$11+1,1))-AVERAGE(OFFSET($H$3,0,0,'Données projet'!$E$11+1,1))</f>
        <v>627.65081154031589</v>
      </c>
      <c r="BJ42" s="59">
        <f t="shared" si="38"/>
        <v>288.78083487077618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3.887142857142857</v>
      </c>
      <c r="BY42" s="12">
        <f>IF('Données projet'!$A$114&gt;35,BY41+BX42-CG41,IF(A42&lt;'Données projet'!$A$114,$BV$205^A42,IF(A42='Données projet'!$A$114,'Données projet'!$B$114,BY41+BX42-CG41)))</f>
        <v>151.59857142857152</v>
      </c>
      <c r="BZ42" s="13">
        <f>BY42*VLOOKUP('Données projet'!$B$12,Paramètres!$A$1:$I$89,3,0)*VLOOKUP('Données projet'!$B$12,Paramètres!$A$1:$I$89,5,0)</f>
        <v>153.72095142857154</v>
      </c>
      <c r="CA42" s="13">
        <f t="shared" si="39"/>
        <v>39.422975492399672</v>
      </c>
      <c r="CB42" s="20">
        <f t="shared" si="10"/>
        <v>336.39233938735816</v>
      </c>
      <c r="CC42" s="59">
        <f t="shared" si="11"/>
        <v>583.40173647746531</v>
      </c>
      <c r="CD42" s="59">
        <f ca="1">AVERAGE(OFFSET($CC$3,0,0,'Données projet'!$E$12+1,1))-AVERAGE(OFFSET($H$3,0,0,'Données projet'!$E$12+1,1))</f>
        <v>692.2706942067415</v>
      </c>
      <c r="CE42" s="59">
        <f t="shared" si="40"/>
        <v>316.17529091924803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3.887142857142857</v>
      </c>
      <c r="CT42" s="12">
        <f>IF('Données projet'!$A$140&gt;35,CT41+CS42-DB41,IF(A42&lt;'Données projet'!$A$140,$CQ$205^A42,IF(A42='Données projet'!$A$140,'Données projet'!$B$140,CT41+CS42-DB41)))</f>
        <v>151.59857142857152</v>
      </c>
      <c r="CU42" s="17">
        <f>CT42*VLOOKUP('Données projet'!$B$13,Paramètres!$A$1:$I$89,3,0)*VLOOKUP('Données projet'!$B$13,Paramètres!$A$1:$I$89,5,0)</f>
        <v>172.64045314285724</v>
      </c>
      <c r="CV42" s="13">
        <f t="shared" si="41"/>
        <v>43.680865735446467</v>
      </c>
      <c r="CW42" s="20">
        <f t="shared" si="13"/>
        <v>376.75963037971229</v>
      </c>
      <c r="CX42" s="59">
        <f t="shared" si="14"/>
        <v>623.76902746981943</v>
      </c>
      <c r="CY42" s="59">
        <f ca="1">AVERAGE(OFFSET($CX$3,0,0,'Données projet'!$E$13+1,1))-AVERAGE(OFFSET($H$3,0,0,'Données projet'!$E$13+1,1))</f>
        <v>765.9523557587147</v>
      </c>
      <c r="CZ42" s="59">
        <f t="shared" si="42"/>
        <v>347.40395092312815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4.9999999999999973</v>
      </c>
      <c r="DO42" s="12">
        <f>IF('Données projet'!$A$166&gt;35,DO41+DN42-DW41,IF(A42&lt;'Données projet'!$A$166,$DL$205^A42,IF(A42='Données projet'!$A$166,'Données projet'!$B$166,DO41+DN42-DW41)))</f>
        <v>102.69230769230771</v>
      </c>
      <c r="DP42" s="17">
        <f>DO42*VLOOKUP('Données projet'!$B$14,Paramètres!$A$1:$I$89,3,0)*VLOOKUP('Données projet'!$B$14,Paramètres!$A$1:$I$89,5,0)</f>
        <v>89.712000000000032</v>
      </c>
      <c r="DQ42" s="13">
        <f t="shared" si="43"/>
        <v>24.495753377522256</v>
      </c>
      <c r="DR42" s="20">
        <f t="shared" si="16"/>
        <v>198.911837132518</v>
      </c>
      <c r="DS42" s="59">
        <f t="shared" si="17"/>
        <v>445.92123422262512</v>
      </c>
      <c r="DT42" s="59">
        <f ca="1">AVERAGE(OFFSET($DS$3,0,0,'Données projet'!$E$14+1,1))-AVERAGE(OFFSET($H$3,0,0,'Données projet'!$E$14+1,1))</f>
        <v>253.82888243490106</v>
      </c>
      <c r="DU42" s="59">
        <f t="shared" si="44"/>
        <v>224.11983819941796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3.541299490958437</v>
      </c>
      <c r="EB42" s="21">
        <f>EXP(-LN(2)/25)*EB41+(1-EXP(-LN(2)/25))/(LN(2)/25)*Calculateur!DW42*Calculateur!DY42*VLOOKUP('Données projet'!$B$14,Paramètres!$A$1:$I$89,3,0)*0.475*44/12</f>
        <v>8.8962165669626536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12.437516057921091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9.9228571428571435</v>
      </c>
      <c r="N43" s="13">
        <f>IF('Données projet'!$A$36&gt;35,N42+M43-V42,IF(A43&lt;'Données projet'!$A$36,$K$205^A43,IF(A43='Données projet'!$A$36,'Données projet'!$B$36,N42+M43-V42)))</f>
        <v>396.91428571428565</v>
      </c>
      <c r="O43" s="13">
        <f>N43*VLOOKUP('Données projet'!$B$9,Paramètres!$A$1:$I$89,3,0)*VLOOKUP('Données projet'!$B$9,Paramètres!$A$1:$I$89,5,0)</f>
        <v>185.75588571428571</v>
      </c>
      <c r="P43" s="13">
        <f t="shared" si="33"/>
        <v>46.60040933576763</v>
      </c>
      <c r="Q43" s="20">
        <f t="shared" si="53"/>
        <v>404.6872138788429</v>
      </c>
      <c r="R43" s="59">
        <f t="shared" si="0"/>
        <v>652.50022769796374</v>
      </c>
      <c r="S43" s="59">
        <f ca="1">AVERAGE(OFFSET($R$3,0,0,'Données projet'!$E$9+1,1))-AVERAGE(OFFSET($H$3,0,0,'Données projet'!$E$9+1,1))</f>
        <v>387.50901594883317</v>
      </c>
      <c r="T43" s="59">
        <f t="shared" si="34"/>
        <v>361.3623790401972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16.701250000000002</v>
      </c>
      <c r="AI43" s="13">
        <f>IF('Données projet'!$A$62&gt;35,AI42+AH43-AQ42,IF(A43&lt;'Données projet'!$A$62,$AF$205^A43,IF(A43='Données projet'!$A$62,'Données projet'!$B$62,AI42+AH43-AQ42)))</f>
        <v>283.83875000000012</v>
      </c>
      <c r="AJ43" s="13">
        <f>AI43*VLOOKUP('Données projet'!$B$10,Paramètres!$A$1:$I$89,3,0)*VLOOKUP('Données projet'!$B$10,Paramètres!$A$1:$I$89,5,0)</f>
        <v>169.73557250000007</v>
      </c>
      <c r="AK43" s="13">
        <f t="shared" si="35"/>
        <v>43.030795257249402</v>
      </c>
      <c r="AL43" s="20">
        <f t="shared" si="4"/>
        <v>370.56809051054279</v>
      </c>
      <c r="AM43" s="59">
        <f t="shared" si="5"/>
        <v>618.38110432966357</v>
      </c>
      <c r="AN43" s="59">
        <f ca="1">AVERAGE(OFFSET($AM$3,0,0,'Données projet'!$E$10+1,1))-AVERAGE(OFFSET($H$3,0,0,'Données projet'!$E$10+1,1))</f>
        <v>373.47758082856359</v>
      </c>
      <c r="AO43" s="59">
        <f t="shared" si="36"/>
        <v>277.24895424120166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7.053845907338804</v>
      </c>
      <c r="AV43" s="21">
        <f>EXP(-LN(2)/25)*AV42+(1-EXP(-LN(2)/25))/(LN(2)/25)*Calculateur!AQ43*Calculateur!AS43*VLOOKUP('Données projet'!$B$10,Paramètres!$A$1:$I$89,3,0)*0.475*44/12</f>
        <v>23.938532968405784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30.992378875744588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3.887142857142857</v>
      </c>
      <c r="BD43" s="12">
        <f>IF('Données projet'!$A$88&gt;35,BD42+BC43-BL42,IF(A43&lt;'Données projet'!$A$88,$BA$205^A43,IF(A43='Données projet'!$A$88,'Données projet'!$B$88,BD42+BC43-BL42)))</f>
        <v>155.48571428571438</v>
      </c>
      <c r="BE43" s="13">
        <f>BD43*VLOOKUP('Données projet'!$B$11,Paramètres!$A$1:$I$89,3,0)*VLOOKUP('Données projet'!$B$11,Paramètres!$A$1:$I$89,5,0)</f>
        <v>140.68347428571437</v>
      </c>
      <c r="BF43" s="13">
        <f t="shared" si="37"/>
        <v>36.453535449340755</v>
      </c>
      <c r="BG43" s="20">
        <f t="shared" si="7"/>
        <v>308.51362528855435</v>
      </c>
      <c r="BH43" s="59">
        <f t="shared" si="8"/>
        <v>556.32663910767519</v>
      </c>
      <c r="BI43" s="59">
        <f ca="1">AVERAGE(OFFSET($BH$3,0,0,'Données projet'!$E$11+1,1))-AVERAGE(OFFSET($H$3,0,0,'Données projet'!$E$11+1,1))</f>
        <v>627.65081154031589</v>
      </c>
      <c r="BJ43" s="59">
        <f t="shared" si="38"/>
        <v>288.78083487077618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3.887142857142857</v>
      </c>
      <c r="BY43" s="12">
        <f>IF('Données projet'!$A$114&gt;35,BY42+BX43-CG42,IF(A43&lt;'Données projet'!$A$114,$BV$205^A43,IF(A43='Données projet'!$A$114,'Données projet'!$B$114,BY42+BX43-CG42)))</f>
        <v>155.48571428571438</v>
      </c>
      <c r="BZ43" s="13">
        <f>BY43*VLOOKUP('Données projet'!$B$12,Paramètres!$A$1:$I$89,3,0)*VLOOKUP('Données projet'!$B$12,Paramètres!$A$1:$I$89,5,0)</f>
        <v>157.66251428571439</v>
      </c>
      <c r="CA43" s="13">
        <f t="shared" si="39"/>
        <v>40.314838243237894</v>
      </c>
      <c r="CB43" s="20">
        <f t="shared" si="10"/>
        <v>344.81055565459184</v>
      </c>
      <c r="CC43" s="59">
        <f t="shared" si="11"/>
        <v>592.62356947371268</v>
      </c>
      <c r="CD43" s="59">
        <f ca="1">AVERAGE(OFFSET($CC$3,0,0,'Données projet'!$E$12+1,1))-AVERAGE(OFFSET($H$3,0,0,'Données projet'!$E$12+1,1))</f>
        <v>692.2706942067415</v>
      </c>
      <c r="CE43" s="59">
        <f t="shared" si="40"/>
        <v>316.17529091924803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3.887142857142857</v>
      </c>
      <c r="CT43" s="12">
        <f>IF('Données projet'!$A$140&gt;35,CT42+CS43-DB42,IF(A43&lt;'Données projet'!$A$140,$CQ$205^A43,IF(A43='Données projet'!$A$140,'Données projet'!$B$140,CT42+CS43-DB42)))</f>
        <v>155.48571428571438</v>
      </c>
      <c r="CU43" s="17">
        <f>CT43*VLOOKUP('Données projet'!$B$13,Paramètres!$A$1:$I$89,3,0)*VLOOKUP('Données projet'!$B$13,Paramètres!$A$1:$I$89,5,0)</f>
        <v>177.06713142857154</v>
      </c>
      <c r="CV43" s="13">
        <f t="shared" si="41"/>
        <v>44.669054389073608</v>
      </c>
      <c r="CW43" s="20">
        <f t="shared" si="13"/>
        <v>386.19052363239865</v>
      </c>
      <c r="CX43" s="59">
        <f t="shared" si="14"/>
        <v>634.00353745151949</v>
      </c>
      <c r="CY43" s="59">
        <f ca="1">AVERAGE(OFFSET($CX$3,0,0,'Données projet'!$E$13+1,1))-AVERAGE(OFFSET($H$3,0,0,'Données projet'!$E$13+1,1))</f>
        <v>765.9523557587147</v>
      </c>
      <c r="CZ43" s="59">
        <f t="shared" si="42"/>
        <v>347.40395092312815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107.69230769230768</v>
      </c>
      <c r="DM43" s="12">
        <f>VLOOKUP(A43,'Données projet'!$A$165:$I$185,9,0)</f>
        <v>4.9999999999999973</v>
      </c>
      <c r="DN43" s="12">
        <f t="array" ref="DN43">INDEX(DM:DM,MIN(IF(ISNUMBER(DM43:DM239),ROW(DM43:DM239),"")))</f>
        <v>4.9999999999999973</v>
      </c>
      <c r="DO43" s="12">
        <f>IF('Données projet'!$A$166&gt;35,DO42+DN43-DW42,IF(A43&lt;'Données projet'!$A$166,$DL$205^A43,IF(A43='Données projet'!$A$166,'Données projet'!$B$166,DO42+DN43-DW42)))</f>
        <v>107.69230769230771</v>
      </c>
      <c r="DP43" s="17">
        <f>DO43*VLOOKUP('Données projet'!$B$14,Paramètres!$A$1:$I$89,3,0)*VLOOKUP('Données projet'!$B$14,Paramètres!$A$1:$I$89,5,0)</f>
        <v>94.080000000000027</v>
      </c>
      <c r="DQ43" s="13">
        <f t="shared" si="43"/>
        <v>25.54666934397601</v>
      </c>
      <c r="DR43" s="20">
        <f t="shared" si="16"/>
        <v>208.34978244075822</v>
      </c>
      <c r="DS43" s="59">
        <f t="shared" si="17"/>
        <v>456.16279625987903</v>
      </c>
      <c r="DT43" s="59">
        <f ca="1">AVERAGE(OFFSET($DS$3,0,0,'Données projet'!$E$14+1,1))-AVERAGE(OFFSET($H$3,0,0,'Données projet'!$E$14+1,1))</f>
        <v>253.82888243490106</v>
      </c>
      <c r="DU43" s="59">
        <f t="shared" si="44"/>
        <v>224.11983819941796</v>
      </c>
      <c r="DV43" s="15">
        <f>IF(ISNA(VLOOKUP(A43,'Données projet'!$A$165:$I$185,3,0)),0,VLOOKUP(A43,'Données projet'!$A$165:$I$185,3,0))</f>
        <v>7</v>
      </c>
      <c r="DW43" s="15">
        <f>IF(ISNA(VLOOKUP(A43,'Données projet'!$A$165:$I$185,4,0)),0,VLOOKUP(A43,'Données projet'!$A$165:$I$185,4,0))</f>
        <v>14.743589743589743</v>
      </c>
      <c r="DX43" s="16">
        <f>IF(ISNA(VLOOKUP(A43,'Données projet'!$A$165:$I$185,5,0)),0%,VLOOKUP(A43,'Données projet'!$A$165:$I$185,5,0)*VLOOKUP('Données projet'!$B$14,Paramètres!$A$1:$I$89,7,0))</f>
        <v>0.25800000000000001</v>
      </c>
      <c r="DY43" s="16">
        <f>IF(ISNA(VLOOKUP(A43,'Données projet'!$A$165:$I$185,6,0)),0%,VLOOKUP(A43,'Données projet'!$A$165:$I$185,6,0)*VLOOKUP('Données projet'!$B$14,Paramètres!$A$1:$I$89,7,0))</f>
        <v>8.6000000000000007E-2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7.1453790579233267</v>
      </c>
      <c r="EB43" s="21">
        <f>EXP(-LN(2)/25)*EB42+(1-EXP(-LN(2)/25))/(LN(2)/25)*Calculateur!DW43*Calculateur!DY43*VLOOKUP('Données projet'!$B$14,Paramètres!$A$1:$I$89,3,0)*0.475*44/12</f>
        <v>9.8726351347825982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17.018014192705927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9.9228571428571435</v>
      </c>
      <c r="N44" s="13">
        <f>IF('Données projet'!$A$36&gt;35,N43+M44-V43,IF(A44&lt;'Données projet'!$A$36,$K$205^A44,IF(A44='Données projet'!$A$36,'Données projet'!$B$36,N43+M44-V43)))</f>
        <v>406.83714285714279</v>
      </c>
      <c r="O44" s="13">
        <f>N44*VLOOKUP('Données projet'!$B$9,Paramètres!$A$1:$I$89,3,0)*VLOOKUP('Données projet'!$B$9,Paramètres!$A$1:$I$89,5,0)</f>
        <v>190.39978285714281</v>
      </c>
      <c r="P44" s="13">
        <f t="shared" si="33"/>
        <v>47.628328349435108</v>
      </c>
      <c r="Q44" s="20">
        <f t="shared" si="53"/>
        <v>414.56562701812322</v>
      </c>
      <c r="R44" s="59">
        <f t="shared" si="0"/>
        <v>663.16831661262722</v>
      </c>
      <c r="S44" s="59">
        <f ca="1">AVERAGE(OFFSET($R$3,0,0,'Données projet'!$E$9+1,1))-AVERAGE(OFFSET($H$3,0,0,'Données projet'!$E$9+1,1))</f>
        <v>387.50901594883317</v>
      </c>
      <c r="T44" s="59">
        <f t="shared" si="34"/>
        <v>361.3623790401972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>
        <f>VLOOKUP(A44,'Données projet'!$A$61:$I$81,2,0)</f>
        <v>300.54000000000002</v>
      </c>
      <c r="AG44" s="12">
        <f>VLOOKUP(A44,'Données projet'!$A$61:$I$81,9,0)</f>
        <v>16.701250000000002</v>
      </c>
      <c r="AH44" s="12">
        <f t="array" ref="AH44">INDEX(AG:AG,MIN(IF(ISNUMBER(AG44:AG240),ROW(AG44:AG240),"")))</f>
        <v>16.701250000000002</v>
      </c>
      <c r="AI44" s="13">
        <f>IF('Données projet'!$A$62&gt;35,AI43+AH44-AQ43,IF(A44&lt;'Données projet'!$A$62,$AF$205^A44,IF(A44='Données projet'!$A$62,'Données projet'!$B$62,AI43+AH44-AQ43)))</f>
        <v>300.54000000000013</v>
      </c>
      <c r="AJ44" s="13">
        <f>AI44*VLOOKUP('Données projet'!$B$10,Paramètres!$A$1:$I$89,3,0)*VLOOKUP('Données projet'!$B$10,Paramètres!$A$1:$I$89,5,0)</f>
        <v>179.72292000000007</v>
      </c>
      <c r="AK44" s="13">
        <f t="shared" si="35"/>
        <v>45.260535445550182</v>
      </c>
      <c r="AL44" s="20">
        <f t="shared" si="4"/>
        <v>391.84618490100002</v>
      </c>
      <c r="AM44" s="59">
        <f t="shared" si="5"/>
        <v>640.44887449550401</v>
      </c>
      <c r="AN44" s="59">
        <f ca="1">AVERAGE(OFFSET($AM$3,0,0,'Données projet'!$E$10+1,1))-AVERAGE(OFFSET($H$3,0,0,'Données projet'!$E$10+1,1))</f>
        <v>373.47758082856359</v>
      </c>
      <c r="AO44" s="59">
        <f t="shared" si="36"/>
        <v>277.24895424120166</v>
      </c>
      <c r="AP44" s="15">
        <f>IF(ISNA(VLOOKUP(A44,'Données projet'!$A$61:$I$81,3,0)),0,VLOOKUP(A44,'Données projet'!$A$61:$I$81,3,0))</f>
        <v>4</v>
      </c>
      <c r="AQ44" s="15">
        <f>IF(ISNA(VLOOKUP(A44,'Données projet'!$A$61:$I$81,4,0)),0,VLOOKUP(A44,'Données projet'!$A$61:$I$81,4,0))</f>
        <v>72.13</v>
      </c>
      <c r="AR44" s="16">
        <f>IF(ISNA(VLOOKUP(A44,'Données projet'!$A$61:$I$81,5,0)),0%,VLOOKUP(A44,'Données projet'!$A$61:$I$81,5,0)*VLOOKUP('Données projet'!$B$10,Paramètres!$A$1:$I$89,7,0))</f>
        <v>0.13500000000000001</v>
      </c>
      <c r="AS44" s="16">
        <f>IF(ISNA(VLOOKUP(A44,'Données projet'!$A$61:$I$81,6,0)),0%,VLOOKUP(A44,'Données projet'!$A$61:$I$81,6,0)*VLOOKUP('Données projet'!$B$10,Paramètres!$A$1:$I$89,7,0))</f>
        <v>0.22500000000000001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14.640181943930113</v>
      </c>
      <c r="AV44" s="21">
        <f>EXP(-LN(2)/25)*AV43+(1-EXP(-LN(2)/25))/(LN(2)/25)*Calculateur!AQ44*Calculateur!AS44*VLOOKUP('Données projet'!$B$10,Paramètres!$A$1:$I$89,3,0)*0.475*44/12</f>
        <v>36.107670412028959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50.747852355959068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3.887142857142857</v>
      </c>
      <c r="BD44" s="12">
        <f>IF('Données projet'!$A$88&gt;35,BD43+BC44-BL43,IF(A44&lt;'Données projet'!$A$88,$BA$205^A44,IF(A44='Données projet'!$A$88,'Données projet'!$B$88,BD43+BC44-BL43)))</f>
        <v>159.37285714285724</v>
      </c>
      <c r="BE44" s="13">
        <f>BD44*VLOOKUP('Données projet'!$B$11,Paramètres!$A$1:$I$89,3,0)*VLOOKUP('Données projet'!$B$11,Paramètres!$A$1:$I$89,5,0)</f>
        <v>144.20056114285723</v>
      </c>
      <c r="BF44" s="13">
        <f t="shared" si="37"/>
        <v>37.257633154444321</v>
      </c>
      <c r="BG44" s="20">
        <f t="shared" si="7"/>
        <v>316.03968840113345</v>
      </c>
      <c r="BH44" s="59">
        <f t="shared" si="8"/>
        <v>564.64237799563739</v>
      </c>
      <c r="BI44" s="59">
        <f ca="1">AVERAGE(OFFSET($BH$3,0,0,'Données projet'!$E$11+1,1))-AVERAGE(OFFSET($H$3,0,0,'Données projet'!$E$11+1,1))</f>
        <v>627.65081154031589</v>
      </c>
      <c r="BJ44" s="59">
        <f t="shared" si="38"/>
        <v>288.78083487077618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3.887142857142857</v>
      </c>
      <c r="BY44" s="12">
        <f>IF('Données projet'!$A$114&gt;35,BY43+BX44-CG43,IF(A44&lt;'Données projet'!$A$114,$BV$205^A44,IF(A44='Données projet'!$A$114,'Données projet'!$B$114,BY43+BX44-CG43)))</f>
        <v>159.37285714285724</v>
      </c>
      <c r="BZ44" s="13">
        <f>BY44*VLOOKUP('Données projet'!$B$12,Paramètres!$A$1:$I$89,3,0)*VLOOKUP('Données projet'!$B$12,Paramètres!$A$1:$I$89,5,0)</f>
        <v>161.60407714285725</v>
      </c>
      <c r="CA44" s="13">
        <f t="shared" si="39"/>
        <v>41.204109160679089</v>
      </c>
      <c r="CB44" s="20">
        <f t="shared" si="10"/>
        <v>353.2242578119924</v>
      </c>
      <c r="CC44" s="59">
        <f t="shared" si="11"/>
        <v>601.8269474064964</v>
      </c>
      <c r="CD44" s="59">
        <f ca="1">AVERAGE(OFFSET($CC$3,0,0,'Données projet'!$E$12+1,1))-AVERAGE(OFFSET($H$3,0,0,'Données projet'!$E$12+1,1))</f>
        <v>692.2706942067415</v>
      </c>
      <c r="CE44" s="59">
        <f t="shared" si="40"/>
        <v>316.17529091924803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3.887142857142857</v>
      </c>
      <c r="CT44" s="12">
        <f>IF('Données projet'!$A$140&gt;35,CT43+CS44-DB43,IF(A44&lt;'Données projet'!$A$140,$CQ$205^A44,IF(A44='Données projet'!$A$140,'Données projet'!$B$140,CT43+CS44-DB43)))</f>
        <v>159.37285714285724</v>
      </c>
      <c r="CU44" s="17">
        <f>CT44*VLOOKUP('Données projet'!$B$13,Paramètres!$A$1:$I$89,3,0)*VLOOKUP('Données projet'!$B$13,Paramètres!$A$1:$I$89,5,0)</f>
        <v>181.49380971428585</v>
      </c>
      <c r="CV44" s="13">
        <f t="shared" si="41"/>
        <v>45.654371277563541</v>
      </c>
      <c r="CW44" s="20">
        <f t="shared" si="13"/>
        <v>395.61641522747095</v>
      </c>
      <c r="CX44" s="59">
        <f t="shared" si="14"/>
        <v>644.21910482197495</v>
      </c>
      <c r="CY44" s="59">
        <f ca="1">AVERAGE(OFFSET($CX$3,0,0,'Données projet'!$E$13+1,1))-AVERAGE(OFFSET($H$3,0,0,'Données projet'!$E$13+1,1))</f>
        <v>765.9523557587147</v>
      </c>
      <c r="CZ44" s="59">
        <f t="shared" si="42"/>
        <v>347.40395092312815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4.487179487179489</v>
      </c>
      <c r="DO44" s="12">
        <f>IF('Données projet'!$A$166&gt;35,DO43+DN44-DW43,IF(A44&lt;'Données projet'!$A$166,$DL$205^A44,IF(A44='Données projet'!$A$166,'Données projet'!$B$166,DO43+DN44-DW43)))</f>
        <v>97.435897435897459</v>
      </c>
      <c r="DP44" s="17">
        <f>DO44*VLOOKUP('Données projet'!$B$14,Paramètres!$A$1:$I$89,3,0)*VLOOKUP('Données projet'!$B$14,Paramètres!$A$1:$I$89,5,0)</f>
        <v>85.120000000000033</v>
      </c>
      <c r="DQ44" s="13">
        <f t="shared" si="43"/>
        <v>23.384495231720521</v>
      </c>
      <c r="DR44" s="20">
        <f t="shared" si="16"/>
        <v>188.97866252857997</v>
      </c>
      <c r="DS44" s="59">
        <f t="shared" si="17"/>
        <v>437.58135212308395</v>
      </c>
      <c r="DT44" s="59">
        <f ca="1">AVERAGE(OFFSET($DS$3,0,0,'Données projet'!$E$14+1,1))-AVERAGE(OFFSET($H$3,0,0,'Données projet'!$E$14+1,1))</f>
        <v>253.82888243490106</v>
      </c>
      <c r="DU44" s="59">
        <f t="shared" si="44"/>
        <v>224.11983819941796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7.0052625328483344</v>
      </c>
      <c r="EB44" s="21">
        <f>EXP(-LN(2)/25)*EB43+(1-EXP(-LN(2)/25))/(LN(2)/25)*Calculateur!DW44*Calculateur!DY44*VLOOKUP('Données projet'!$B$14,Paramètres!$A$1:$I$89,3,0)*0.475*44/12</f>
        <v>9.6026674078426506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16.607929940690987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416.76</v>
      </c>
      <c r="L45" s="12">
        <f>VLOOKUP(A45,'Données projet'!$A$35:$I$55,9,0)</f>
        <v>9.9228571428571435</v>
      </c>
      <c r="M45" s="12">
        <f t="array" ref="M45">INDEX(L:L,MIN(IF(ISNUMBER(L45:L241),ROW(L45:L241),"")))</f>
        <v>9.9228571428571435</v>
      </c>
      <c r="N45" s="13">
        <f>IF('Données projet'!$A$36&gt;35,N44+M45-V44,IF(A45&lt;'Données projet'!$A$36,$K$205^A45,IF(A45='Données projet'!$A$36,'Données projet'!$B$36,N44+M45-V44)))</f>
        <v>416.75999999999993</v>
      </c>
      <c r="O45" s="13">
        <f>N45*VLOOKUP('Données projet'!$B$9,Paramètres!$A$1:$I$89,3,0)*VLOOKUP('Données projet'!$B$9,Paramètres!$A$1:$I$89,5,0)</f>
        <v>195.04367999999997</v>
      </c>
      <c r="P45" s="13">
        <f t="shared" si="33"/>
        <v>48.65333290919024</v>
      </c>
      <c r="Q45" s="20">
        <f t="shared" si="53"/>
        <v>424.43896415017292</v>
      </c>
      <c r="R45" s="59">
        <f t="shared" si="0"/>
        <v>673.81763041080762</v>
      </c>
      <c r="S45" s="59">
        <f ca="1">AVERAGE(OFFSET($R$3,0,0,'Données projet'!$E$9+1,1))-AVERAGE(OFFSET($H$3,0,0,'Données projet'!$E$9+1,1))</f>
        <v>387.50901594883317</v>
      </c>
      <c r="T45" s="59">
        <f t="shared" si="34"/>
        <v>361.3623790401972</v>
      </c>
      <c r="U45" s="15">
        <f>IF(ISNA(VLOOKUP(A45,'Données projet'!$A$35:$I$55,3,0)),0,VLOOKUP(A45,'Données projet'!$A$35:$I$55,3,0))</f>
        <v>1</v>
      </c>
      <c r="V45" s="15">
        <f>IF(ISNA(VLOOKUP(A45,'Données projet'!$A$35:$I$55,4,0)),0,VLOOKUP(A45,'Données projet'!$A$35:$I$55,4,0))</f>
        <v>182.39</v>
      </c>
      <c r="W45" s="16">
        <f>IF(ISNA(VLOOKUP(A45,'Données projet'!$A$35:$I$55,5,0)),0%,VLOOKUP(A45,'Données projet'!$A$35:$I$55,5,0)*VLOOKUP('Données projet'!$B$9,Paramètres!$A$1:$I$89,7,0))</f>
        <v>0.27500000000000002</v>
      </c>
      <c r="X45" s="16">
        <f>IF(ISNA(VLOOKUP(A45,'Données projet'!$A$35:$I$55,6,0)),0%,VLOOKUP(A45,'Données projet'!$A$35:$I$55,6,0)*VLOOKUP('Données projet'!$B$9,Paramètres!$A$1:$I$89,7,0))</f>
        <v>0.27500000000000002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31.1392341152544</v>
      </c>
      <c r="AA45" s="21">
        <f>EXP(-LN(2)/25)*AA44+(1-EXP(-LN(2)/25))/(LN(2)/25)*Calculateur!V45*Calculateur!X45*VLOOKUP('Données projet'!$B$9,Paramètres!$A$1:$I$89,3,0)*0.475*44/12</f>
        <v>31.016627085564249</v>
      </c>
      <c r="AB45" s="21">
        <f>EXP(-LN(2)/2)*AB44+(1-EXP(-LN(2)/2))/(LN(2)/2)*V45*Y45*VLOOKUP('Données projet'!$B$9,Paramètres!$A$1:$I$89,3,0)*0.475*44/12</f>
        <v>0</v>
      </c>
      <c r="AC45" s="22">
        <f t="shared" si="3"/>
        <v>62.155861200818649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15.725555555555552</v>
      </c>
      <c r="AI45" s="13">
        <f>IF('Données projet'!$A$62&gt;35,AI44+AH45-AQ44,IF(A45&lt;'Données projet'!$A$62,$AF$205^A45,IF(A45='Données projet'!$A$62,'Données projet'!$B$62,AI44+AH45-AQ44)))</f>
        <v>244.1355555555557</v>
      </c>
      <c r="AJ45" s="13">
        <f>AI45*VLOOKUP('Données projet'!$B$10,Paramètres!$A$1:$I$89,3,0)*VLOOKUP('Données projet'!$B$10,Paramètres!$A$1:$I$89,5,0)</f>
        <v>145.99306222222231</v>
      </c>
      <c r="AK45" s="13">
        <f t="shared" si="35"/>
        <v>37.666564668799332</v>
      </c>
      <c r="AL45" s="20">
        <f t="shared" si="4"/>
        <v>319.87385016852937</v>
      </c>
      <c r="AM45" s="59">
        <f t="shared" si="5"/>
        <v>569.25251642916407</v>
      </c>
      <c r="AN45" s="59">
        <f ca="1">AVERAGE(OFFSET($AM$3,0,0,'Données projet'!$E$10+1,1))-AVERAGE(OFFSET($H$3,0,0,'Données projet'!$E$10+1,1))</f>
        <v>373.47758082856359</v>
      </c>
      <c r="AO45" s="59">
        <f t="shared" si="36"/>
        <v>277.24895424120166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14.353096905638902</v>
      </c>
      <c r="AV45" s="21">
        <f>EXP(-LN(2)/25)*AV44+(1-EXP(-LN(2)/25))/(LN(2)/25)*Calculateur!AQ45*Calculateur!AS45*VLOOKUP('Données projet'!$B$10,Paramètres!$A$1:$I$89,3,0)*0.475*44/12</f>
        <v>35.120304265792164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49.473401171431064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163.26</v>
      </c>
      <c r="BB45" s="12">
        <f>VLOOKUP(A45,'Données projet'!$A$87:$I$107,9,0)</f>
        <v>3.887142857142857</v>
      </c>
      <c r="BC45" s="12">
        <f t="array" ref="BC45">INDEX(BB:BB,MIN(IF(ISNUMBER(BB45:BB241),ROW(BB45:BB241),"")))</f>
        <v>3.887142857142857</v>
      </c>
      <c r="BD45" s="12">
        <f>IF('Données projet'!$A$88&gt;35,BD44+BC45-BL44,IF(A45&lt;'Données projet'!$A$88,$BA$205^A45,IF(A45='Données projet'!$A$88,'Données projet'!$B$88,BD44+BC45-BL44)))</f>
        <v>163.2600000000001</v>
      </c>
      <c r="BE45" s="13">
        <f>BD45*VLOOKUP('Données projet'!$B$11,Paramètres!$A$1:$I$89,3,0)*VLOOKUP('Données projet'!$B$11,Paramètres!$A$1:$I$89,5,0)</f>
        <v>147.71764800000008</v>
      </c>
      <c r="BF45" s="13">
        <f t="shared" si="37"/>
        <v>38.059451005131997</v>
      </c>
      <c r="BG45" s="20">
        <f t="shared" si="7"/>
        <v>323.56178076727167</v>
      </c>
      <c r="BH45" s="59">
        <f t="shared" si="8"/>
        <v>572.94044702790643</v>
      </c>
      <c r="BI45" s="59">
        <f ca="1">AVERAGE(OFFSET($BH$3,0,0,'Données projet'!$E$11+1,1))-AVERAGE(OFFSET($H$3,0,0,'Données projet'!$E$11+1,1))</f>
        <v>627.65081154031589</v>
      </c>
      <c r="BJ45" s="59">
        <f t="shared" si="38"/>
        <v>288.78083487077618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43.21</v>
      </c>
      <c r="BM45" s="16">
        <f>IF(ISNA(VLOOKUP(A45,'Données projet'!$A$87:$I$107,5,0)),0%,VLOOKUP(A45,'Données projet'!$A$87:$I$107,5,0)*VLOOKUP('Données projet'!$B$11,Paramètres!$A$1:$I$89,7,0))</f>
        <v>0.129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5.575369807727423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5.575369807727423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163.26</v>
      </c>
      <c r="BW45" s="12">
        <f>VLOOKUP(A45,'Données projet'!$A$113:$I$133,9,0)</f>
        <v>3.887142857142857</v>
      </c>
      <c r="BX45" s="12">
        <f t="array" ref="BX45">INDEX(BW:BW,MIN(IF(ISNUMBER(BW45:BW241),ROW(BW45:BW241),"")))</f>
        <v>3.887142857142857</v>
      </c>
      <c r="BY45" s="12">
        <f>IF('Données projet'!$A$114&gt;35,BY44+BX45-CG44,IF(A45&lt;'Données projet'!$A$114,$BV$205^A45,IF(A45='Données projet'!$A$114,'Données projet'!$B$114,BY44+BX45-CG44)))</f>
        <v>163.2600000000001</v>
      </c>
      <c r="BZ45" s="13">
        <f>BY45*VLOOKUP('Données projet'!$B$12,Paramètres!$A$1:$I$89,3,0)*VLOOKUP('Données projet'!$B$12,Paramètres!$A$1:$I$89,5,0)</f>
        <v>165.54564000000011</v>
      </c>
      <c r="CA45" s="13">
        <f t="shared" si="39"/>
        <v>42.090858732498674</v>
      </c>
      <c r="CB45" s="20">
        <f t="shared" si="10"/>
        <v>361.6335686257687</v>
      </c>
      <c r="CC45" s="59">
        <f t="shared" si="11"/>
        <v>611.01223488640346</v>
      </c>
      <c r="CD45" s="59">
        <f ca="1">AVERAGE(OFFSET($CC$3,0,0,'Données projet'!$E$12+1,1))-AVERAGE(OFFSET($H$3,0,0,'Données projet'!$E$12+1,1))</f>
        <v>692.2706942067415</v>
      </c>
      <c r="CE45" s="59">
        <f t="shared" si="40"/>
        <v>316.17529091924803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0.129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6.2482592672807336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6.2482592672807336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163.26</v>
      </c>
      <c r="CR45" s="12">
        <f>VLOOKUP(A45,'Données projet'!$A$139:$I$159,9,0)</f>
        <v>3.887142857142857</v>
      </c>
      <c r="CS45" s="12">
        <f t="array" ref="CS45">INDEX(CR:CR,MIN(IF(ISNUMBER(CR45:CR241),ROW(CR45:CR241),"")))</f>
        <v>3.887142857142857</v>
      </c>
      <c r="CT45" s="12">
        <f>IF('Données projet'!$A$140&gt;35,CT44+CS45-DB44,IF(A45&lt;'Données projet'!$A$140,$CQ$205^A45,IF(A45='Données projet'!$A$140,'Données projet'!$B$140,CT44+CS45-DB44)))</f>
        <v>163.2600000000001</v>
      </c>
      <c r="CU45" s="17">
        <f>CT45*VLOOKUP('Données projet'!$B$13,Paramètres!$A$1:$I$89,3,0)*VLOOKUP('Données projet'!$B$13,Paramètres!$A$1:$I$89,5,0)</f>
        <v>185.92048800000012</v>
      </c>
      <c r="CV45" s="13">
        <f t="shared" si="41"/>
        <v>46.636894501744919</v>
      </c>
      <c r="CW45" s="20">
        <f t="shared" si="13"/>
        <v>405.03744119053925</v>
      </c>
      <c r="CX45" s="59">
        <f t="shared" si="14"/>
        <v>654.41610745117396</v>
      </c>
      <c r="CY45" s="59">
        <f ca="1">AVERAGE(OFFSET($CX$3,0,0,'Données projet'!$E$13+1,1))-AVERAGE(OFFSET($H$3,0,0,'Données projet'!$E$13+1,1))</f>
        <v>765.9523557587147</v>
      </c>
      <c r="CZ45" s="59">
        <f t="shared" si="42"/>
        <v>347.40395092312815</v>
      </c>
      <c r="DA45" s="15">
        <f>IF(ISNA(VLOOKUP(A45,'Données projet'!$A$139:$I$159,3,0)),0,VLOOKUP(A45,'Données projet'!$A$139:$I$159,3,0))</f>
        <v>1</v>
      </c>
      <c r="DB45" s="15">
        <f>IF(ISNA(VLOOKUP(A45,'Données projet'!$A$139:$I$159,4,0)),0,VLOOKUP(A45,'Données projet'!$A$139:$I$159,4,0))</f>
        <v>43.21</v>
      </c>
      <c r="DC45" s="16">
        <f>IF(ISNA(VLOOKUP(A45,'Données projet'!$A$139:$I$159,5,0)),0%,VLOOKUP(A45,'Données projet'!$A$139:$I$159,5,0)*VLOOKUP('Données projet'!$B$13,Paramètres!$A$1:$I$89,7,0))</f>
        <v>0.129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7.0172757924845151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7.0172757924845151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4.487179487179489</v>
      </c>
      <c r="DO45" s="12">
        <f>IF('Données projet'!$A$166&gt;35,DO44+DN45-DW44,IF(A45&lt;'Données projet'!$A$166,$DL$205^A45,IF(A45='Données projet'!$A$166,'Données projet'!$B$166,DO44+DN45-DW44)))</f>
        <v>101.92307692307695</v>
      </c>
      <c r="DP45" s="17">
        <f>DO45*VLOOKUP('Données projet'!$B$14,Paramètres!$A$1:$I$89,3,0)*VLOOKUP('Données projet'!$B$14,Paramètres!$A$1:$I$89,5,0)</f>
        <v>89.040000000000035</v>
      </c>
      <c r="DQ45" s="13">
        <f t="shared" si="43"/>
        <v>24.333551803750442</v>
      </c>
      <c r="DR45" s="20">
        <f t="shared" si="16"/>
        <v>197.45893605819876</v>
      </c>
      <c r="DS45" s="59">
        <f t="shared" si="17"/>
        <v>446.83760231883349</v>
      </c>
      <c r="DT45" s="59">
        <f ca="1">AVERAGE(OFFSET($DS$3,0,0,'Données projet'!$E$14+1,1))-AVERAGE(OFFSET($H$3,0,0,'Données projet'!$E$14+1,1))</f>
        <v>253.82888243490106</v>
      </c>
      <c r="DU45" s="59">
        <f t="shared" si="44"/>
        <v>224.11983819941796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6.8678936073674208</v>
      </c>
      <c r="EB45" s="21">
        <f>EXP(-LN(2)/25)*EB44+(1-EXP(-LN(2)/25))/(LN(2)/25)*Calculateur!DW45*Calculateur!DY45*VLOOKUP('Données projet'!$B$14,Paramètres!$A$1:$I$89,3,0)*0.475*44/12</f>
        <v>9.3400819625928619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16.207975569960283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18.127142857142854</v>
      </c>
      <c r="N46" s="13">
        <f>IF('Données projet'!$A$36&gt;35,N45+M46-V45,IF(A46&lt;'Données projet'!$A$36,$K$205^A46,IF(A46='Données projet'!$A$36,'Données projet'!$B$36,N45+M46-V45)))</f>
        <v>252.49714285714282</v>
      </c>
      <c r="O46" s="13">
        <f>N46*VLOOKUP('Données projet'!$B$9,Paramètres!$A$1:$I$89,3,0)*VLOOKUP('Données projet'!$B$9,Paramètres!$A$1:$I$89,5,0)</f>
        <v>118.16866285714285</v>
      </c>
      <c r="P46" s="13">
        <f t="shared" si="33"/>
        <v>31.247488431792092</v>
      </c>
      <c r="Q46" s="20">
        <f t="shared" si="53"/>
        <v>260.23313016156169</v>
      </c>
      <c r="R46" s="59">
        <f t="shared" si="0"/>
        <v>510.37431162799373</v>
      </c>
      <c r="S46" s="59">
        <f ca="1">AVERAGE(OFFSET($R$3,0,0,'Données projet'!$E$9+1,1))-AVERAGE(OFFSET($H$3,0,0,'Données projet'!$E$9+1,1))</f>
        <v>387.50901594883317</v>
      </c>
      <c r="T46" s="59">
        <f t="shared" si="34"/>
        <v>361.3623790401972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30.528612727311664</v>
      </c>
      <c r="AA46" s="21">
        <f>EXP(-LN(2)/25)*AA45+(1-EXP(-LN(2)/25))/(LN(2)/25)*Calculateur!V46*Calculateur!X46*VLOOKUP('Données projet'!$B$9,Paramètres!$A$1:$I$89,3,0)*0.475*44/12</f>
        <v>30.168475786815964</v>
      </c>
      <c r="AB46" s="21">
        <f>EXP(-LN(2)/2)*AB45+(1-EXP(-LN(2)/2))/(LN(2)/2)*V46*Y46*VLOOKUP('Données projet'!$B$9,Paramètres!$A$1:$I$89,3,0)*0.475*44/12</f>
        <v>0</v>
      </c>
      <c r="AC46" s="22">
        <f t="shared" si="3"/>
        <v>60.697088514127628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15.725555555555552</v>
      </c>
      <c r="AI46" s="13">
        <f>IF('Données projet'!$A$62&gt;35,AI45+AH46-AQ45,IF(A46&lt;'Données projet'!$A$62,$AF$205^A46,IF(A46='Données projet'!$A$62,'Données projet'!$B$62,AI45+AH46-AQ45)))</f>
        <v>259.86111111111126</v>
      </c>
      <c r="AJ46" s="13">
        <f>AI46*VLOOKUP('Données projet'!$B$10,Paramètres!$A$1:$I$89,3,0)*VLOOKUP('Données projet'!$B$10,Paramètres!$A$1:$I$89,5,0)</f>
        <v>155.39694444444453</v>
      </c>
      <c r="AK46" s="13">
        <f t="shared" si="35"/>
        <v>39.802526102363792</v>
      </c>
      <c r="AL46" s="20">
        <f t="shared" si="4"/>
        <v>339.97241120235782</v>
      </c>
      <c r="AM46" s="59">
        <f t="shared" si="5"/>
        <v>590.11359266878981</v>
      </c>
      <c r="AN46" s="59">
        <f ca="1">AVERAGE(OFFSET($AM$3,0,0,'Données projet'!$E$10+1,1))-AVERAGE(OFFSET($H$3,0,0,'Données projet'!$E$10+1,1))</f>
        <v>373.47758082856359</v>
      </c>
      <c r="AO46" s="59">
        <f t="shared" si="36"/>
        <v>277.24895424120166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14.071641429843998</v>
      </c>
      <c r="AV46" s="21">
        <f>EXP(-LN(2)/25)*AV45+(1-EXP(-LN(2)/25))/(LN(2)/25)*Calculateur!AQ46*Calculateur!AS46*VLOOKUP('Données projet'!$B$10,Paramètres!$A$1:$I$89,3,0)*0.475*44/12</f>
        <v>34.159937698747548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48.231579128591548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9.3712500000000034</v>
      </c>
      <c r="BD46" s="12">
        <f>IF('Données projet'!$A$88&gt;35,BD45+BC46-BL45,IF(A46&lt;'Données projet'!$A$88,$BA$205^A46,IF(A46='Données projet'!$A$88,'Données projet'!$B$88,BD45+BC46-BL45)))</f>
        <v>129.4212500000001</v>
      </c>
      <c r="BE46" s="13">
        <f>BD46*VLOOKUP('Données projet'!$B$11,Paramètres!$A$1:$I$89,3,0)*VLOOKUP('Données projet'!$B$11,Paramètres!$A$1:$I$89,5,0)</f>
        <v>117.10034700000008</v>
      </c>
      <c r="BF46" s="13">
        <f t="shared" si="37"/>
        <v>30.997743089027207</v>
      </c>
      <c r="BG46" s="20">
        <f t="shared" si="7"/>
        <v>257.93750690505584</v>
      </c>
      <c r="BH46" s="59">
        <f t="shared" si="8"/>
        <v>508.07868837148789</v>
      </c>
      <c r="BI46" s="59">
        <f ca="1">AVERAGE(OFFSET($BH$3,0,0,'Données projet'!$E$11+1,1))-AVERAGE(OFFSET($H$3,0,0,'Données projet'!$E$11+1,1))</f>
        <v>627.65081154031589</v>
      </c>
      <c r="BJ46" s="59">
        <f t="shared" si="38"/>
        <v>288.78083487077618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5.4660402064376861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5.4660402064376861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9.3712500000000034</v>
      </c>
      <c r="BY46" s="12">
        <f>IF('Données projet'!$A$114&gt;35,BY45+BX46-CG45,IF(A46&lt;'Données projet'!$A$114,$BV$205^A46,IF(A46='Données projet'!$A$114,'Données projet'!$B$114,BY45+BX46-CG45)))</f>
        <v>129.4212500000001</v>
      </c>
      <c r="BZ46" s="13">
        <f>BY46*VLOOKUP('Données projet'!$B$12,Paramètres!$A$1:$I$89,3,0)*VLOOKUP('Données projet'!$B$12,Paramètres!$A$1:$I$89,5,0)</f>
        <v>131.23314750000011</v>
      </c>
      <c r="CA46" s="13">
        <f t="shared" si="39"/>
        <v>34.281146756704409</v>
      </c>
      <c r="CB46" s="20">
        <f t="shared" si="10"/>
        <v>288.27072916376034</v>
      </c>
      <c r="CC46" s="59">
        <f t="shared" si="11"/>
        <v>538.41191063019232</v>
      </c>
      <c r="CD46" s="59">
        <f ca="1">AVERAGE(OFFSET($CC$3,0,0,'Données projet'!$E$12+1,1))-AVERAGE(OFFSET($H$3,0,0,'Données projet'!$E$12+1,1))</f>
        <v>692.2706942067415</v>
      </c>
      <c r="CE46" s="59">
        <f t="shared" si="40"/>
        <v>316.17529091924803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6.1257347141112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6.1257347141112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9.3712500000000034</v>
      </c>
      <c r="CT46" s="12">
        <f>IF('Données projet'!$A$140&gt;35,CT45+CS46-DB45,IF(A46&lt;'Données projet'!$A$140,$CQ$205^A46,IF(A46='Données projet'!$A$140,'Données projet'!$B$140,CT45+CS46-DB45)))</f>
        <v>129.4212500000001</v>
      </c>
      <c r="CU46" s="17">
        <f>CT46*VLOOKUP('Données projet'!$B$13,Paramètres!$A$1:$I$89,3,0)*VLOOKUP('Données projet'!$B$13,Paramètres!$A$1:$I$89,5,0)</f>
        <v>147.38491950000011</v>
      </c>
      <c r="CV46" s="13">
        <f t="shared" si="41"/>
        <v>37.983692251373348</v>
      </c>
      <c r="CW46" s="20">
        <f t="shared" si="13"/>
        <v>322.8503321336421</v>
      </c>
      <c r="CX46" s="59">
        <f t="shared" si="14"/>
        <v>572.99151360007409</v>
      </c>
      <c r="CY46" s="59">
        <f ca="1">AVERAGE(OFFSET($CX$3,0,0,'Données projet'!$E$13+1,1))-AVERAGE(OFFSET($H$3,0,0,'Données projet'!$E$13+1,1))</f>
        <v>765.9523557587147</v>
      </c>
      <c r="CZ46" s="59">
        <f t="shared" si="42"/>
        <v>347.40395092312815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6.8796712943095004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6.8796712943095004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4.487179487179489</v>
      </c>
      <c r="DO46" s="12">
        <f>IF('Données projet'!$A$166&gt;35,DO45+DN46-DW45,IF(A46&lt;'Données projet'!$A$166,$DL$205^A46,IF(A46='Données projet'!$A$166,'Données projet'!$B$166,DO45+DN46-DW45)))</f>
        <v>106.41025641025644</v>
      </c>
      <c r="DP46" s="17">
        <f>DO46*VLOOKUP('Données projet'!$B$14,Paramètres!$A$1:$I$89,3,0)*VLOOKUP('Données projet'!$B$14,Paramètres!$A$1:$I$89,5,0)</f>
        <v>92.960000000000036</v>
      </c>
      <c r="DQ46" s="13">
        <f t="shared" si="43"/>
        <v>25.277755693390663</v>
      </c>
      <c r="DR46" s="20">
        <f t="shared" si="16"/>
        <v>205.93075783265544</v>
      </c>
      <c r="DS46" s="59">
        <f t="shared" si="17"/>
        <v>456.07193929908749</v>
      </c>
      <c r="DT46" s="59">
        <f ca="1">AVERAGE(OFFSET($DS$3,0,0,'Données projet'!$E$14+1,1))-AVERAGE(OFFSET($H$3,0,0,'Données projet'!$E$14+1,1))</f>
        <v>253.82888243490106</v>
      </c>
      <c r="DU46" s="59">
        <f t="shared" si="44"/>
        <v>224.11983819941796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6.7332184027284168</v>
      </c>
      <c r="EB46" s="21">
        <f>EXP(-LN(2)/25)*EB45+(1-EXP(-LN(2)/25))/(LN(2)/25)*Calculateur!DW46*Calculateur!DY46*VLOOKUP('Données projet'!$B$14,Paramètres!$A$1:$I$89,3,0)*0.475*44/12</f>
        <v>9.084676930152197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15.817895332880614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18.127142857142854</v>
      </c>
      <c r="N47" s="13">
        <f>IF('Données projet'!$A$36&gt;35,N46+M47-V46,IF(A47&lt;'Données projet'!$A$36,$K$205^A47,IF(A47='Données projet'!$A$36,'Données projet'!$B$36,N46+M47-V46)))</f>
        <v>270.62428571428569</v>
      </c>
      <c r="O47" s="13">
        <f>N47*VLOOKUP('Données projet'!$B$9,Paramètres!$A$1:$I$89,3,0)*VLOOKUP('Données projet'!$B$9,Paramètres!$A$1:$I$89,5,0)</f>
        <v>126.6521657142857</v>
      </c>
      <c r="P47" s="13">
        <f t="shared" si="33"/>
        <v>33.221602407666438</v>
      </c>
      <c r="Q47" s="20">
        <f t="shared" si="53"/>
        <v>278.44681281239997</v>
      </c>
      <c r="R47" s="59">
        <f t="shared" si="0"/>
        <v>529.33728155053745</v>
      </c>
      <c r="S47" s="59">
        <f ca="1">AVERAGE(OFFSET($R$3,0,0,'Données projet'!$E$9+1,1))-AVERAGE(OFFSET($H$3,0,0,'Données projet'!$E$9+1,1))</f>
        <v>387.50901594883317</v>
      </c>
      <c r="T47" s="59">
        <f t="shared" si="34"/>
        <v>361.3623790401972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29.929965252344214</v>
      </c>
      <c r="AA47" s="21">
        <f>EXP(-LN(2)/25)*AA46+(1-EXP(-LN(2)/25))/(LN(2)/25)*Calculateur!V47*Calculateur!X47*VLOOKUP('Données projet'!$B$9,Paramètres!$A$1:$I$89,3,0)*0.475*44/12</f>
        <v>29.343517229934292</v>
      </c>
      <c r="AB47" s="21">
        <f>EXP(-LN(2)/2)*AB46+(1-EXP(-LN(2)/2))/(LN(2)/2)*V47*Y47*VLOOKUP('Données projet'!$B$9,Paramètres!$A$1:$I$89,3,0)*0.475*44/12</f>
        <v>0</v>
      </c>
      <c r="AC47" s="22">
        <f t="shared" si="3"/>
        <v>59.27348248227851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15.725555555555552</v>
      </c>
      <c r="AI47" s="13">
        <f>IF('Données projet'!$A$62&gt;35,AI46+AH47-AQ46,IF(A47&lt;'Données projet'!$A$62,$AF$205^A47,IF(A47='Données projet'!$A$62,'Données projet'!$B$62,AI46+AH47-AQ46)))</f>
        <v>275.58666666666682</v>
      </c>
      <c r="AJ47" s="13">
        <f>AI47*VLOOKUP('Données projet'!$B$10,Paramètres!$A$1:$I$89,3,0)*VLOOKUP('Données projet'!$B$10,Paramètres!$A$1:$I$89,5,0)</f>
        <v>164.80082666666678</v>
      </c>
      <c r="AK47" s="13">
        <f t="shared" si="35"/>
        <v>41.923485083367801</v>
      </c>
      <c r="AL47" s="20">
        <f t="shared" si="4"/>
        <v>360.04484296464358</v>
      </c>
      <c r="AM47" s="59">
        <f t="shared" si="5"/>
        <v>610.93531170278106</v>
      </c>
      <c r="AN47" s="59">
        <f ca="1">AVERAGE(OFFSET($AM$3,0,0,'Données projet'!$E$10+1,1))-AVERAGE(OFFSET($H$3,0,0,'Données projet'!$E$10+1,1))</f>
        <v>373.47758082856359</v>
      </c>
      <c r="AO47" s="59">
        <f t="shared" si="36"/>
        <v>277.24895424120166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13.795705124258543</v>
      </c>
      <c r="AV47" s="21">
        <f>EXP(-LN(2)/25)*AV46+(1-EXP(-LN(2)/25))/(LN(2)/25)*Calculateur!AQ47*Calculateur!AS47*VLOOKUP('Données projet'!$B$10,Paramètres!$A$1:$I$89,3,0)*0.475*44/12</f>
        <v>33.225832405982246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47.021537530240792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9.3712500000000034</v>
      </c>
      <c r="BD47" s="12">
        <f>IF('Données projet'!$A$88&gt;35,BD46+BC47-BL46,IF(A47&lt;'Données projet'!$A$88,$BA$205^A47,IF(A47='Données projet'!$A$88,'Données projet'!$B$88,BD46+BC47-BL46)))</f>
        <v>138.7925000000001</v>
      </c>
      <c r="BE47" s="13">
        <f>BD47*VLOOKUP('Données projet'!$B$11,Paramètres!$A$1:$I$89,3,0)*VLOOKUP('Données projet'!$B$11,Paramètres!$A$1:$I$89,5,0)</f>
        <v>125.5794540000001</v>
      </c>
      <c r="BF47" s="13">
        <f t="shared" si="37"/>
        <v>32.97285338000448</v>
      </c>
      <c r="BG47" s="20">
        <f t="shared" si="7"/>
        <v>276.14526868684135</v>
      </c>
      <c r="BH47" s="59">
        <f t="shared" si="8"/>
        <v>527.03573742497883</v>
      </c>
      <c r="BI47" s="59">
        <f ca="1">AVERAGE(OFFSET($BH$3,0,0,'Données projet'!$E$11+1,1))-AVERAGE(OFFSET($H$3,0,0,'Données projet'!$E$11+1,1))</f>
        <v>627.65081154031589</v>
      </c>
      <c r="BJ47" s="59">
        <f t="shared" si="38"/>
        <v>288.78083487077618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5.3588544919447685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5.3588544919447685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9.3712500000000034</v>
      </c>
      <c r="BY47" s="12">
        <f>IF('Données projet'!$A$114&gt;35,BY46+BX47-CG46,IF(A47&lt;'Données projet'!$A$114,$BV$205^A47,IF(A47='Données projet'!$A$114,'Données projet'!$B$114,BY46+BX47-CG46)))</f>
        <v>138.7925000000001</v>
      </c>
      <c r="BZ47" s="13">
        <f>BY47*VLOOKUP('Données projet'!$B$12,Paramètres!$A$1:$I$89,3,0)*VLOOKUP('Données projet'!$B$12,Paramètres!$A$1:$I$89,5,0)</f>
        <v>140.7355950000001</v>
      </c>
      <c r="CA47" s="13">
        <f t="shared" si="39"/>
        <v>36.465468549139587</v>
      </c>
      <c r="CB47" s="20">
        <f t="shared" si="10"/>
        <v>308.62518568141826</v>
      </c>
      <c r="CC47" s="59">
        <f t="shared" si="11"/>
        <v>559.51565441955563</v>
      </c>
      <c r="CD47" s="59">
        <f ca="1">AVERAGE(OFFSET($CC$3,0,0,'Données projet'!$E$12+1,1))-AVERAGE(OFFSET($H$3,0,0,'Données projet'!$E$12+1,1))</f>
        <v>692.2706942067415</v>
      </c>
      <c r="CE47" s="59">
        <f t="shared" si="40"/>
        <v>316.17529091924803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6.0056127926967227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6.0056127926967227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9.3712500000000034</v>
      </c>
      <c r="CT47" s="12">
        <f>IF('Données projet'!$A$140&gt;35,CT46+CS47-DB46,IF(A47&lt;'Données projet'!$A$140,$CQ$205^A47,IF(A47='Données projet'!$A$140,'Données projet'!$B$140,CT46+CS47-DB46)))</f>
        <v>138.7925000000001</v>
      </c>
      <c r="CU47" s="17">
        <f>CT47*VLOOKUP('Données projet'!$B$13,Paramètres!$A$1:$I$89,3,0)*VLOOKUP('Données projet'!$B$13,Paramètres!$A$1:$I$89,5,0)</f>
        <v>158.05689900000013</v>
      </c>
      <c r="CV47" s="13">
        <f t="shared" si="41"/>
        <v>40.403932371421206</v>
      </c>
      <c r="CW47" s="20">
        <f t="shared" si="13"/>
        <v>345.65261463855882</v>
      </c>
      <c r="CX47" s="59">
        <f t="shared" si="14"/>
        <v>596.54308337669625</v>
      </c>
      <c r="CY47" s="59">
        <f ca="1">AVERAGE(OFFSET($CX$3,0,0,'Données projet'!$E$13+1,1))-AVERAGE(OFFSET($H$3,0,0,'Données projet'!$E$13+1,1))</f>
        <v>765.9523557587147</v>
      </c>
      <c r="CZ47" s="59">
        <f t="shared" si="42"/>
        <v>347.40395092312815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6.7447651364132417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6.7447651364132417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4.487179487179489</v>
      </c>
      <c r="DO47" s="12">
        <f>IF('Données projet'!$A$166&gt;35,DO46+DN47-DW46,IF(A47&lt;'Données projet'!$A$166,$DL$205^A47,IF(A47='Données projet'!$A$166,'Données projet'!$B$166,DO46+DN47-DW46)))</f>
        <v>110.89743589743593</v>
      </c>
      <c r="DP47" s="17">
        <f>DO47*VLOOKUP('Données projet'!$B$14,Paramètres!$A$1:$I$89,3,0)*VLOOKUP('Données projet'!$B$14,Paramètres!$A$1:$I$89,5,0)</f>
        <v>96.880000000000038</v>
      </c>
      <c r="DQ47" s="13">
        <f t="shared" si="43"/>
        <v>26.217334929013017</v>
      </c>
      <c r="DR47" s="20">
        <f t="shared" si="16"/>
        <v>214.3945250013644</v>
      </c>
      <c r="DS47" s="59">
        <f t="shared" si="17"/>
        <v>465.28499373950183</v>
      </c>
      <c r="DT47" s="59">
        <f ca="1">AVERAGE(OFFSET($DS$3,0,0,'Données projet'!$E$14+1,1))-AVERAGE(OFFSET($H$3,0,0,'Données projet'!$E$14+1,1))</f>
        <v>253.82888243490106</v>
      </c>
      <c r="DU47" s="59">
        <f t="shared" si="44"/>
        <v>224.11983819941796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6.6011840967086197</v>
      </c>
      <c r="EB47" s="21">
        <f>EXP(-LN(2)/25)*EB46+(1-EXP(-LN(2)/25))/(LN(2)/25)*Calculateur!DW47*Calculateur!DY47*VLOOKUP('Données projet'!$B$14,Paramètres!$A$1:$I$89,3,0)*0.475*44/12</f>
        <v>8.8362559617547891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15.437440058463409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18.127142857142854</v>
      </c>
      <c r="N48" s="13">
        <f>IF('Données projet'!$A$36&gt;35,N47+M48-V47,IF(A48&lt;'Données projet'!$A$36,$K$205^A48,IF(A48='Données projet'!$A$36,'Données projet'!$B$36,N47+M48-V47)))</f>
        <v>288.75142857142856</v>
      </c>
      <c r="O48" s="13">
        <f>N48*VLOOKUP('Données projet'!$B$9,Paramètres!$A$1:$I$89,3,0)*VLOOKUP('Données projet'!$B$9,Paramètres!$A$1:$I$89,5,0)</f>
        <v>135.13566857142857</v>
      </c>
      <c r="P48" s="13">
        <f t="shared" si="33"/>
        <v>35.180372380671528</v>
      </c>
      <c r="Q48" s="20">
        <f t="shared" si="53"/>
        <v>296.63377132490763</v>
      </c>
      <c r="R48" s="59">
        <f t="shared" si="0"/>
        <v>548.26052887574178</v>
      </c>
      <c r="S48" s="59">
        <f ca="1">AVERAGE(OFFSET($R$3,0,0,'Données projet'!$E$9+1,1))-AVERAGE(OFFSET($H$3,0,0,'Données projet'!$E$9+1,1))</f>
        <v>387.50901594883317</v>
      </c>
      <c r="T48" s="59">
        <f t="shared" si="34"/>
        <v>361.3623790401972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29.34305688922197</v>
      </c>
      <c r="AA48" s="21">
        <f>EXP(-LN(2)/25)*AA47+(1-EXP(-LN(2)/25))/(LN(2)/25)*Calculateur!V48*Calculateur!X48*VLOOKUP('Données projet'!$B$9,Paramètres!$A$1:$I$89,3,0)*0.475*44/12</f>
        <v>28.541117208173233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57.884174097395203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15.725555555555552</v>
      </c>
      <c r="AI48" s="13">
        <f>IF('Données projet'!$A$62&gt;35,AI47+AH48-AQ47,IF(A48&lt;'Données projet'!$A$62,$AF$205^A48,IF(A48='Données projet'!$A$62,'Données projet'!$B$62,AI47+AH48-AQ47)))</f>
        <v>291.31222222222237</v>
      </c>
      <c r="AJ48" s="13">
        <f>AI48*VLOOKUP('Données projet'!$B$10,Paramètres!$A$1:$I$89,3,0)*VLOOKUP('Données projet'!$B$10,Paramètres!$A$1:$I$89,5,0)</f>
        <v>174.204708888889</v>
      </c>
      <c r="AK48" s="13">
        <f t="shared" si="35"/>
        <v>44.030395226989455</v>
      </c>
      <c r="AL48" s="20">
        <f t="shared" si="4"/>
        <v>380.09280633515499</v>
      </c>
      <c r="AM48" s="59">
        <f t="shared" si="5"/>
        <v>631.71956388598915</v>
      </c>
      <c r="AN48" s="59">
        <f ca="1">AVERAGE(OFFSET($AM$3,0,0,'Données projet'!$E$10+1,1))-AVERAGE(OFFSET($H$3,0,0,'Données projet'!$E$10+1,1))</f>
        <v>373.47758082856359</v>
      </c>
      <c r="AO48" s="59">
        <f t="shared" si="36"/>
        <v>277.24895424120166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13.525179761321091</v>
      </c>
      <c r="AV48" s="21">
        <f>EXP(-LN(2)/25)*AV47+(1-EXP(-LN(2)/25))/(LN(2)/25)*Calculateur!AQ48*Calculateur!AS48*VLOOKUP('Données projet'!$B$10,Paramètres!$A$1:$I$89,3,0)*0.475*44/12</f>
        <v>32.317270271570074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45.842450032891165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9.3712500000000034</v>
      </c>
      <c r="BD48" s="12">
        <f>IF('Données projet'!$A$88&gt;35,BD47+BC48-BL47,IF(A48&lt;'Données projet'!$A$88,$BA$205^A48,IF(A48='Données projet'!$A$88,'Données projet'!$B$88,BD47+BC48-BL47)))</f>
        <v>148.16375000000011</v>
      </c>
      <c r="BE48" s="13">
        <f>BD48*VLOOKUP('Données projet'!$B$11,Paramètres!$A$1:$I$89,3,0)*VLOOKUP('Données projet'!$B$11,Paramètres!$A$1:$I$89,5,0)</f>
        <v>134.05856100000008</v>
      </c>
      <c r="BF48" s="13">
        <f t="shared" si="37"/>
        <v>34.932489097291651</v>
      </c>
      <c r="BG48" s="20">
        <f t="shared" si="7"/>
        <v>294.3260789194498</v>
      </c>
      <c r="BH48" s="59">
        <f t="shared" si="8"/>
        <v>545.95283647028396</v>
      </c>
      <c r="BI48" s="59">
        <f ca="1">AVERAGE(OFFSET($BH$3,0,0,'Données projet'!$E$11+1,1))-AVERAGE(OFFSET($H$3,0,0,'Données projet'!$E$11+1,1))</f>
        <v>627.65081154031589</v>
      </c>
      <c r="BJ48" s="59">
        <f t="shared" si="38"/>
        <v>288.78083487077618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5.2537706239362265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5.2537706239362265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9.3712500000000034</v>
      </c>
      <c r="BY48" s="12">
        <f>IF('Données projet'!$A$114&gt;35,BY47+BX48-CG47,IF(A48&lt;'Données projet'!$A$114,$BV$205^A48,IF(A48='Données projet'!$A$114,'Données projet'!$B$114,BY47+BX48-CG47)))</f>
        <v>148.16375000000011</v>
      </c>
      <c r="BZ48" s="13">
        <f>BY48*VLOOKUP('Données projet'!$B$12,Paramètres!$A$1:$I$89,3,0)*VLOOKUP('Données projet'!$B$12,Paramètres!$A$1:$I$89,5,0)</f>
        <v>150.23804250000012</v>
      </c>
      <c r="CA48" s="13">
        <f t="shared" si="39"/>
        <v>38.632676639775759</v>
      </c>
      <c r="CB48" s="20">
        <f t="shared" si="10"/>
        <v>328.94983583510964</v>
      </c>
      <c r="CC48" s="59">
        <f t="shared" si="11"/>
        <v>580.57659338594374</v>
      </c>
      <c r="CD48" s="59">
        <f ca="1">AVERAGE(OFFSET($CC$3,0,0,'Données projet'!$E$12+1,1))-AVERAGE(OFFSET($H$3,0,0,'Données projet'!$E$12+1,1))</f>
        <v>692.2706942067415</v>
      </c>
      <c r="CE48" s="59">
        <f t="shared" si="40"/>
        <v>316.17529091924803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5.8878463888940464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5.8878463888940464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9.3712500000000034</v>
      </c>
      <c r="CT48" s="12">
        <f>IF('Données projet'!$A$140&gt;35,CT47+CS48-DB47,IF(A48&lt;'Données projet'!$A$140,$CQ$205^A48,IF(A48='Données projet'!$A$140,'Données projet'!$B$140,CT47+CS48-DB47)))</f>
        <v>148.16375000000011</v>
      </c>
      <c r="CU48" s="17">
        <f>CT48*VLOOKUP('Données projet'!$B$13,Paramètres!$A$1:$I$89,3,0)*VLOOKUP('Données projet'!$B$13,Paramètres!$A$1:$I$89,5,0)</f>
        <v>168.72887850000012</v>
      </c>
      <c r="CV48" s="13">
        <f t="shared" si="41"/>
        <v>42.805210419195724</v>
      </c>
      <c r="CW48" s="20">
        <f t="shared" si="13"/>
        <v>368.42187153426613</v>
      </c>
      <c r="CX48" s="59">
        <f t="shared" si="14"/>
        <v>620.04862908510029</v>
      </c>
      <c r="CY48" s="59">
        <f ca="1">AVERAGE(OFFSET($CX$3,0,0,'Données projet'!$E$13+1,1))-AVERAGE(OFFSET($H$3,0,0,'Données projet'!$E$13+1,1))</f>
        <v>765.9523557587147</v>
      </c>
      <c r="CZ48" s="59">
        <f t="shared" si="42"/>
        <v>347.40395092312815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6.6125044059886973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6.6125044059886973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115.38461538461539</v>
      </c>
      <c r="DM48" s="12">
        <f>VLOOKUP(A48,'Données projet'!$A$165:$I$185,9,0)</f>
        <v>4.487179487179489</v>
      </c>
      <c r="DN48" s="12">
        <f t="array" ref="DN48">INDEX(DM:DM,MIN(IF(ISNUMBER(DM48:DM244),ROW(DM48:DM244),"")))</f>
        <v>4.487179487179489</v>
      </c>
      <c r="DO48" s="12">
        <f>IF('Données projet'!$A$166&gt;35,DO47+DN48-DW47,IF(A48&lt;'Données projet'!$A$166,$DL$205^A48,IF(A48='Données projet'!$A$166,'Données projet'!$B$166,DO47+DN48-DW47)))</f>
        <v>115.38461538461542</v>
      </c>
      <c r="DP48" s="17">
        <f>DO48*VLOOKUP('Données projet'!$B$14,Paramètres!$A$1:$I$89,3,0)*VLOOKUP('Données projet'!$B$14,Paramètres!$A$1:$I$89,5,0)</f>
        <v>100.80000000000004</v>
      </c>
      <c r="DQ48" s="13">
        <f t="shared" si="43"/>
        <v>27.152498041464082</v>
      </c>
      <c r="DR48" s="20">
        <f t="shared" si="16"/>
        <v>222.85060075554998</v>
      </c>
      <c r="DS48" s="59">
        <f t="shared" si="17"/>
        <v>474.47735830638408</v>
      </c>
      <c r="DT48" s="59">
        <f ca="1">AVERAGE(OFFSET($DS$3,0,0,'Données projet'!$E$14+1,1))-AVERAGE(OFFSET($H$3,0,0,'Données projet'!$E$14+1,1))</f>
        <v>253.82888243490106</v>
      </c>
      <c r="DU48" s="59">
        <f t="shared" si="44"/>
        <v>224.11983819941796</v>
      </c>
      <c r="DV48" s="15">
        <f>IF(ISNA(VLOOKUP(A48,'Données projet'!$A$165:$I$185,3,0)),0,VLOOKUP(A48,'Données projet'!$A$165:$I$185,3,0))</f>
        <v>8</v>
      </c>
      <c r="DW48" s="15">
        <f>IF(ISNA(VLOOKUP(A48,'Données projet'!$A$165:$I$185,4,0)),0,VLOOKUP(A48,'Données projet'!$A$165:$I$185,4,0))</f>
        <v>14.102564102564102</v>
      </c>
      <c r="DX48" s="16">
        <f>IF(ISNA(VLOOKUP(A48,'Données projet'!$A$165:$I$185,5,0)),0%,VLOOKUP(A48,'Données projet'!$A$165:$I$185,5,0)*VLOOKUP('Données projet'!$B$14,Paramètres!$A$1:$I$89,7,0))</f>
        <v>0.25800000000000001</v>
      </c>
      <c r="DY48" s="16">
        <f>IF(ISNA(VLOOKUP(A48,'Données projet'!$A$165:$I$185,6,0)),0%,VLOOKUP(A48,'Données projet'!$A$165:$I$185,6,0)*VLOOKUP('Données projet'!$B$14,Paramètres!$A$1:$I$89,7,0))</f>
        <v>0.129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9.9855428324651498</v>
      </c>
      <c r="EB48" s="21">
        <f>EXP(-LN(2)/25)*EB47+(1-EXP(-LN(2)/25))/(LN(2)/25)*Calculateur!DW48*Calculateur!DY48*VLOOKUP('Données projet'!$B$14,Paramètres!$A$1:$I$89,3,0)*0.475*44/12</f>
        <v>10.34461245011874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20.330155282583888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18.127142857142854</v>
      </c>
      <c r="N49" s="13">
        <f>IF('Données projet'!$A$36&gt;35,N48+M49-V48,IF(A49&lt;'Données projet'!$A$36,$K$205^A49,IF(A49='Données projet'!$A$36,'Données projet'!$B$36,N48+M49-V48)))</f>
        <v>306.87857142857143</v>
      </c>
      <c r="O49" s="13">
        <f>N49*VLOOKUP('Données projet'!$B$9,Paramètres!$A$1:$I$89,3,0)*VLOOKUP('Données projet'!$B$9,Paramètres!$A$1:$I$89,5,0)</f>
        <v>143.61917142857143</v>
      </c>
      <c r="P49" s="13">
        <f t="shared" si="33"/>
        <v>37.124871268762028</v>
      </c>
      <c r="Q49" s="20">
        <f t="shared" si="53"/>
        <v>314.79587436452249</v>
      </c>
      <c r="R49" s="59">
        <f t="shared" si="0"/>
        <v>567.14614776324811</v>
      </c>
      <c r="S49" s="59">
        <f ca="1">AVERAGE(OFFSET($R$3,0,0,'Données projet'!$E$9+1,1))-AVERAGE(OFFSET($H$3,0,0,'Données projet'!$E$9+1,1))</f>
        <v>387.50901594883317</v>
      </c>
      <c r="T49" s="59">
        <f t="shared" si="34"/>
        <v>361.3623790401972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28.767657441121798</v>
      </c>
      <c r="AA49" s="21">
        <f>EXP(-LN(2)/25)*AA48+(1-EXP(-LN(2)/25))/(LN(2)/25)*Calculateur!V49*Calculateur!X49*VLOOKUP('Données projet'!$B$9,Paramètres!$A$1:$I$89,3,0)*0.475*44/12</f>
        <v>27.760658857203612</v>
      </c>
      <c r="AB49" s="21">
        <f>EXP(-LN(2)/2)*AB48+(1-EXP(-LN(2)/2))/(LN(2)/2)*V49*Y49*VLOOKUP('Données projet'!$B$9,Paramètres!$A$1:$I$89,3,0)*0.475*44/12</f>
        <v>0</v>
      </c>
      <c r="AC49" s="22">
        <f t="shared" si="3"/>
        <v>56.528316298325407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15.725555555555552</v>
      </c>
      <c r="AI49" s="13">
        <f>IF('Données projet'!$A$62&gt;35,AI48+AH49-AQ48,IF(A49&lt;'Données projet'!$A$62,$AF$205^A49,IF(A49='Données projet'!$A$62,'Données projet'!$B$62,AI48+AH49-AQ48)))</f>
        <v>307.03777777777793</v>
      </c>
      <c r="AJ49" s="13">
        <f>AI49*VLOOKUP('Données projet'!$B$10,Paramètres!$A$1:$I$89,3,0)*VLOOKUP('Données projet'!$B$10,Paramètres!$A$1:$I$89,5,0)</f>
        <v>183.60859111111122</v>
      </c>
      <c r="AK49" s="13">
        <f t="shared" si="35"/>
        <v>46.124101377958297</v>
      </c>
      <c r="AL49" s="20">
        <f t="shared" si="4"/>
        <v>400.11777275179605</v>
      </c>
      <c r="AM49" s="59">
        <f t="shared" si="5"/>
        <v>652.46804615052167</v>
      </c>
      <c r="AN49" s="59">
        <f ca="1">AVERAGE(OFFSET($AM$3,0,0,'Données projet'!$E$10+1,1))-AVERAGE(OFFSET($H$3,0,0,'Données projet'!$E$10+1,1))</f>
        <v>373.47758082856359</v>
      </c>
      <c r="AO49" s="59">
        <f t="shared" si="36"/>
        <v>277.24895424120166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13.259959235746663</v>
      </c>
      <c r="AV49" s="21">
        <f>EXP(-LN(2)/25)*AV48+(1-EXP(-LN(2)/25))/(LN(2)/25)*Calculateur!AQ49*Calculateur!AS49*VLOOKUP('Données projet'!$B$10,Paramètres!$A$1:$I$89,3,0)*0.475*44/12</f>
        <v>31.433552816502608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44.693512052249275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9.3712500000000034</v>
      </c>
      <c r="BD49" s="12">
        <f>IF('Données projet'!$A$88&gt;35,BD48+BC49-BL48,IF(A49&lt;'Données projet'!$A$88,$BA$205^A49,IF(A49='Données projet'!$A$88,'Données projet'!$B$88,BD48+BC49-BL48)))</f>
        <v>157.53500000000011</v>
      </c>
      <c r="BE49" s="13">
        <f>BD49*VLOOKUP('Données projet'!$B$11,Paramètres!$A$1:$I$89,3,0)*VLOOKUP('Données projet'!$B$11,Paramètres!$A$1:$I$89,5,0)</f>
        <v>142.53766800000008</v>
      </c>
      <c r="BF49" s="13">
        <f t="shared" si="37"/>
        <v>36.877740410345027</v>
      </c>
      <c r="BG49" s="20">
        <f t="shared" si="7"/>
        <v>312.48183631468436</v>
      </c>
      <c r="BH49" s="59">
        <f t="shared" si="8"/>
        <v>564.83210971340998</v>
      </c>
      <c r="BI49" s="59">
        <f ca="1">AVERAGE(OFFSET($BH$3,0,0,'Données projet'!$E$11+1,1))-AVERAGE(OFFSET($H$3,0,0,'Données projet'!$E$11+1,1))</f>
        <v>627.65081154031589</v>
      </c>
      <c r="BJ49" s="59">
        <f t="shared" si="38"/>
        <v>288.78083487077618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5.1507473864845013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5.1507473864845013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9.3712500000000034</v>
      </c>
      <c r="BY49" s="12">
        <f>IF('Données projet'!$A$114&gt;35,BY48+BX49-CG48,IF(A49&lt;'Données projet'!$A$114,$BV$205^A49,IF(A49='Données projet'!$A$114,'Données projet'!$B$114,BY48+BX49-CG48)))</f>
        <v>157.53500000000011</v>
      </c>
      <c r="BZ49" s="13">
        <f>BY49*VLOOKUP('Données projet'!$B$12,Paramètres!$A$1:$I$89,3,0)*VLOOKUP('Données projet'!$B$12,Paramètres!$A$1:$I$89,5,0)</f>
        <v>159.74049000000011</v>
      </c>
      <c r="CA49" s="13">
        <f t="shared" si="39"/>
        <v>40.783976673134042</v>
      </c>
      <c r="CB49" s="20">
        <f t="shared" si="10"/>
        <v>349.24677945570858</v>
      </c>
      <c r="CC49" s="59">
        <f t="shared" si="11"/>
        <v>601.5970528544342</v>
      </c>
      <c r="CD49" s="59">
        <f ca="1">AVERAGE(OFFSET($CC$3,0,0,'Données projet'!$E$12+1,1))-AVERAGE(OFFSET($H$3,0,0,'Données projet'!$E$12+1,1))</f>
        <v>692.2706942067415</v>
      </c>
      <c r="CE49" s="59">
        <f t="shared" si="40"/>
        <v>316.17529091924803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5.7723893124395271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5.7723893124395271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9.3712500000000034</v>
      </c>
      <c r="CT49" s="12">
        <f>IF('Données projet'!$A$140&gt;35,CT48+CS49-DB48,IF(A49&lt;'Données projet'!$A$140,$CQ$205^A49,IF(A49='Données projet'!$A$140,'Données projet'!$B$140,CT48+CS49-DB48)))</f>
        <v>157.53500000000011</v>
      </c>
      <c r="CU49" s="17">
        <f>CT49*VLOOKUP('Données projet'!$B$13,Paramètres!$A$1:$I$89,3,0)*VLOOKUP('Données projet'!$B$13,Paramètres!$A$1:$I$89,5,0)</f>
        <v>179.40085800000011</v>
      </c>
      <c r="CV49" s="13">
        <f t="shared" si="41"/>
        <v>45.188862255214538</v>
      </c>
      <c r="CW49" s="20">
        <f t="shared" si="13"/>
        <v>391.16042944449879</v>
      </c>
      <c r="CX49" s="59">
        <f t="shared" si="14"/>
        <v>643.51070284322441</v>
      </c>
      <c r="CY49" s="59">
        <f ca="1">AVERAGE(OFFSET($CX$3,0,0,'Données projet'!$E$13+1,1))-AVERAGE(OFFSET($H$3,0,0,'Données projet'!$E$13+1,1))</f>
        <v>765.9523557587147</v>
      </c>
      <c r="CZ49" s="59">
        <f t="shared" si="42"/>
        <v>347.40395092312815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6.4828372278166979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6.4828372278166979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4.2307692307692291</v>
      </c>
      <c r="DO49" s="12">
        <f>IF('Données projet'!$A$166&gt;35,DO48+DN49-DW48,IF(A49&lt;'Données projet'!$A$166,$DL$205^A49,IF(A49='Données projet'!$A$166,'Données projet'!$B$166,DO48+DN49-DW48)))</f>
        <v>105.51282051282054</v>
      </c>
      <c r="DP49" s="17">
        <f>DO49*VLOOKUP('Données projet'!$B$14,Paramètres!$A$1:$I$89,3,0)*VLOOKUP('Données projet'!$B$14,Paramètres!$A$1:$I$89,5,0)</f>
        <v>92.17600000000003</v>
      </c>
      <c r="DQ49" s="13">
        <f t="shared" si="43"/>
        <v>25.089291887587812</v>
      </c>
      <c r="DR49" s="20">
        <f t="shared" si="16"/>
        <v>204.23705003754878</v>
      </c>
      <c r="DS49" s="59">
        <f t="shared" si="17"/>
        <v>456.58732343627446</v>
      </c>
      <c r="DT49" s="59">
        <f ca="1">AVERAGE(OFFSET($DS$3,0,0,'Données projet'!$E$14+1,1))-AVERAGE(OFFSET($H$3,0,0,'Données projet'!$E$14+1,1))</f>
        <v>253.82888243490106</v>
      </c>
      <c r="DU49" s="59">
        <f t="shared" si="44"/>
        <v>224.11983819941796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9.7897324281002405</v>
      </c>
      <c r="EB49" s="21">
        <f>EXP(-LN(2)/25)*EB48+(1-EXP(-LN(2)/25))/(LN(2)/25)*Calculateur!DW49*Calculateur!DY49*VLOOKUP('Données projet'!$B$14,Paramètres!$A$1:$I$89,3,0)*0.475*44/12</f>
        <v>10.061738478670717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19.851470906770956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18.127142857142854</v>
      </c>
      <c r="N50" s="13">
        <f>IF('Données projet'!$A$36&gt;35,N49+M50-V49,IF(A50&lt;'Données projet'!$A$36,$K$205^A50,IF(A50='Données projet'!$A$36,'Données projet'!$B$36,N49+M50-V49)))</f>
        <v>325.0057142857143</v>
      </c>
      <c r="O50" s="13">
        <f>N50*VLOOKUP('Données projet'!$B$9,Paramètres!$A$1:$I$89,3,0)*VLOOKUP('Données projet'!$B$9,Paramètres!$A$1:$I$89,5,0)</f>
        <v>152.1026742857143</v>
      </c>
      <c r="P50" s="13">
        <f t="shared" si="33"/>
        <v>39.056038076016335</v>
      </c>
      <c r="Q50" s="20">
        <f t="shared" si="53"/>
        <v>332.9347573633475</v>
      </c>
      <c r="R50" s="59">
        <f t="shared" si="0"/>
        <v>585.99599522754283</v>
      </c>
      <c r="S50" s="59">
        <f ca="1">AVERAGE(OFFSET($R$3,0,0,'Données projet'!$E$9+1,1))-AVERAGE(OFFSET($H$3,0,0,'Données projet'!$E$9+1,1))</f>
        <v>387.50901594883317</v>
      </c>
      <c r="T50" s="59">
        <f t="shared" si="34"/>
        <v>361.3623790401972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28.203541225239864</v>
      </c>
      <c r="AA50" s="21">
        <f>EXP(-LN(2)/25)*AA49+(1-EXP(-LN(2)/25))/(LN(2)/25)*Calculateur!V50*Calculateur!X50*VLOOKUP('Données projet'!$B$9,Paramètres!$A$1:$I$89,3,0)*0.475*44/12</f>
        <v>27.001542180883778</v>
      </c>
      <c r="AB50" s="21">
        <f>EXP(-LN(2)/2)*AB49+(1-EXP(-LN(2)/2))/(LN(2)/2)*V50*Y50*VLOOKUP('Données projet'!$B$9,Paramètres!$A$1:$I$89,3,0)*0.475*44/12</f>
        <v>0</v>
      </c>
      <c r="AC50" s="22">
        <f t="shared" si="3"/>
        <v>55.205083406123642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15.725555555555552</v>
      </c>
      <c r="AI50" s="13">
        <f>IF('Données projet'!$A$62&gt;35,AI49+AH50-AQ49,IF(A50&lt;'Données projet'!$A$62,$AF$205^A50,IF(A50='Données projet'!$A$62,'Données projet'!$B$62,AI49+AH50-AQ49)))</f>
        <v>322.76333333333349</v>
      </c>
      <c r="AJ50" s="13">
        <f>AI50*VLOOKUP('Données projet'!$B$10,Paramètres!$A$1:$I$89,3,0)*VLOOKUP('Données projet'!$B$10,Paramètres!$A$1:$I$89,5,0)</f>
        <v>193.01247333333347</v>
      </c>
      <c r="AK50" s="13">
        <f t="shared" si="35"/>
        <v>48.205356952003704</v>
      </c>
      <c r="AL50" s="20">
        <f t="shared" si="4"/>
        <v>420.12105441362888</v>
      </c>
      <c r="AM50" s="59">
        <f t="shared" si="5"/>
        <v>673.18229227782422</v>
      </c>
      <c r="AN50" s="59">
        <f ca="1">AVERAGE(OFFSET($AM$3,0,0,'Données projet'!$E$10+1,1))-AVERAGE(OFFSET($H$3,0,0,'Données projet'!$E$10+1,1))</f>
        <v>373.47758082856359</v>
      </c>
      <c r="AO50" s="59">
        <f t="shared" si="36"/>
        <v>277.24895424120166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12.999939522910203</v>
      </c>
      <c r="AV50" s="21">
        <f>EXP(-LN(2)/25)*AV49+(1-EXP(-LN(2)/25))/(LN(2)/25)*Calculateur!AQ50*Calculateur!AS50*VLOOKUP('Données projet'!$B$10,Paramètres!$A$1:$I$89,3,0)*0.475*44/12</f>
        <v>30.574000661716646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43.573940184626849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9.3712500000000034</v>
      </c>
      <c r="BD50" s="12">
        <f>IF('Données projet'!$A$88&gt;35,BD49+BC50-BL49,IF(A50&lt;'Données projet'!$A$88,$BA$205^A50,IF(A50='Données projet'!$A$88,'Données projet'!$B$88,BD49+BC50-BL49)))</f>
        <v>166.90625000000011</v>
      </c>
      <c r="BE50" s="13">
        <f>BD50*VLOOKUP('Données projet'!$B$11,Paramètres!$A$1:$I$89,3,0)*VLOOKUP('Données projet'!$B$11,Paramètres!$A$1:$I$89,5,0)</f>
        <v>151.01677500000011</v>
      </c>
      <c r="BF50" s="13">
        <f t="shared" si="37"/>
        <v>38.809560459830927</v>
      </c>
      <c r="BG50" s="20">
        <f t="shared" si="7"/>
        <v>330.61420092587235</v>
      </c>
      <c r="BH50" s="59">
        <f t="shared" si="8"/>
        <v>583.6754387900678</v>
      </c>
      <c r="BI50" s="59">
        <f ca="1">AVERAGE(OFFSET($BH$3,0,0,'Données projet'!$E$11+1,1))-AVERAGE(OFFSET($H$3,0,0,'Données projet'!$E$11+1,1))</f>
        <v>627.65081154031589</v>
      </c>
      <c r="BJ50" s="59">
        <f t="shared" si="38"/>
        <v>288.78083487077618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5.0497443718812338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5.0497443718812338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9.3712500000000034</v>
      </c>
      <c r="BY50" s="12">
        <f>IF('Données projet'!$A$114&gt;35,BY49+BX50-CG49,IF(A50&lt;'Données projet'!$A$114,$BV$205^A50,IF(A50='Données projet'!$A$114,'Données projet'!$B$114,BY49+BX50-CG49)))</f>
        <v>166.90625000000011</v>
      </c>
      <c r="BZ50" s="13">
        <f>BY50*VLOOKUP('Données projet'!$B$12,Paramètres!$A$1:$I$89,3,0)*VLOOKUP('Données projet'!$B$12,Paramètres!$A$1:$I$89,5,0)</f>
        <v>169.24293750000012</v>
      </c>
      <c r="CA50" s="13">
        <f t="shared" si="39"/>
        <v>42.920422750313541</v>
      </c>
      <c r="CB50" s="20">
        <f t="shared" si="10"/>
        <v>369.51785243596299</v>
      </c>
      <c r="CC50" s="59">
        <f t="shared" si="11"/>
        <v>622.57909030015844</v>
      </c>
      <c r="CD50" s="59">
        <f ca="1">AVERAGE(OFFSET($CC$3,0,0,'Données projet'!$E$12+1,1))-AVERAGE(OFFSET($H$3,0,0,'Données projet'!$E$12+1,1))</f>
        <v>692.2706942067415</v>
      </c>
      <c r="CE50" s="59">
        <f t="shared" si="40"/>
        <v>316.17529091924803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5.6591962788324173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5.6591962788324173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9.3712500000000034</v>
      </c>
      <c r="CT50" s="12">
        <f>IF('Données projet'!$A$140&gt;35,CT49+CS50-DB49,IF(A50&lt;'Données projet'!$A$140,$CQ$205^A50,IF(A50='Données projet'!$A$140,'Données projet'!$B$140,CT49+CS50-DB49)))</f>
        <v>166.90625000000011</v>
      </c>
      <c r="CU50" s="17">
        <f>CT50*VLOOKUP('Données projet'!$B$13,Paramètres!$A$1:$I$89,3,0)*VLOOKUP('Données projet'!$B$13,Paramètres!$A$1:$I$89,5,0)</f>
        <v>190.07283750000013</v>
      </c>
      <c r="CV50" s="13">
        <f t="shared" si="41"/>
        <v>47.556055829080883</v>
      </c>
      <c r="CW50" s="20">
        <f t="shared" si="13"/>
        <v>413.87032254814943</v>
      </c>
      <c r="CX50" s="59">
        <f t="shared" si="14"/>
        <v>666.93156041234488</v>
      </c>
      <c r="CY50" s="59">
        <f ca="1">AVERAGE(OFFSET($CX$3,0,0,'Données projet'!$E$13+1,1))-AVERAGE(OFFSET($H$3,0,0,'Données projet'!$E$13+1,1))</f>
        <v>765.9523557587147</v>
      </c>
      <c r="CZ50" s="59">
        <f t="shared" si="42"/>
        <v>347.40395092312815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6.3557127439194829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6.3557127439194829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4.2307692307692291</v>
      </c>
      <c r="DO50" s="12">
        <f>IF('Données projet'!$A$166&gt;35,DO49+DN50-DW49,IF(A50&lt;'Données projet'!$A$166,$DL$205^A50,IF(A50='Données projet'!$A$166,'Données projet'!$B$166,DO49+DN50-DW49)))</f>
        <v>109.74358974358977</v>
      </c>
      <c r="DP50" s="17">
        <f>DO50*VLOOKUP('Données projet'!$B$14,Paramètres!$A$1:$I$89,3,0)*VLOOKUP('Données projet'!$B$14,Paramètres!$A$1:$I$89,5,0)</f>
        <v>95.872000000000028</v>
      </c>
      <c r="DQ50" s="13">
        <f t="shared" si="43"/>
        <v>25.97615865477583</v>
      </c>
      <c r="DR50" s="20">
        <f t="shared" si="16"/>
        <v>212.21887632373463</v>
      </c>
      <c r="DS50" s="59">
        <f t="shared" si="17"/>
        <v>465.28011418793005</v>
      </c>
      <c r="DT50" s="59">
        <f ca="1">AVERAGE(OFFSET($DS$3,0,0,'Données projet'!$E$14+1,1))-AVERAGE(OFFSET($H$3,0,0,'Données projet'!$E$14+1,1))</f>
        <v>253.82888243490106</v>
      </c>
      <c r="DU50" s="59">
        <f t="shared" si="44"/>
        <v>224.11983819941796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9.5977617463323739</v>
      </c>
      <c r="EB50" s="21">
        <f>EXP(-LN(2)/25)*EB49+(1-EXP(-LN(2)/25))/(LN(2)/25)*Calculateur!DW50*Calculateur!DY50*VLOOKUP('Données projet'!$B$14,Paramètres!$A$1:$I$89,3,0)*0.475*44/12</f>
        <v>9.7865997108476357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19.38436145718001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18.127142857142854</v>
      </c>
      <c r="N51" s="13">
        <f>IF('Données projet'!$A$36&gt;35,N50+M51-V50,IF(A51&lt;'Données projet'!$A$36,$K$205^A51,IF(A51='Données projet'!$A$36,'Données projet'!$B$36,N50+M51-V50)))</f>
        <v>343.13285714285718</v>
      </c>
      <c r="O51" s="13">
        <f>N51*VLOOKUP('Données projet'!$B$9,Paramètres!$A$1:$I$89,3,0)*VLOOKUP('Données projet'!$B$9,Paramètres!$A$1:$I$89,5,0)</f>
        <v>160.58617714285717</v>
      </c>
      <c r="P51" s="13">
        <f t="shared" si="33"/>
        <v>40.974701144941157</v>
      </c>
      <c r="Q51" s="20">
        <f t="shared" si="53"/>
        <v>351.05186301791537</v>
      </c>
      <c r="R51" s="59">
        <f t="shared" si="0"/>
        <v>604.81173170358306</v>
      </c>
      <c r="S51" s="59">
        <f ca="1">AVERAGE(OFFSET($R$3,0,0,'Données projet'!$E$9+1,1))-AVERAGE(OFFSET($H$3,0,0,'Données projet'!$E$9+1,1))</f>
        <v>387.50901594883317</v>
      </c>
      <c r="T51" s="59">
        <f t="shared" si="34"/>
        <v>361.3623790401972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27.650486984274455</v>
      </c>
      <c r="AA51" s="21">
        <f>EXP(-LN(2)/25)*AA50+(1-EXP(-LN(2)/25))/(LN(2)/25)*Calculateur!V51*Calculateur!X51*VLOOKUP('Données projet'!$B$9,Paramètres!$A$1:$I$89,3,0)*0.475*44/12</f>
        <v>26.263183589998121</v>
      </c>
      <c r="AB51" s="21">
        <f>EXP(-LN(2)/2)*AB50+(1-EXP(-LN(2)/2))/(LN(2)/2)*V51*Y51*VLOOKUP('Données projet'!$B$9,Paramètres!$A$1:$I$89,3,0)*0.475*44/12</f>
        <v>0</v>
      </c>
      <c r="AC51" s="22">
        <f t="shared" si="3"/>
        <v>53.913670574272572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15.725555555555552</v>
      </c>
      <c r="AI51" s="13">
        <f>IF('Données projet'!$A$62&gt;35,AI50+AH51-AQ50,IF(A51&lt;'Données projet'!$A$62,$AF$205^A51,IF(A51='Données projet'!$A$62,'Données projet'!$B$62,AI50+AH51-AQ50)))</f>
        <v>338.48888888888905</v>
      </c>
      <c r="AJ51" s="13">
        <f>AI51*VLOOKUP('Données projet'!$B$10,Paramètres!$A$1:$I$89,3,0)*VLOOKUP('Données projet'!$B$10,Paramètres!$A$1:$I$89,5,0)</f>
        <v>202.41635555555567</v>
      </c>
      <c r="AK51" s="13">
        <f t="shared" si="35"/>
        <v>50.274837801805468</v>
      </c>
      <c r="AL51" s="20">
        <f t="shared" si="4"/>
        <v>440.10382843073722</v>
      </c>
      <c r="AM51" s="59">
        <f t="shared" si="5"/>
        <v>693.86369711640486</v>
      </c>
      <c r="AN51" s="59">
        <f ca="1">AVERAGE(OFFSET($AM$3,0,0,'Données projet'!$E$10+1,1))-AVERAGE(OFFSET($H$3,0,0,'Données projet'!$E$10+1,1))</f>
        <v>373.47758082856359</v>
      </c>
      <c r="AO51" s="59">
        <f t="shared" si="36"/>
        <v>277.24895424120166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12.745018638046101</v>
      </c>
      <c r="AV51" s="21">
        <f>EXP(-LN(2)/25)*AV50+(1-EXP(-LN(2)/25))/(LN(2)/25)*Calculateur!AQ51*Calculateur!AS51*VLOOKUP('Données projet'!$B$10,Paramètres!$A$1:$I$89,3,0)*0.475*44/12</f>
        <v>29.737953005805188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42.482971643851286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9.3712500000000034</v>
      </c>
      <c r="BD51" s="12">
        <f>IF('Données projet'!$A$88&gt;35,BD50+BC51-BL50,IF(A51&lt;'Données projet'!$A$88,$BA$205^A51,IF(A51='Données projet'!$A$88,'Données projet'!$B$88,BD50+BC51-BL50)))</f>
        <v>176.27750000000012</v>
      </c>
      <c r="BE51" s="13">
        <f>BD51*VLOOKUP('Données projet'!$B$11,Paramètres!$A$1:$I$89,3,0)*VLOOKUP('Données projet'!$B$11,Paramètres!$A$1:$I$89,5,0)</f>
        <v>159.49588200000008</v>
      </c>
      <c r="BF51" s="13">
        <f t="shared" si="37"/>
        <v>40.728789309687656</v>
      </c>
      <c r="BG51" s="20">
        <f t="shared" si="7"/>
        <v>348.72463586437283</v>
      </c>
      <c r="BH51" s="59">
        <f t="shared" si="8"/>
        <v>602.48450455004058</v>
      </c>
      <c r="BI51" s="59">
        <f ca="1">AVERAGE(OFFSET($BH$3,0,0,'Données projet'!$E$11+1,1))-AVERAGE(OFFSET($H$3,0,0,'Données projet'!$E$11+1,1))</f>
        <v>627.65081154031589</v>
      </c>
      <c r="BJ51" s="59">
        <f t="shared" si="38"/>
        <v>288.78083487077618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4.9507219647885812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4.9507219647885812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9.3712500000000034</v>
      </c>
      <c r="BY51" s="12">
        <f>IF('Données projet'!$A$114&gt;35,BY50+BX51-CG50,IF(A51&lt;'Données projet'!$A$114,$BV$205^A51,IF(A51='Données projet'!$A$114,'Données projet'!$B$114,BY50+BX51-CG50)))</f>
        <v>176.27750000000012</v>
      </c>
      <c r="BZ51" s="13">
        <f>BY51*VLOOKUP('Données projet'!$B$12,Paramètres!$A$1:$I$89,3,0)*VLOOKUP('Données projet'!$B$12,Paramètres!$A$1:$I$89,5,0)</f>
        <v>178.74538500000011</v>
      </c>
      <c r="CA51" s="13">
        <f t="shared" si="39"/>
        <v>45.042943918150705</v>
      </c>
      <c r="CB51" s="20">
        <f t="shared" si="10"/>
        <v>389.76467286577935</v>
      </c>
      <c r="CC51" s="59">
        <f t="shared" si="11"/>
        <v>643.5245415514471</v>
      </c>
      <c r="CD51" s="59">
        <f ca="1">AVERAGE(OFFSET($CC$3,0,0,'Données projet'!$E$12+1,1))-AVERAGE(OFFSET($H$3,0,0,'Données projet'!$E$12+1,1))</f>
        <v>692.2706942067415</v>
      </c>
      <c r="CE51" s="59">
        <f t="shared" si="40"/>
        <v>316.17529091924803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5.5482228915734098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5.5482228915734098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9.3712500000000034</v>
      </c>
      <c r="CT51" s="12">
        <f>IF('Données projet'!$A$140&gt;35,CT50+CS51-DB50,IF(A51&lt;'Données projet'!$A$140,$CQ$205^A51,IF(A51='Données projet'!$A$140,'Données projet'!$B$140,CT50+CS51-DB50)))</f>
        <v>176.27750000000012</v>
      </c>
      <c r="CU51" s="17">
        <f>CT51*VLOOKUP('Données projet'!$B$13,Paramètres!$A$1:$I$89,3,0)*VLOOKUP('Données projet'!$B$13,Paramètres!$A$1:$I$89,5,0)</f>
        <v>200.74481700000013</v>
      </c>
      <c r="CV51" s="13">
        <f t="shared" si="41"/>
        <v>49.907820529612273</v>
      </c>
      <c r="CW51" s="20">
        <f t="shared" si="13"/>
        <v>436.55334369740831</v>
      </c>
      <c r="CX51" s="59">
        <f t="shared" si="14"/>
        <v>690.31321238307601</v>
      </c>
      <c r="CY51" s="59">
        <f ca="1">AVERAGE(OFFSET($CX$3,0,0,'Données projet'!$E$13+1,1))-AVERAGE(OFFSET($H$3,0,0,'Données projet'!$E$13+1,1))</f>
        <v>765.9523557587147</v>
      </c>
      <c r="CZ51" s="59">
        <f t="shared" si="42"/>
        <v>347.40395092312815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6.2310810936132128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6.2310810936132128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4.2307692307692291</v>
      </c>
      <c r="DO51" s="12">
        <f>IF('Données projet'!$A$166&gt;35,DO50+DN51-DW50,IF(A51&lt;'Données projet'!$A$166,$DL$205^A51,IF(A51='Données projet'!$A$166,'Données projet'!$B$166,DO50+DN51-DW50)))</f>
        <v>113.97435897435899</v>
      </c>
      <c r="DP51" s="17">
        <f>DO51*VLOOKUP('Données projet'!$B$14,Paramètres!$A$1:$I$89,3,0)*VLOOKUP('Données projet'!$B$14,Paramètres!$A$1:$I$89,5,0)</f>
        <v>99.568000000000026</v>
      </c>
      <c r="DQ51" s="13">
        <f t="shared" si="43"/>
        <v>26.859053587725164</v>
      </c>
      <c r="DR51" s="20">
        <f t="shared" si="16"/>
        <v>220.19378499862137</v>
      </c>
      <c r="DS51" s="59">
        <f t="shared" si="17"/>
        <v>473.95365368428907</v>
      </c>
      <c r="DT51" s="59">
        <f ca="1">AVERAGE(OFFSET($DS$3,0,0,'Données projet'!$E$14+1,1))-AVERAGE(OFFSET($H$3,0,0,'Données projet'!$E$14+1,1))</f>
        <v>253.82888243490106</v>
      </c>
      <c r="DU51" s="59">
        <f t="shared" si="44"/>
        <v>224.11983819941796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9.4095554925434204</v>
      </c>
      <c r="EB51" s="21">
        <f>EXP(-LN(2)/25)*EB50+(1-EXP(-LN(2)/25))/(LN(2)/25)*Calculateur!DW51*Calculateur!DY51*VLOOKUP('Données projet'!$B$14,Paramètres!$A$1:$I$89,3,0)*0.475*44/12</f>
        <v>9.518984627099595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18.928540119643017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361.26</v>
      </c>
      <c r="L52" s="12">
        <f>VLOOKUP(A52,'Données projet'!$A$35:$I$55,9,0)</f>
        <v>18.127142857142854</v>
      </c>
      <c r="M52" s="12">
        <f t="array" ref="M52">INDEX(L:L,MIN(IF(ISNUMBER(L52:L248),ROW(L52:L248),"")))</f>
        <v>18.127142857142854</v>
      </c>
      <c r="N52" s="13">
        <f>IF('Données projet'!$A$36&gt;35,N51+M52-V51,IF(A52&lt;'Données projet'!$A$36,$K$205^A52,IF(A52='Données projet'!$A$36,'Données projet'!$B$36,N51+M52-V51)))</f>
        <v>361.26000000000005</v>
      </c>
      <c r="O52" s="13">
        <f>N52*VLOOKUP('Données projet'!$B$9,Paramètres!$A$1:$I$89,3,0)*VLOOKUP('Données projet'!$B$9,Paramètres!$A$1:$I$89,5,0)</f>
        <v>169.06968000000003</v>
      </c>
      <c r="P52" s="13">
        <f t="shared" si="33"/>
        <v>42.881596355037587</v>
      </c>
      <c r="Q52" s="20">
        <f t="shared" si="53"/>
        <v>369.14847298502383</v>
      </c>
      <c r="R52" s="59">
        <f t="shared" si="0"/>
        <v>623.59485280931585</v>
      </c>
      <c r="S52" s="59">
        <f ca="1">AVERAGE(OFFSET($R$3,0,0,'Données projet'!$E$9+1,1))-AVERAGE(OFFSET($H$3,0,0,'Données projet'!$E$9+1,1))</f>
        <v>387.50901594883317</v>
      </c>
      <c r="T52" s="59">
        <f t="shared" si="34"/>
        <v>361.3623790401972</v>
      </c>
      <c r="U52" s="15">
        <f>IF(ISNA(VLOOKUP(A52,'Données projet'!$A$35:$I$55,3,0)),0,VLOOKUP(A52,'Données projet'!$A$35:$I$55,3,0))</f>
        <v>2</v>
      </c>
      <c r="V52" s="15">
        <f>IF(ISNA(VLOOKUP(A52,'Données projet'!$A$35:$I$55,4,0)),0,VLOOKUP(A52,'Données projet'!$A$35:$I$55,4,0))</f>
        <v>100.16</v>
      </c>
      <c r="W52" s="16">
        <f>IF(ISNA(VLOOKUP(A52,'Données projet'!$A$35:$I$55,5,0)),0%,VLOOKUP(A52,'Données projet'!$A$35:$I$55,5,0)*VLOOKUP('Données projet'!$B$9,Paramètres!$A$1:$I$89,7,0))</f>
        <v>0.27500000000000002</v>
      </c>
      <c r="X52" s="16">
        <f>IF(ISNA(VLOOKUP(A52,'Données projet'!$A$35:$I$55,6,0)),0%,VLOOKUP(A52,'Données projet'!$A$35:$I$55,6,0)*VLOOKUP('Données projet'!$B$9,Paramètres!$A$1:$I$89,7,0))</f>
        <v>0.27500000000000002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44.208478956417892</v>
      </c>
      <c r="AA52" s="21">
        <f>EXP(-LN(2)/25)*AA51+(1-EXP(-LN(2)/25))/(LN(2)/25)*Calculateur!V52*Calculateur!X52*VLOOKUP('Données projet'!$B$9,Paramètres!$A$1:$I$89,3,0)*0.475*44/12</f>
        <v>42.577886602740435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86.786365559158327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15.725555555555552</v>
      </c>
      <c r="AI52" s="13">
        <f>IF('Données projet'!$A$62&gt;35,AI51+AH52-AQ51,IF(A52&lt;'Données projet'!$A$62,$AF$205^A52,IF(A52='Données projet'!$A$62,'Données projet'!$B$62,AI51+AH52-AQ51)))</f>
        <v>354.21444444444461</v>
      </c>
      <c r="AJ52" s="13">
        <f>AI52*VLOOKUP('Données projet'!$B$10,Paramètres!$A$1:$I$89,3,0)*VLOOKUP('Données projet'!$B$10,Paramètres!$A$1:$I$89,5,0)</f>
        <v>211.82023777777789</v>
      </c>
      <c r="AK52" s="13">
        <f t="shared" si="35"/>
        <v>52.333153433287507</v>
      </c>
      <c r="AL52" s="20">
        <f t="shared" si="4"/>
        <v>460.06715635927225</v>
      </c>
      <c r="AM52" s="59">
        <f t="shared" si="5"/>
        <v>714.51353618356416</v>
      </c>
      <c r="AN52" s="59">
        <f ca="1">AVERAGE(OFFSET($AM$3,0,0,'Données projet'!$E$10+1,1))-AVERAGE(OFFSET($H$3,0,0,'Données projet'!$E$10+1,1))</f>
        <v>373.47758082856359</v>
      </c>
      <c r="AO52" s="59">
        <f t="shared" si="36"/>
        <v>277.24895424120166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12.495096596247798</v>
      </c>
      <c r="AV52" s="21">
        <f>EXP(-LN(2)/25)*AV51+(1-EXP(-LN(2)/25))/(LN(2)/25)*Calculateur!AQ52*Calculateur!AS52*VLOOKUP('Données projet'!$B$10,Paramètres!$A$1:$I$89,3,0)*0.475*44/12</f>
        <v>28.924767117010465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41.419863713258266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9.3712500000000034</v>
      </c>
      <c r="BD52" s="12">
        <f>IF('Données projet'!$A$88&gt;35,BD51+BC52-BL51,IF(A52&lt;'Données projet'!$A$88,$BA$205^A52,IF(A52='Données projet'!$A$88,'Données projet'!$B$88,BD51+BC52-BL51)))</f>
        <v>185.64875000000012</v>
      </c>
      <c r="BE52" s="13">
        <f>BD52*VLOOKUP('Données projet'!$B$11,Paramètres!$A$1:$I$89,3,0)*VLOOKUP('Données projet'!$B$11,Paramètres!$A$1:$I$89,5,0)</f>
        <v>167.97498900000011</v>
      </c>
      <c r="BF52" s="13">
        <f t="shared" si="37"/>
        <v>42.636172660412917</v>
      </c>
      <c r="BG52" s="20">
        <f t="shared" si="7"/>
        <v>366.81443989188602</v>
      </c>
      <c r="BH52" s="59">
        <f t="shared" si="8"/>
        <v>621.26081971617805</v>
      </c>
      <c r="BI52" s="59">
        <f ca="1">AVERAGE(OFFSET($BH$3,0,0,'Données projet'!$E$11+1,1))-AVERAGE(OFFSET($H$3,0,0,'Données projet'!$E$11+1,1))</f>
        <v>627.65081154031589</v>
      </c>
      <c r="BJ52" s="59">
        <f t="shared" si="38"/>
        <v>288.78083487077618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4.853641326701311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4.853641326701311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9.3712500000000034</v>
      </c>
      <c r="BY52" s="12">
        <f>IF('Données projet'!$A$114&gt;35,BY51+BX52-CG51,IF(A52&lt;'Données projet'!$A$114,$BV$205^A52,IF(A52='Données projet'!$A$114,'Données projet'!$B$114,BY51+BX52-CG51)))</f>
        <v>185.64875000000012</v>
      </c>
      <c r="BZ52" s="13">
        <f>BY52*VLOOKUP('Données projet'!$B$12,Paramètres!$A$1:$I$89,3,0)*VLOOKUP('Données projet'!$B$12,Paramètres!$A$1:$I$89,5,0)</f>
        <v>188.24783250000013</v>
      </c>
      <c r="CA52" s="13">
        <f t="shared" si="39"/>
        <v>47.152364864692288</v>
      </c>
      <c r="CB52" s="20">
        <f t="shared" si="10"/>
        <v>409.98867707683922</v>
      </c>
      <c r="CC52" s="59">
        <f t="shared" si="11"/>
        <v>664.43505690113125</v>
      </c>
      <c r="CD52" s="59">
        <f ca="1">AVERAGE(OFFSET($CC$3,0,0,'Données projet'!$E$12+1,1))-AVERAGE(OFFSET($H$3,0,0,'Données projet'!$E$12+1,1))</f>
        <v>692.2706942067415</v>
      </c>
      <c r="CE52" s="59">
        <f t="shared" si="40"/>
        <v>316.17529091924803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5.4394256247514683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5.4394256247514683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9.3712500000000034</v>
      </c>
      <c r="CT52" s="12">
        <f>IF('Données projet'!$A$140&gt;35,CT51+CS52-DB51,IF(A52&lt;'Données projet'!$A$140,$CQ$205^A52,IF(A52='Données projet'!$A$140,'Données projet'!$B$140,CT51+CS52-DB51)))</f>
        <v>185.64875000000012</v>
      </c>
      <c r="CU52" s="17">
        <f>CT52*VLOOKUP('Données projet'!$B$13,Paramètres!$A$1:$I$89,3,0)*VLOOKUP('Données projet'!$B$13,Paramètres!$A$1:$I$89,5,0)</f>
        <v>211.41679650000012</v>
      </c>
      <c r="CV52" s="13">
        <f t="shared" si="41"/>
        <v>52.245070115534155</v>
      </c>
      <c r="CW52" s="20">
        <f t="shared" si="13"/>
        <v>459.21108435538889</v>
      </c>
      <c r="CX52" s="59">
        <f t="shared" si="14"/>
        <v>713.6574641796808</v>
      </c>
      <c r="CY52" s="59">
        <f ca="1">AVERAGE(OFFSET($CX$3,0,0,'Données projet'!$E$13+1,1))-AVERAGE(OFFSET($H$3,0,0,'Données projet'!$E$13+1,1))</f>
        <v>765.9523557587147</v>
      </c>
      <c r="CZ52" s="59">
        <f t="shared" si="42"/>
        <v>347.40395092312815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6.1088933939516483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6.1088933939516483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4.2307692307692291</v>
      </c>
      <c r="DO52" s="12">
        <f>IF('Données projet'!$A$166&gt;35,DO51+DN52-DW51,IF(A52&lt;'Données projet'!$A$166,$DL$205^A52,IF(A52='Données projet'!$A$166,'Données projet'!$B$166,DO51+DN52-DW51)))</f>
        <v>118.20512820512822</v>
      </c>
      <c r="DP52" s="17">
        <f>DO52*VLOOKUP('Données projet'!$B$14,Paramètres!$A$1:$I$89,3,0)*VLOOKUP('Données projet'!$B$14,Paramètres!$A$1:$I$89,5,0)</f>
        <v>103.26400000000004</v>
      </c>
      <c r="DQ52" s="13">
        <f t="shared" si="43"/>
        <v>27.738141005599104</v>
      </c>
      <c r="DR52" s="20">
        <f t="shared" si="16"/>
        <v>228.16206225141846</v>
      </c>
      <c r="DS52" s="59">
        <f t="shared" si="17"/>
        <v>482.6084420757104</v>
      </c>
      <c r="DT52" s="59">
        <f ca="1">AVERAGE(OFFSET($DS$3,0,0,'Données projet'!$E$14+1,1))-AVERAGE(OFFSET($H$3,0,0,'Données projet'!$E$14+1,1))</f>
        <v>253.82888243490106</v>
      </c>
      <c r="DU52" s="59">
        <f t="shared" si="44"/>
        <v>224.11983819941796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9.2250398485967899</v>
      </c>
      <c r="EB52" s="21">
        <f>EXP(-LN(2)/25)*EB51+(1-EXP(-LN(2)/25))/(LN(2)/25)*Calculateur!DW52*Calculateur!DY52*VLOOKUP('Données projet'!$B$14,Paramètres!$A$1:$I$89,3,0)*0.475*44/12</f>
        <v>9.2586874918899102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18.483727340486702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16.944285714285709</v>
      </c>
      <c r="N53" s="13">
        <f>IF('Données projet'!$A$36&gt;35,N52+M53-V52,IF(A53&lt;'Données projet'!$A$36,$K$205^A53,IF(A53='Données projet'!$A$36,'Données projet'!$B$36,N52+M53-V52)))</f>
        <v>278.04428571428571</v>
      </c>
      <c r="O53" s="13">
        <f>N53*VLOOKUP('Données projet'!$B$9,Paramètres!$A$1:$I$89,3,0)*VLOOKUP('Données projet'!$B$9,Paramètres!$A$1:$I$89,5,0)</f>
        <v>130.12472571428572</v>
      </c>
      <c r="P53" s="13">
        <f t="shared" si="33"/>
        <v>34.025178174160651</v>
      </c>
      <c r="Q53" s="20">
        <f t="shared" si="53"/>
        <v>285.89441593904411</v>
      </c>
      <c r="R53" s="59">
        <f t="shared" si="0"/>
        <v>541.01539746851427</v>
      </c>
      <c r="S53" s="59">
        <f ca="1">AVERAGE(OFFSET($R$3,0,0,'Données projet'!$E$9+1,1))-AVERAGE(OFFSET($H$3,0,0,'Données projet'!$E$9+1,1))</f>
        <v>387.50901594883317</v>
      </c>
      <c r="T53" s="59">
        <f t="shared" si="34"/>
        <v>361.3623790401972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43.341577648592178</v>
      </c>
      <c r="AA53" s="21">
        <f>EXP(-LN(2)/25)*AA52+(1-EXP(-LN(2)/25))/(LN(2)/25)*Calculateur!V53*Calculateur!X53*VLOOKUP('Données projet'!$B$9,Paramètres!$A$1:$I$89,3,0)*0.475*44/12</f>
        <v>41.413592054514751</v>
      </c>
      <c r="AB53" s="21">
        <f>EXP(-LN(2)/2)*AB52+(1-EXP(-LN(2)/2))/(LN(2)/2)*V53*Y53*VLOOKUP('Données projet'!$B$9,Paramètres!$A$1:$I$89,3,0)*0.475*44/12</f>
        <v>0</v>
      </c>
      <c r="AC53" s="22">
        <f t="shared" si="3"/>
        <v>84.75516970310693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369.94</v>
      </c>
      <c r="AG53" s="12">
        <f>VLOOKUP(A53,'Données projet'!$A$61:$I$81,9,0)</f>
        <v>15.725555555555552</v>
      </c>
      <c r="AH53" s="12">
        <f t="array" ref="AH53">INDEX(AG:AG,MIN(IF(ISNUMBER(AG53:AG249),ROW(AG53:AG249),"")))</f>
        <v>15.725555555555552</v>
      </c>
      <c r="AI53" s="13">
        <f>IF('Données projet'!$A$62&gt;35,AI52+AH53-AQ52,IF(A53&lt;'Données projet'!$A$62,$AF$205^A53,IF(A53='Données projet'!$A$62,'Données projet'!$B$62,AI52+AH53-AQ52)))</f>
        <v>369.94000000000017</v>
      </c>
      <c r="AJ53" s="13">
        <f>AI53*VLOOKUP('Données projet'!$B$10,Paramètres!$A$1:$I$89,3,0)*VLOOKUP('Données projet'!$B$10,Paramètres!$A$1:$I$89,5,0)</f>
        <v>221.22412000000014</v>
      </c>
      <c r="AK53" s="13">
        <f t="shared" si="35"/>
        <v>54.380856173847832</v>
      </c>
      <c r="AL53" s="20">
        <f t="shared" si="4"/>
        <v>480.01200016945177</v>
      </c>
      <c r="AM53" s="59">
        <f t="shared" si="5"/>
        <v>735.13298169892187</v>
      </c>
      <c r="AN53" s="59">
        <f ca="1">AVERAGE(OFFSET($AM$3,0,0,'Données projet'!$E$10+1,1))-AVERAGE(OFFSET($H$3,0,0,'Données projet'!$E$10+1,1))</f>
        <v>373.47758082856359</v>
      </c>
      <c r="AO53" s="59">
        <f t="shared" si="36"/>
        <v>277.24895424120166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70.2</v>
      </c>
      <c r="AR53" s="16">
        <f>IF(ISNA(VLOOKUP(A53,'Données projet'!$A$61:$I$81,5,0)),0%,VLOOKUP(A53,'Données projet'!$A$61:$I$81,5,0)*VLOOKUP('Données projet'!$B$10,Paramètres!$A$1:$I$89,7,0))</f>
        <v>0.315</v>
      </c>
      <c r="AS53" s="16">
        <f>IF(ISNA(VLOOKUP(A53,'Données projet'!$A$61:$I$81,6,0)),0%,VLOOKUP(A53,'Données projet'!$A$61:$I$81,6,0)*VLOOKUP('Données projet'!$B$10,Paramètres!$A$1:$I$89,7,0))</f>
        <v>0.13500000000000001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29.791998615526225</v>
      </c>
      <c r="AV53" s="21">
        <f>EXP(-LN(2)/25)*AV52+(1-EXP(-LN(2)/25))/(LN(2)/25)*Calculateur!AQ53*Calculateur!AS53*VLOOKUP('Données projet'!$B$10,Paramètres!$A$1:$I$89,3,0)*0.475*44/12</f>
        <v>35.622183841882503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65.414182457408728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195.02</v>
      </c>
      <c r="BB53" s="12">
        <f>VLOOKUP(A53,'Données projet'!$A$87:$I$107,9,0)</f>
        <v>9.3712500000000034</v>
      </c>
      <c r="BC53" s="12">
        <f t="array" ref="BC53">INDEX(BB:BB,MIN(IF(ISNUMBER(BB53:BB249),ROW(BB53:BB249),"")))</f>
        <v>9.3712500000000034</v>
      </c>
      <c r="BD53" s="12">
        <f>IF('Données projet'!$A$88&gt;35,BD52+BC53-BL52,IF(A53&lt;'Données projet'!$A$88,$BA$205^A53,IF(A53='Données projet'!$A$88,'Données projet'!$B$88,BD52+BC53-BL52)))</f>
        <v>195.02000000000012</v>
      </c>
      <c r="BE53" s="13">
        <f>BD53*VLOOKUP('Données projet'!$B$11,Paramètres!$A$1:$I$89,3,0)*VLOOKUP('Données projet'!$B$11,Paramètres!$A$1:$I$89,5,0)</f>
        <v>176.45409600000011</v>
      </c>
      <c r="BF53" s="13">
        <f t="shared" si="37"/>
        <v>44.532376676436577</v>
      </c>
      <c r="BG53" s="20">
        <f t="shared" si="7"/>
        <v>384.88477324479385</v>
      </c>
      <c r="BH53" s="59">
        <f t="shared" si="8"/>
        <v>640.00575477426401</v>
      </c>
      <c r="BI53" s="59">
        <f ca="1">AVERAGE(OFFSET($BH$3,0,0,'Données projet'!$E$11+1,1))-AVERAGE(OFFSET($H$3,0,0,'Données projet'!$E$11+1,1))</f>
        <v>627.65081154031589</v>
      </c>
      <c r="BJ53" s="59">
        <f t="shared" si="38"/>
        <v>288.78083487077618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35.58</v>
      </c>
      <c r="BM53" s="16">
        <f>IF(ISNA(VLOOKUP(A53,'Données projet'!$A$87:$I$107,5,0)),0%,VLOOKUP(A53,'Données projet'!$A$87:$I$107,5,0)*VLOOKUP('Données projet'!$B$11,Paramètres!$A$1:$I$89,7,0))</f>
        <v>0.129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9.3493382006381829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9.3493382006381829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195.02</v>
      </c>
      <c r="BW53" s="12">
        <f>VLOOKUP(A53,'Données projet'!$A$113:$I$133,9,0)</f>
        <v>9.3712500000000034</v>
      </c>
      <c r="BX53" s="12">
        <f t="array" ref="BX53">INDEX(BW:BW,MIN(IF(ISNUMBER(BW53:BW249),ROW(BW53:BW249),"")))</f>
        <v>9.3712500000000034</v>
      </c>
      <c r="BY53" s="12">
        <f>IF('Données projet'!$A$114&gt;35,BY52+BX53-CG52,IF(A53&lt;'Données projet'!$A$114,$BV$205^A53,IF(A53='Données projet'!$A$114,'Données projet'!$B$114,BY52+BX53-CG52)))</f>
        <v>195.02000000000012</v>
      </c>
      <c r="BZ53" s="13">
        <f>BY53*VLOOKUP('Données projet'!$B$12,Paramètres!$A$1:$I$89,3,0)*VLOOKUP('Données projet'!$B$12,Paramètres!$A$1:$I$89,5,0)</f>
        <v>197.75028000000015</v>
      </c>
      <c r="CA53" s="13">
        <f t="shared" si="39"/>
        <v>49.24942231714175</v>
      </c>
      <c r="CB53" s="20">
        <f t="shared" si="10"/>
        <v>430.19114820235546</v>
      </c>
      <c r="CC53" s="59">
        <f t="shared" si="11"/>
        <v>685.31212973182551</v>
      </c>
      <c r="CD53" s="59">
        <f ca="1">AVERAGE(OFFSET($CC$3,0,0,'Données projet'!$E$12+1,1))-AVERAGE(OFFSET($H$3,0,0,'Données projet'!$E$12+1,1))</f>
        <v>692.2706942067415</v>
      </c>
      <c r="CE53" s="59">
        <f t="shared" si="40"/>
        <v>316.17529091924803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0.129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10.477706604163481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10.477706604163481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195.02</v>
      </c>
      <c r="CR53" s="12">
        <f>VLOOKUP(A53,'Données projet'!$A$139:$I$159,9,0)</f>
        <v>9.3712500000000034</v>
      </c>
      <c r="CS53" s="12">
        <f t="array" ref="CS53">INDEX(CR:CR,MIN(IF(ISNUMBER(CR53:CR249),ROW(CR53:CR249),"")))</f>
        <v>9.3712500000000034</v>
      </c>
      <c r="CT53" s="12">
        <f>IF('Données projet'!$A$140&gt;35,CT52+CS53-DB52,IF(A53&lt;'Données projet'!$A$140,$CQ$205^A53,IF(A53='Données projet'!$A$140,'Données projet'!$B$140,CT52+CS53-DB52)))</f>
        <v>195.02000000000012</v>
      </c>
      <c r="CU53" s="17">
        <f>CT53*VLOOKUP('Données projet'!$B$13,Paramètres!$A$1:$I$89,3,0)*VLOOKUP('Données projet'!$B$13,Paramètres!$A$1:$I$89,5,0)</f>
        <v>222.08877600000014</v>
      </c>
      <c r="CV53" s="13">
        <f t="shared" si="41"/>
        <v>54.568620884491807</v>
      </c>
      <c r="CW53" s="20">
        <f t="shared" si="13"/>
        <v>481.84496624049012</v>
      </c>
      <c r="CX53" s="59">
        <f t="shared" si="14"/>
        <v>736.96594776996017</v>
      </c>
      <c r="CY53" s="59">
        <f ca="1">AVERAGE(OFFSET($CX$3,0,0,'Données projet'!$E$13+1,1))-AVERAGE(OFFSET($H$3,0,0,'Données projet'!$E$13+1,1))</f>
        <v>765.9523557587147</v>
      </c>
      <c r="CZ53" s="59">
        <f t="shared" si="42"/>
        <v>347.40395092312815</v>
      </c>
      <c r="DA53" s="15">
        <f>IF(ISNA(VLOOKUP(A53,'Données projet'!$A$139:$I$159,3,0)),0,VLOOKUP(A53,'Données projet'!$A$139:$I$159,3,0))</f>
        <v>2</v>
      </c>
      <c r="DB53" s="15">
        <f>IF(ISNA(VLOOKUP(A53,'Données projet'!$A$139:$I$159,4,0)),0,VLOOKUP(A53,'Données projet'!$A$139:$I$159,4,0))</f>
        <v>35.58</v>
      </c>
      <c r="DC53" s="16">
        <f>IF(ISNA(VLOOKUP(A53,'Données projet'!$A$139:$I$159,5,0)),0%,VLOOKUP(A53,'Données projet'!$A$139:$I$159,5,0)*VLOOKUP('Données projet'!$B$13,Paramètres!$A$1:$I$89,7,0))</f>
        <v>0.129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11.767270493906679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11.767270493906679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122.43589743589743</v>
      </c>
      <c r="DM53" s="12">
        <f>VLOOKUP(A53,'Données projet'!$A$165:$I$185,9,0)</f>
        <v>4.2307692307692291</v>
      </c>
      <c r="DN53" s="12">
        <f t="array" ref="DN53">INDEX(DM:DM,MIN(IF(ISNUMBER(DM53:DM249),ROW(DM53:DM249),"")))</f>
        <v>4.2307692307692291</v>
      </c>
      <c r="DO53" s="12">
        <f>IF('Données projet'!$A$166&gt;35,DO52+DN53-DW52,IF(A53&lt;'Données projet'!$A$166,$DL$205^A53,IF(A53='Données projet'!$A$166,'Données projet'!$B$166,DO52+DN53-DW52)))</f>
        <v>122.43589743589745</v>
      </c>
      <c r="DP53" s="17">
        <f>DO53*VLOOKUP('Données projet'!$B$14,Paramètres!$A$1:$I$89,3,0)*VLOOKUP('Données projet'!$B$14,Paramètres!$A$1:$I$89,5,0)</f>
        <v>106.96000000000001</v>
      </c>
      <c r="DQ53" s="13">
        <f t="shared" si="43"/>
        <v>28.613572798239566</v>
      </c>
      <c r="DR53" s="20">
        <f t="shared" si="16"/>
        <v>236.12397262360059</v>
      </c>
      <c r="DS53" s="59">
        <f t="shared" si="17"/>
        <v>491.24495415307069</v>
      </c>
      <c r="DT53" s="59">
        <f ca="1">AVERAGE(OFFSET($DS$3,0,0,'Données projet'!$E$14+1,1))-AVERAGE(OFFSET($H$3,0,0,'Données projet'!$E$14+1,1))</f>
        <v>253.82888243490106</v>
      </c>
      <c r="DU53" s="59">
        <f t="shared" si="44"/>
        <v>224.11983819941796</v>
      </c>
      <c r="DV53" s="15">
        <f>IF(ISNA(VLOOKUP(A53,'Données projet'!$A$165:$I$185,3,0)),0,VLOOKUP(A53,'Données projet'!$A$165:$I$185,3,0))</f>
        <v>9</v>
      </c>
      <c r="DW53" s="15">
        <f>IF(ISNA(VLOOKUP(A53,'Données projet'!$A$165:$I$185,4,0)),0,VLOOKUP(A53,'Données projet'!$A$165:$I$185,4,0))</f>
        <v>13.461538461538462</v>
      </c>
      <c r="DX53" s="16">
        <f>IF(ISNA(VLOOKUP(A53,'Données projet'!$A$165:$I$185,5,0)),0%,VLOOKUP(A53,'Données projet'!$A$165:$I$185,5,0)*VLOOKUP('Données projet'!$B$14,Paramètres!$A$1:$I$89,7,0))</f>
        <v>0.25800000000000001</v>
      </c>
      <c r="DY53" s="16">
        <f>IF(ISNA(VLOOKUP(A53,'Données projet'!$A$165:$I$185,6,0)),0%,VLOOKUP(A53,'Données projet'!$A$165:$I$185,6,0)*VLOOKUP('Données projet'!$B$14,Paramètres!$A$1:$I$89,7,0))</f>
        <v>0.129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12.398228013017857</v>
      </c>
      <c r="EB53" s="21">
        <f>EXP(-LN(2)/25)*EB52+(1-EXP(-LN(2)/25))/(LN(2)/25)*Calculateur!DW53*Calculateur!DY53*VLOOKUP('Données projet'!$B$14,Paramètres!$A$1:$I$89,3,0)*0.475*44/12</f>
        <v>10.675947823651397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23.074175836669255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16.944285714285709</v>
      </c>
      <c r="N54" s="13">
        <f>IF('Données projet'!$A$36&gt;35,N53+M54-V53,IF(A54&lt;'Données projet'!$A$36,$K$205^A54,IF(A54='Données projet'!$A$36,'Données projet'!$B$36,N53+M54-V53)))</f>
        <v>294.98857142857139</v>
      </c>
      <c r="O54" s="13">
        <f>N54*VLOOKUP('Données projet'!$B$9,Paramètres!$A$1:$I$89,3,0)*VLOOKUP('Données projet'!$B$9,Paramètres!$A$1:$I$89,5,0)</f>
        <v>138.05465142857142</v>
      </c>
      <c r="P54" s="13">
        <f t="shared" si="33"/>
        <v>35.850991174438484</v>
      </c>
      <c r="Q54" s="20">
        <f t="shared" si="53"/>
        <v>302.88566086690889</v>
      </c>
      <c r="R54" s="59">
        <f t="shared" si="0"/>
        <v>558.66954127015572</v>
      </c>
      <c r="S54" s="59">
        <f ca="1">AVERAGE(OFFSET($R$3,0,0,'Données projet'!$E$9+1,1))-AVERAGE(OFFSET($H$3,0,0,'Données projet'!$E$9+1,1))</f>
        <v>387.50901594883317</v>
      </c>
      <c r="T54" s="59">
        <f t="shared" si="34"/>
        <v>361.3623790401972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42.491675746655339</v>
      </c>
      <c r="AA54" s="21">
        <f>EXP(-LN(2)/25)*AA53+(1-EXP(-LN(2)/25))/(LN(2)/25)*Calculateur!V54*Calculateur!X54*VLOOKUP('Données projet'!$B$9,Paramètres!$A$1:$I$89,3,0)*0.475*44/12</f>
        <v>40.281135201937893</v>
      </c>
      <c r="AB54" s="21">
        <f>EXP(-LN(2)/2)*AB53+(1-EXP(-LN(2)/2))/(LN(2)/2)*V54*Y54*VLOOKUP('Données projet'!$B$9,Paramètres!$A$1:$I$89,3,0)*0.475*44/12</f>
        <v>0</v>
      </c>
      <c r="AC54" s="22">
        <f t="shared" si="3"/>
        <v>82.772810948593232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14.12</v>
      </c>
      <c r="AI54" s="13">
        <f>IF('Données projet'!$A$62&gt;35,AI53+AH54-AQ53,IF(A54&lt;'Données projet'!$A$62,$AF$205^A54,IF(A54='Données projet'!$A$62,'Données projet'!$B$62,AI53+AH54-AQ53)))</f>
        <v>313.86000000000018</v>
      </c>
      <c r="AJ54" s="13">
        <f>AI54*VLOOKUP('Données projet'!$B$10,Paramètres!$A$1:$I$89,3,0)*VLOOKUP('Données projet'!$B$10,Paramètres!$A$1:$I$89,5,0)</f>
        <v>187.68828000000013</v>
      </c>
      <c r="AK54" s="13">
        <f t="shared" si="35"/>
        <v>47.028500822168901</v>
      </c>
      <c r="AL54" s="20">
        <f t="shared" si="4"/>
        <v>408.79839326527775</v>
      </c>
      <c r="AM54" s="59">
        <f t="shared" si="5"/>
        <v>664.58227366852452</v>
      </c>
      <c r="AN54" s="59">
        <f ca="1">AVERAGE(OFFSET($AM$3,0,0,'Données projet'!$E$10+1,1))-AVERAGE(OFFSET($H$3,0,0,'Données projet'!$E$10+1,1))</f>
        <v>373.47758082856359</v>
      </c>
      <c r="AO54" s="59">
        <f t="shared" si="36"/>
        <v>277.24895424120166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29.207795694000641</v>
      </c>
      <c r="AV54" s="21">
        <f>EXP(-LN(2)/25)*AV53+(1-EXP(-LN(2)/25))/(LN(2)/25)*Calculateur!AQ54*Calculateur!AS54*VLOOKUP('Données projet'!$B$10,Paramètres!$A$1:$I$89,3,0)*0.475*44/12</f>
        <v>34.648093351436991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63.855889045437635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9.5537500000000009</v>
      </c>
      <c r="BD54" s="12">
        <f>IF('Données projet'!$A$88&gt;35,BD53+BC54-BL53,IF(A54&lt;'Données projet'!$A$88,$BA$205^A54,IF(A54='Données projet'!$A$88,'Données projet'!$B$88,BD53+BC54-BL53)))</f>
        <v>168.99375000000015</v>
      </c>
      <c r="BE54" s="13">
        <f>BD54*VLOOKUP('Données projet'!$B$11,Paramètres!$A$1:$I$89,3,0)*VLOOKUP('Données projet'!$B$11,Paramètres!$A$1:$I$89,5,0)</f>
        <v>152.90554500000013</v>
      </c>
      <c r="BF54" s="13">
        <f t="shared" si="37"/>
        <v>39.238142074568863</v>
      </c>
      <c r="BG54" s="20">
        <f t="shared" si="7"/>
        <v>334.65025498820768</v>
      </c>
      <c r="BH54" s="59">
        <f t="shared" si="8"/>
        <v>590.43413539145445</v>
      </c>
      <c r="BI54" s="59">
        <f ca="1">AVERAGE(OFFSET($BH$3,0,0,'Données projet'!$E$11+1,1))-AVERAGE(OFFSET($H$3,0,0,'Données projet'!$E$11+1,1))</f>
        <v>627.65081154031589</v>
      </c>
      <c r="BJ54" s="59">
        <f t="shared" si="38"/>
        <v>288.78083487077618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9.1660033810568926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9.1660033810568926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9.5537500000000009</v>
      </c>
      <c r="BY54" s="12">
        <f>IF('Données projet'!$A$114&gt;35,BY53+BX54-CG53,IF(A54&lt;'Données projet'!$A$114,$BV$205^A54,IF(A54='Données projet'!$A$114,'Données projet'!$B$114,BY53+BX54-CG53)))</f>
        <v>168.99375000000015</v>
      </c>
      <c r="BZ54" s="13">
        <f>BY54*VLOOKUP('Données projet'!$B$12,Paramètres!$A$1:$I$89,3,0)*VLOOKUP('Données projet'!$B$12,Paramètres!$A$1:$I$89,5,0)</f>
        <v>171.35966250000016</v>
      </c>
      <c r="CA54" s="13">
        <f t="shared" si="39"/>
        <v>43.39440142643388</v>
      </c>
      <c r="CB54" s="20">
        <f t="shared" si="10"/>
        <v>374.0299946718726</v>
      </c>
      <c r="CC54" s="59">
        <f t="shared" si="11"/>
        <v>629.81387507511943</v>
      </c>
      <c r="CD54" s="59">
        <f ca="1">AVERAGE(OFFSET($CC$3,0,0,'Données projet'!$E$12+1,1))-AVERAGE(OFFSET($H$3,0,0,'Données projet'!$E$12+1,1))</f>
        <v>692.2706942067415</v>
      </c>
      <c r="CE54" s="59">
        <f t="shared" si="40"/>
        <v>316.17529091924803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10.272245168425828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10.272245168425828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9.5537500000000009</v>
      </c>
      <c r="CT54" s="12">
        <f>IF('Données projet'!$A$140&gt;35,CT53+CS54-DB53,IF(A54&lt;'Données projet'!$A$140,$CQ$205^A54,IF(A54='Données projet'!$A$140,'Données projet'!$B$140,CT53+CS54-DB53)))</f>
        <v>168.99375000000015</v>
      </c>
      <c r="CU54" s="17">
        <f>CT54*VLOOKUP('Données projet'!$B$13,Paramètres!$A$1:$I$89,3,0)*VLOOKUP('Données projet'!$B$13,Paramètres!$A$1:$I$89,5,0)</f>
        <v>192.45008250000015</v>
      </c>
      <c r="CV54" s="13">
        <f t="shared" si="41"/>
        <v>48.081226713685226</v>
      </c>
      <c r="CW54" s="20">
        <f t="shared" si="13"/>
        <v>418.92536354716867</v>
      </c>
      <c r="CX54" s="59">
        <f t="shared" si="14"/>
        <v>674.7092439504155</v>
      </c>
      <c r="CY54" s="59">
        <f ca="1">AVERAGE(OFFSET($CX$3,0,0,'Données projet'!$E$13+1,1))-AVERAGE(OFFSET($H$3,0,0,'Données projet'!$E$13+1,1))</f>
        <v>765.9523557587147</v>
      </c>
      <c r="CZ54" s="59">
        <f t="shared" si="42"/>
        <v>347.40395092312815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11.536521496847469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11.536521496847469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3.9743589743589753</v>
      </c>
      <c r="DO54" s="12">
        <f>IF('Données projet'!$A$166&gt;35,DO53+DN54-DW53,IF(A54&lt;'Données projet'!$A$166,$DL$205^A54,IF(A54='Données projet'!$A$166,'Données projet'!$B$166,DO53+DN54-DW53)))</f>
        <v>112.94871794871796</v>
      </c>
      <c r="DP54" s="17">
        <f>DO54*VLOOKUP('Données projet'!$B$14,Paramètres!$A$1:$I$89,3,0)*VLOOKUP('Données projet'!$B$14,Paramètres!$A$1:$I$89,5,0)</f>
        <v>98.672000000000025</v>
      </c>
      <c r="DQ54" s="13">
        <f t="shared" si="43"/>
        <v>26.64537411697647</v>
      </c>
      <c r="DR54" s="20">
        <f t="shared" si="16"/>
        <v>218.26109325373406</v>
      </c>
      <c r="DS54" s="59">
        <f t="shared" si="17"/>
        <v>474.04497365698091</v>
      </c>
      <c r="DT54" s="59">
        <f ca="1">AVERAGE(OFFSET($DS$3,0,0,'Données projet'!$E$14+1,1))-AVERAGE(OFFSET($H$3,0,0,'Données projet'!$E$14+1,1))</f>
        <v>253.82888243490106</v>
      </c>
      <c r="DU54" s="59">
        <f t="shared" si="44"/>
        <v>224.11983819941796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12.155106323854962</v>
      </c>
      <c r="EB54" s="21">
        <f>EXP(-LN(2)/25)*EB53+(1-EXP(-LN(2)/25))/(LN(2)/25)*Calculateur!DW54*Calculateur!DY54*VLOOKUP('Données projet'!$B$14,Paramètres!$A$1:$I$89,3,0)*0.475*44/12</f>
        <v>10.384013468989954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22.539119792844915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16.944285714285709</v>
      </c>
      <c r="N55" s="13">
        <f>IF('Données projet'!$A$36&gt;35,N54+M55-V54,IF(A55&lt;'Données projet'!$A$36,$K$205^A55,IF(A55='Données projet'!$A$36,'Données projet'!$B$36,N54+M55-V54)))</f>
        <v>311.93285714285707</v>
      </c>
      <c r="O55" s="13">
        <f>N55*VLOOKUP('Données projet'!$B$9,Paramètres!$A$1:$I$89,3,0)*VLOOKUP('Données projet'!$B$9,Paramètres!$A$1:$I$89,5,0)</f>
        <v>145.98457714285712</v>
      </c>
      <c r="P55" s="13">
        <f t="shared" si="33"/>
        <v>37.664630310684146</v>
      </c>
      <c r="Q55" s="20">
        <f t="shared" si="53"/>
        <v>319.85570298158433</v>
      </c>
      <c r="R55" s="59">
        <f t="shared" si="0"/>
        <v>576.29098244516763</v>
      </c>
      <c r="S55" s="59">
        <f ca="1">AVERAGE(OFFSET($R$3,0,0,'Données projet'!$E$9+1,1))-AVERAGE(OFFSET($H$3,0,0,'Données projet'!$E$9+1,1))</f>
        <v>387.50901594883317</v>
      </c>
      <c r="T55" s="59">
        <f t="shared" si="34"/>
        <v>361.3623790401972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41.658439902626505</v>
      </c>
      <c r="AA55" s="21">
        <f>EXP(-LN(2)/25)*AA54+(1-EXP(-LN(2)/25))/(LN(2)/25)*Calculateur!V55*Calculateur!X55*VLOOKUP('Données projet'!$B$9,Paramètres!$A$1:$I$89,3,0)*0.475*44/12</f>
        <v>39.179645441548068</v>
      </c>
      <c r="AB55" s="21">
        <f>EXP(-LN(2)/2)*AB54+(1-EXP(-LN(2)/2))/(LN(2)/2)*V55*Y55*VLOOKUP('Données projet'!$B$9,Paramètres!$A$1:$I$89,3,0)*0.475*44/12</f>
        <v>0</v>
      </c>
      <c r="AC55" s="22">
        <f t="shared" si="3"/>
        <v>80.838085344174573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14.12</v>
      </c>
      <c r="AI55" s="13">
        <f>IF('Données projet'!$A$62&gt;35,AI54+AH55-AQ54,IF(A55&lt;'Données projet'!$A$62,$AF$205^A55,IF(A55='Données projet'!$A$62,'Données projet'!$B$62,AI54+AH55-AQ54)))</f>
        <v>327.98000000000019</v>
      </c>
      <c r="AJ55" s="13">
        <f>AI55*VLOOKUP('Données projet'!$B$10,Paramètres!$A$1:$I$89,3,0)*VLOOKUP('Données projet'!$B$10,Paramètres!$A$1:$I$89,5,0)</f>
        <v>196.13204000000013</v>
      </c>
      <c r="AK55" s="13">
        <f t="shared" si="35"/>
        <v>48.893143423385645</v>
      </c>
      <c r="AL55" s="20">
        <f t="shared" si="4"/>
        <v>426.75219446239686</v>
      </c>
      <c r="AM55" s="59">
        <f t="shared" si="5"/>
        <v>683.18747392598016</v>
      </c>
      <c r="AN55" s="59">
        <f ca="1">AVERAGE(OFFSET($AM$3,0,0,'Données projet'!$E$10+1,1))-AVERAGE(OFFSET($H$3,0,0,'Données projet'!$E$10+1,1))</f>
        <v>373.47758082856359</v>
      </c>
      <c r="AO55" s="59">
        <f t="shared" si="36"/>
        <v>277.24895424120166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28.635048635437578</v>
      </c>
      <c r="AV55" s="21">
        <f>EXP(-LN(2)/25)*AV54+(1-EXP(-LN(2)/25))/(LN(2)/25)*Calculateur!AQ55*Calculateur!AS55*VLOOKUP('Données projet'!$B$10,Paramètres!$A$1:$I$89,3,0)*0.475*44/12</f>
        <v>33.700639416677909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62.335688052115486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9.5537500000000009</v>
      </c>
      <c r="BD55" s="12">
        <f>IF('Données projet'!$A$88&gt;35,BD54+BC55-BL54,IF(A55&lt;'Données projet'!$A$88,$BA$205^A55,IF(A55='Données projet'!$A$88,'Données projet'!$B$88,BD54+BC55-BL54)))</f>
        <v>178.54750000000016</v>
      </c>
      <c r="BE55" s="13">
        <f>BD55*VLOOKUP('Données projet'!$B$11,Paramètres!$A$1:$I$89,3,0)*VLOOKUP('Données projet'!$B$11,Paramètres!$A$1:$I$89,5,0)</f>
        <v>161.54977800000012</v>
      </c>
      <c r="BF55" s="13">
        <f t="shared" si="37"/>
        <v>41.191875810979205</v>
      </c>
      <c r="BG55" s="20">
        <f t="shared" si="7"/>
        <v>353.10838038745561</v>
      </c>
      <c r="BH55" s="59">
        <f t="shared" si="8"/>
        <v>609.54365985103891</v>
      </c>
      <c r="BI55" s="59">
        <f ca="1">AVERAGE(OFFSET($BH$3,0,0,'Données projet'!$E$11+1,1))-AVERAGE(OFFSET($H$3,0,0,'Données projet'!$E$11+1,1))</f>
        <v>627.65081154031589</v>
      </c>
      <c r="BJ55" s="59">
        <f t="shared" si="38"/>
        <v>288.78083487077618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8.9862636454643923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8.9862636454643923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9.5537500000000009</v>
      </c>
      <c r="BY55" s="12">
        <f>IF('Données projet'!$A$114&gt;35,BY54+BX55-CG54,IF(A55&lt;'Données projet'!$A$114,$BV$205^A55,IF(A55='Données projet'!$A$114,'Données projet'!$B$114,BY54+BX55-CG54)))</f>
        <v>178.54750000000016</v>
      </c>
      <c r="BZ55" s="13">
        <f>BY55*VLOOKUP('Données projet'!$B$12,Paramètres!$A$1:$I$89,3,0)*VLOOKUP('Données projet'!$B$12,Paramètres!$A$1:$I$89,5,0)</f>
        <v>181.04716500000015</v>
      </c>
      <c r="CA55" s="13">
        <f t="shared" si="39"/>
        <v>45.55508237501288</v>
      </c>
      <c r="CB55" s="20">
        <f t="shared" si="10"/>
        <v>394.66558084481431</v>
      </c>
      <c r="CC55" s="59">
        <f t="shared" si="11"/>
        <v>651.10086030839761</v>
      </c>
      <c r="CD55" s="59">
        <f ca="1">AVERAGE(OFFSET($CC$3,0,0,'Données projet'!$E$12+1,1))-AVERAGE(OFFSET($H$3,0,0,'Données projet'!$E$12+1,1))</f>
        <v>692.2706942067415</v>
      </c>
      <c r="CE55" s="59">
        <f t="shared" si="40"/>
        <v>316.17529091924803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10.070812706123888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10.070812706123888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9.5537500000000009</v>
      </c>
      <c r="CT55" s="12">
        <f>IF('Données projet'!$A$140&gt;35,CT54+CS55-DB54,IF(A55&lt;'Données projet'!$A$140,$CQ$205^A55,IF(A55='Données projet'!$A$140,'Données projet'!$B$140,CT54+CS55-DB54)))</f>
        <v>178.54750000000016</v>
      </c>
      <c r="CU55" s="17">
        <f>CT55*VLOOKUP('Données projet'!$B$13,Paramètres!$A$1:$I$89,3,0)*VLOOKUP('Données projet'!$B$13,Paramètres!$A$1:$I$89,5,0)</f>
        <v>203.3298930000002</v>
      </c>
      <c r="CV55" s="13">
        <f t="shared" si="41"/>
        <v>50.47527265347513</v>
      </c>
      <c r="CW55" s="20">
        <f t="shared" si="13"/>
        <v>442.04399684646955</v>
      </c>
      <c r="CX55" s="59">
        <f t="shared" si="14"/>
        <v>698.47927631005291</v>
      </c>
      <c r="CY55" s="59">
        <f ca="1">AVERAGE(OFFSET($CX$3,0,0,'Données projet'!$E$13+1,1))-AVERAGE(OFFSET($H$3,0,0,'Données projet'!$E$13+1,1))</f>
        <v>765.9523557587147</v>
      </c>
      <c r="CZ55" s="59">
        <f t="shared" si="42"/>
        <v>347.40395092312815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11.310297346877597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11.310297346877597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3.9743589743589753</v>
      </c>
      <c r="DO55" s="12">
        <f>IF('Données projet'!$A$166&gt;35,DO54+DN55-DW54,IF(A55&lt;'Données projet'!$A$166,$DL$205^A55,IF(A55='Données projet'!$A$166,'Données projet'!$B$166,DO54+DN55-DW54)))</f>
        <v>116.92307692307693</v>
      </c>
      <c r="DP55" s="17">
        <f>DO55*VLOOKUP('Données projet'!$B$14,Paramètres!$A$1:$I$89,3,0)*VLOOKUP('Données projet'!$B$14,Paramètres!$A$1:$I$89,5,0)</f>
        <v>102.14400000000002</v>
      </c>
      <c r="DQ55" s="13">
        <f t="shared" si="43"/>
        <v>27.472143658119773</v>
      </c>
      <c r="DR55" s="20">
        <f t="shared" si="16"/>
        <v>225.74811687122531</v>
      </c>
      <c r="DS55" s="59">
        <f t="shared" si="17"/>
        <v>482.18339633480866</v>
      </c>
      <c r="DT55" s="59">
        <f ca="1">AVERAGE(OFFSET($DS$3,0,0,'Données projet'!$E$14+1,1))-AVERAGE(OFFSET($H$3,0,0,'Données projet'!$E$14+1,1))</f>
        <v>253.82888243490106</v>
      </c>
      <c r="DU55" s="59">
        <f t="shared" si="44"/>
        <v>224.11983819941796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11.916752102726964</v>
      </c>
      <c r="EB55" s="21">
        <f>EXP(-LN(2)/25)*EB54+(1-EXP(-LN(2)/25))/(LN(2)/25)*Calculateur!DW55*Calculateur!DY55*VLOOKUP('Données projet'!$B$14,Paramètres!$A$1:$I$89,3,0)*0.475*44/12</f>
        <v>10.100062074608889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22.016814177335853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16.944285714285709</v>
      </c>
      <c r="N56" s="13">
        <f>IF('Données projet'!$A$36&gt;35,N55+M56-V55,IF(A56&lt;'Données projet'!$A$36,$K$205^A56,IF(A56='Données projet'!$A$36,'Données projet'!$B$36,N55+M56-V55)))</f>
        <v>328.87714285714276</v>
      </c>
      <c r="O56" s="13">
        <f>N56*VLOOKUP('Données projet'!$B$9,Paramètres!$A$1:$I$89,3,0)*VLOOKUP('Données projet'!$B$9,Paramètres!$A$1:$I$89,5,0)</f>
        <v>153.91450285714282</v>
      </c>
      <c r="P56" s="13">
        <f t="shared" si="33"/>
        <v>39.46683225936065</v>
      </c>
      <c r="Q56" s="20">
        <f t="shared" si="53"/>
        <v>336.80582532791021</v>
      </c>
      <c r="R56" s="59">
        <f t="shared" si="0"/>
        <v>593.88120353444344</v>
      </c>
      <c r="S56" s="59">
        <f ca="1">AVERAGE(OFFSET($R$3,0,0,'Données projet'!$E$9+1,1))-AVERAGE(OFFSET($H$3,0,0,'Données projet'!$E$9+1,1))</f>
        <v>387.50901594883317</v>
      </c>
      <c r="T56" s="59">
        <f t="shared" si="34"/>
        <v>361.3623790401972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40.841543305275394</v>
      </c>
      <c r="AA56" s="21">
        <f>EXP(-LN(2)/25)*AA55+(1-EXP(-LN(2)/25))/(LN(2)/25)*Calculateur!V56*Calculateur!X56*VLOOKUP('Données projet'!$B$9,Paramètres!$A$1:$I$89,3,0)*0.475*44/12</f>
        <v>38.108275976580927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78.949819281856321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14.12</v>
      </c>
      <c r="AI56" s="13">
        <f>IF('Données projet'!$A$62&gt;35,AI55+AH56-AQ55,IF(A56&lt;'Données projet'!$A$62,$AF$205^A56,IF(A56='Données projet'!$A$62,'Données projet'!$B$62,AI55+AH56-AQ55)))</f>
        <v>342.10000000000019</v>
      </c>
      <c r="AJ56" s="13">
        <f>AI56*VLOOKUP('Données projet'!$B$10,Paramètres!$A$1:$I$89,3,0)*VLOOKUP('Données projet'!$B$10,Paramètres!$A$1:$I$89,5,0)</f>
        <v>204.57580000000013</v>
      </c>
      <c r="AK56" s="13">
        <f t="shared" si="35"/>
        <v>50.748462290021173</v>
      </c>
      <c r="AL56" s="20">
        <f t="shared" si="4"/>
        <v>444.68975682178706</v>
      </c>
      <c r="AM56" s="59">
        <f t="shared" si="5"/>
        <v>701.76513502832029</v>
      </c>
      <c r="AN56" s="59">
        <f ca="1">AVERAGE(OFFSET($AM$3,0,0,'Données projet'!$E$10+1,1))-AVERAGE(OFFSET($H$3,0,0,'Données projet'!$E$10+1,1))</f>
        <v>373.47758082856359</v>
      </c>
      <c r="AO56" s="59">
        <f t="shared" si="36"/>
        <v>277.24895424120166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28.073532797351724</v>
      </c>
      <c r="AV56" s="21">
        <f>EXP(-LN(2)/25)*AV55+(1-EXP(-LN(2)/25))/(LN(2)/25)*Calculateur!AQ56*Calculateur!AS56*VLOOKUP('Données projet'!$B$10,Paramètres!$A$1:$I$89,3,0)*0.475*44/12</f>
        <v>32.77909365958925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60.852626456940975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9.5537500000000009</v>
      </c>
      <c r="BD56" s="12">
        <f>IF('Données projet'!$A$88&gt;35,BD55+BC56-BL55,IF(A56&lt;'Données projet'!$A$88,$BA$205^A56,IF(A56='Données projet'!$A$88,'Données projet'!$B$88,BD55+BC56-BL55)))</f>
        <v>188.10125000000016</v>
      </c>
      <c r="BE56" s="13">
        <f>BD56*VLOOKUP('Données projet'!$B$11,Paramètres!$A$1:$I$89,3,0)*VLOOKUP('Données projet'!$B$11,Paramètres!$A$1:$I$89,5,0)</f>
        <v>170.19401100000013</v>
      </c>
      <c r="BF56" s="13">
        <f t="shared" si="37"/>
        <v>43.133472710542861</v>
      </c>
      <c r="BG56" s="20">
        <f t="shared" si="7"/>
        <v>371.54536746252899</v>
      </c>
      <c r="BH56" s="59">
        <f t="shared" si="8"/>
        <v>628.62074566906222</v>
      </c>
      <c r="BI56" s="59">
        <f ca="1">AVERAGE(OFFSET($BH$3,0,0,'Données projet'!$E$11+1,1))-AVERAGE(OFFSET($H$3,0,0,'Données projet'!$E$11+1,1))</f>
        <v>627.65081154031589</v>
      </c>
      <c r="BJ56" s="59">
        <f t="shared" si="38"/>
        <v>288.78083487077618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8.8100484964564476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8.8100484964564476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9.5537500000000009</v>
      </c>
      <c r="BY56" s="12">
        <f>IF('Données projet'!$A$114&gt;35,BY55+BX56-CG55,IF(A56&lt;'Données projet'!$A$114,$BV$205^A56,IF(A56='Données projet'!$A$114,'Données projet'!$B$114,BY55+BX56-CG55)))</f>
        <v>188.10125000000016</v>
      </c>
      <c r="BZ56" s="13">
        <f>BY56*VLOOKUP('Données projet'!$B$12,Paramètres!$A$1:$I$89,3,0)*VLOOKUP('Données projet'!$B$12,Paramètres!$A$1:$I$89,5,0)</f>
        <v>190.73466750000017</v>
      </c>
      <c r="CA56" s="13">
        <f t="shared" si="39"/>
        <v>47.70234090493684</v>
      </c>
      <c r="CB56" s="20">
        <f t="shared" si="10"/>
        <v>415.27778963859856</v>
      </c>
      <c r="CC56" s="59">
        <f t="shared" si="11"/>
        <v>672.35316784513179</v>
      </c>
      <c r="CD56" s="59">
        <f ca="1">AVERAGE(OFFSET($CC$3,0,0,'Données projet'!$E$12+1,1))-AVERAGE(OFFSET($H$3,0,0,'Données projet'!$E$12+1,1))</f>
        <v>692.2706942067415</v>
      </c>
      <c r="CE56" s="59">
        <f t="shared" si="40"/>
        <v>316.17529091924803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9.8733302115460191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9.8733302115460191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9.5537500000000009</v>
      </c>
      <c r="CT56" s="12">
        <f>IF('Données projet'!$A$140&gt;35,CT55+CS56-DB55,IF(A56&lt;'Données projet'!$A$140,$CQ$205^A56,IF(A56='Données projet'!$A$140,'Données projet'!$B$140,CT55+CS56-DB55)))</f>
        <v>188.10125000000016</v>
      </c>
      <c r="CU56" s="17">
        <f>CT56*VLOOKUP('Données projet'!$B$13,Paramètres!$A$1:$I$89,3,0)*VLOOKUP('Données projet'!$B$13,Paramètres!$A$1:$I$89,5,0)</f>
        <v>214.20970350000022</v>
      </c>
      <c r="CV56" s="13">
        <f t="shared" si="41"/>
        <v>52.854446482274099</v>
      </c>
      <c r="CW56" s="20">
        <f t="shared" si="13"/>
        <v>465.13672788579447</v>
      </c>
      <c r="CX56" s="59">
        <f t="shared" si="14"/>
        <v>722.21210609232776</v>
      </c>
      <c r="CY56" s="59">
        <f ca="1">AVERAGE(OFFSET($CX$3,0,0,'Données projet'!$E$13+1,1))-AVERAGE(OFFSET($H$3,0,0,'Données projet'!$E$13+1,1))</f>
        <v>765.9523557587147</v>
      </c>
      <c r="CZ56" s="59">
        <f t="shared" si="42"/>
        <v>347.40395092312815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11.088509314505529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11.088509314505529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3.9743589743589753</v>
      </c>
      <c r="DO56" s="12">
        <f>IF('Données projet'!$A$166&gt;35,DO55+DN56-DW55,IF(A56&lt;'Données projet'!$A$166,$DL$205^A56,IF(A56='Données projet'!$A$166,'Données projet'!$B$166,DO55+DN56-DW55)))</f>
        <v>120.89743589743591</v>
      </c>
      <c r="DP56" s="17">
        <f>DO56*VLOOKUP('Données projet'!$B$14,Paramètres!$A$1:$I$89,3,0)*VLOOKUP('Données projet'!$B$14,Paramètres!$A$1:$I$89,5,0)</f>
        <v>105.61600000000001</v>
      </c>
      <c r="DQ56" s="13">
        <f t="shared" si="43"/>
        <v>28.29564781884239</v>
      </c>
      <c r="DR56" s="20">
        <f t="shared" si="16"/>
        <v>233.22945328448384</v>
      </c>
      <c r="DS56" s="59">
        <f t="shared" si="17"/>
        <v>490.30483149101707</v>
      </c>
      <c r="DT56" s="59">
        <f ca="1">AVERAGE(OFFSET($DS$3,0,0,'Données projet'!$E$14+1,1))-AVERAGE(OFFSET($H$3,0,0,'Données projet'!$E$14+1,1))</f>
        <v>253.82888243490106</v>
      </c>
      <c r="DU56" s="59">
        <f t="shared" si="44"/>
        <v>224.11983819941796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11.683071862493566</v>
      </c>
      <c r="EB56" s="21">
        <f>EXP(-LN(2)/25)*EB55+(1-EXP(-LN(2)/25))/(LN(2)/25)*Calculateur!DW56*Calculateur!DY56*VLOOKUP('Données projet'!$B$14,Paramètres!$A$1:$I$89,3,0)*0.475*44/12</f>
        <v>9.8238753460395287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21.506947208533095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16.944285714285709</v>
      </c>
      <c r="N57" s="13">
        <f>IF('Données projet'!$A$36&gt;35,N56+M57-V56,IF(A57&lt;'Données projet'!$A$36,$K$205^A57,IF(A57='Données projet'!$A$36,'Données projet'!$B$36,N56+M57-V56)))</f>
        <v>345.82142857142844</v>
      </c>
      <c r="O57" s="13">
        <f>N57*VLOOKUP('Données projet'!$B$9,Paramètres!$A$1:$I$89,3,0)*VLOOKUP('Données projet'!$B$9,Paramètres!$A$1:$I$89,5,0)</f>
        <v>161.84442857142849</v>
      </c>
      <c r="P57" s="13">
        <f t="shared" si="33"/>
        <v>41.258253499805392</v>
      </c>
      <c r="Q57" s="20">
        <f t="shared" si="53"/>
        <v>353.7371712740657</v>
      </c>
      <c r="R57" s="59">
        <f t="shared" si="0"/>
        <v>611.44154394140503</v>
      </c>
      <c r="S57" s="59">
        <f ca="1">AVERAGE(OFFSET($R$3,0,0,'Données projet'!$E$9+1,1))-AVERAGE(OFFSET($H$3,0,0,'Données projet'!$E$9+1,1))</f>
        <v>387.50901594883317</v>
      </c>
      <c r="T57" s="59">
        <f t="shared" si="34"/>
        <v>361.3623790401972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40.040665551940613</v>
      </c>
      <c r="AA57" s="21">
        <f>EXP(-LN(2)/25)*AA56+(1-EXP(-LN(2)/25))/(LN(2)/25)*Calculateur!V57*Calculateur!X57*VLOOKUP('Données projet'!$B$9,Paramètres!$A$1:$I$89,3,0)*0.475*44/12</f>
        <v>37.066203165974187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77.106868717914807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14.12</v>
      </c>
      <c r="AI57" s="13">
        <f>IF('Données projet'!$A$62&gt;35,AI56+AH57-AQ56,IF(A57&lt;'Données projet'!$A$62,$AF$205^A57,IF(A57='Données projet'!$A$62,'Données projet'!$B$62,AI56+AH57-AQ56)))</f>
        <v>356.2200000000002</v>
      </c>
      <c r="AJ57" s="13">
        <f>AI57*VLOOKUP('Données projet'!$B$10,Paramètres!$A$1:$I$89,3,0)*VLOOKUP('Données projet'!$B$10,Paramètres!$A$1:$I$89,5,0)</f>
        <v>213.01956000000015</v>
      </c>
      <c r="AK57" s="13">
        <f t="shared" si="35"/>
        <v>52.594886266766075</v>
      </c>
      <c r="AL57" s="20">
        <f t="shared" si="4"/>
        <v>462.61182724795117</v>
      </c>
      <c r="AM57" s="59">
        <f t="shared" si="5"/>
        <v>720.31619991529055</v>
      </c>
      <c r="AN57" s="59">
        <f ca="1">AVERAGE(OFFSET($AM$3,0,0,'Données projet'!$E$10+1,1))-AVERAGE(OFFSET($H$3,0,0,'Données projet'!$E$10+1,1))</f>
        <v>373.47758082856359</v>
      </c>
      <c r="AO57" s="59">
        <f t="shared" si="36"/>
        <v>277.24895424120166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27.523027942359892</v>
      </c>
      <c r="AV57" s="21">
        <f>EXP(-LN(2)/25)*AV56+(1-EXP(-LN(2)/25))/(LN(2)/25)*Calculateur!AQ57*Calculateur!AS57*VLOOKUP('Données projet'!$B$10,Paramètres!$A$1:$I$89,3,0)*0.475*44/12</f>
        <v>31.882747619690164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59.405775562050053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9.5537500000000009</v>
      </c>
      <c r="BD57" s="12">
        <f>IF('Données projet'!$A$88&gt;35,BD56+BC57-BL56,IF(A57&lt;'Données projet'!$A$88,$BA$205^A57,IF(A57='Données projet'!$A$88,'Données projet'!$B$88,BD56+BC57-BL56)))</f>
        <v>197.65500000000017</v>
      </c>
      <c r="BE57" s="13">
        <f>BD57*VLOOKUP('Données projet'!$B$11,Paramètres!$A$1:$I$89,3,0)*VLOOKUP('Données projet'!$B$11,Paramètres!$A$1:$I$89,5,0)</f>
        <v>178.83824400000015</v>
      </c>
      <c r="BF57" s="13">
        <f t="shared" si="37"/>
        <v>45.06361953668285</v>
      </c>
      <c r="BG57" s="20">
        <f t="shared" si="7"/>
        <v>389.96241232638954</v>
      </c>
      <c r="BH57" s="59">
        <f t="shared" si="8"/>
        <v>647.66678499372892</v>
      </c>
      <c r="BI57" s="59">
        <f ca="1">AVERAGE(OFFSET($BH$3,0,0,'Données projet'!$E$11+1,1))-AVERAGE(OFFSET($H$3,0,0,'Données projet'!$E$11+1,1))</f>
        <v>627.65081154031589</v>
      </c>
      <c r="BJ57" s="59">
        <f t="shared" si="38"/>
        <v>288.78083487077618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8.6372888190399202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8.6372888190399202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9.5537500000000009</v>
      </c>
      <c r="BY57" s="12">
        <f>IF('Données projet'!$A$114&gt;35,BY56+BX57-CG56,IF(A57&lt;'Données projet'!$A$114,$BV$205^A57,IF(A57='Données projet'!$A$114,'Données projet'!$B$114,BY56+BX57-CG56)))</f>
        <v>197.65500000000017</v>
      </c>
      <c r="BZ57" s="13">
        <f>BY57*VLOOKUP('Données projet'!$B$12,Paramètres!$A$1:$I$89,3,0)*VLOOKUP('Données projet'!$B$12,Paramètres!$A$1:$I$89,5,0)</f>
        <v>200.42217000000019</v>
      </c>
      <c r="CA57" s="13">
        <f t="shared" si="39"/>
        <v>49.83693652432936</v>
      </c>
      <c r="CB57" s="20">
        <f t="shared" si="10"/>
        <v>435.8679438632073</v>
      </c>
      <c r="CC57" s="59">
        <f t="shared" si="11"/>
        <v>693.57231653054669</v>
      </c>
      <c r="CD57" s="59">
        <f ca="1">AVERAGE(OFFSET($CC$3,0,0,'Données projet'!$E$12+1,1))-AVERAGE(OFFSET($H$3,0,0,'Données projet'!$E$12+1,1))</f>
        <v>692.2706942067415</v>
      </c>
      <c r="CE57" s="59">
        <f t="shared" si="40"/>
        <v>316.17529091924803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9.6797202282343946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9.6797202282343946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9.5537500000000009</v>
      </c>
      <c r="CT57" s="12">
        <f>IF('Données projet'!$A$140&gt;35,CT56+CS57-DB56,IF(A57&lt;'Données projet'!$A$140,$CQ$205^A57,IF(A57='Données projet'!$A$140,'Données projet'!$B$140,CT56+CS57-DB56)))</f>
        <v>197.65500000000017</v>
      </c>
      <c r="CU57" s="17">
        <f>CT57*VLOOKUP('Données projet'!$B$13,Paramètres!$A$1:$I$89,3,0)*VLOOKUP('Données projet'!$B$13,Paramètres!$A$1:$I$89,5,0)</f>
        <v>225.08951400000018</v>
      </c>
      <c r="CV57" s="13">
        <f t="shared" si="41"/>
        <v>55.219589739107491</v>
      </c>
      <c r="CW57" s="20">
        <f t="shared" si="13"/>
        <v>488.20502234561246</v>
      </c>
      <c r="CX57" s="59">
        <f t="shared" si="14"/>
        <v>745.90939501295179</v>
      </c>
      <c r="CY57" s="59">
        <f ca="1">AVERAGE(OFFSET($CX$3,0,0,'Données projet'!$E$13+1,1))-AVERAGE(OFFSET($H$3,0,0,'Données projet'!$E$13+1,1))</f>
        <v>765.9523557587147</v>
      </c>
      <c r="CZ57" s="59">
        <f t="shared" si="42"/>
        <v>347.40395092312815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10.871070410170935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10.871070410170935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3.9743589743589753</v>
      </c>
      <c r="DO57" s="12">
        <f>IF('Données projet'!$A$166&gt;35,DO56+DN57-DW56,IF(A57&lt;'Données projet'!$A$166,$DL$205^A57,IF(A57='Données projet'!$A$166,'Données projet'!$B$166,DO56+DN57-DW56)))</f>
        <v>124.87179487179489</v>
      </c>
      <c r="DP57" s="17">
        <f>DO57*VLOOKUP('Données projet'!$B$14,Paramètres!$A$1:$I$89,3,0)*VLOOKUP('Données projet'!$B$14,Paramètres!$A$1:$I$89,5,0)</f>
        <v>109.08800000000004</v>
      </c>
      <c r="DQ57" s="13">
        <f t="shared" si="43"/>
        <v>29.116006254416277</v>
      </c>
      <c r="DR57" s="20">
        <f t="shared" si="16"/>
        <v>240.70531089310836</v>
      </c>
      <c r="DS57" s="59">
        <f t="shared" si="17"/>
        <v>498.40968356044766</v>
      </c>
      <c r="DT57" s="59">
        <f ca="1">AVERAGE(OFFSET($DS$3,0,0,'Données projet'!$E$14+1,1))-AVERAGE(OFFSET($H$3,0,0,'Données projet'!$E$14+1,1))</f>
        <v>253.82888243490106</v>
      </c>
      <c r="DU57" s="59">
        <f t="shared" si="44"/>
        <v>224.11983819941796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11.453973949240272</v>
      </c>
      <c r="EB57" s="21">
        <f>EXP(-LN(2)/25)*EB56+(1-EXP(-LN(2)/25))/(LN(2)/25)*Calculateur!DW57*Calculateur!DY57*VLOOKUP('Données projet'!$B$14,Paramètres!$A$1:$I$89,3,0)*0.475*44/12</f>
        <v>9.5552409580869266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21.009214907327198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16.944285714285709</v>
      </c>
      <c r="N58" s="13">
        <f>IF('Données projet'!$A$36&gt;35,N57+M58-V57,IF(A58&lt;'Données projet'!$A$36,$K$205^A58,IF(A58='Données projet'!$A$36,'Données projet'!$B$36,N57+M58-V57)))</f>
        <v>362.76571428571413</v>
      </c>
      <c r="O58" s="13">
        <f>N58*VLOOKUP('Données projet'!$B$9,Paramètres!$A$1:$I$89,3,0)*VLOOKUP('Données projet'!$B$9,Paramètres!$A$1:$I$89,5,0)</f>
        <v>169.7743542857142</v>
      </c>
      <c r="P58" s="13">
        <f t="shared" si="33"/>
        <v>43.039482545615591</v>
      </c>
      <c r="Q58" s="20">
        <f t="shared" si="53"/>
        <v>370.650765814566</v>
      </c>
      <c r="R58" s="59">
        <f t="shared" si="0"/>
        <v>628.97322129503732</v>
      </c>
      <c r="S58" s="59">
        <f ca="1">AVERAGE(OFFSET($R$3,0,0,'Données projet'!$E$9+1,1))-AVERAGE(OFFSET($H$3,0,0,'Données projet'!$E$9+1,1))</f>
        <v>387.50901594883317</v>
      </c>
      <c r="T58" s="59">
        <f t="shared" si="34"/>
        <v>361.3623790401972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39.25549252286153</v>
      </c>
      <c r="AA58" s="21">
        <f>EXP(-LN(2)/25)*AA57+(1-EXP(-LN(2)/25))/(LN(2)/25)*Calculateur!V58*Calculateur!X58*VLOOKUP('Données projet'!$B$9,Paramètres!$A$1:$I$89,3,0)*0.475*44/12</f>
        <v>36.052625891173712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75.308118414035249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14.12</v>
      </c>
      <c r="AI58" s="13">
        <f>IF('Données projet'!$A$62&gt;35,AI57+AH58-AQ57,IF(A58&lt;'Données projet'!$A$62,$AF$205^A58,IF(A58='Données projet'!$A$62,'Données projet'!$B$62,AI57+AH58-AQ57)))</f>
        <v>370.3400000000002</v>
      </c>
      <c r="AJ58" s="13">
        <f>AI58*VLOOKUP('Données projet'!$B$10,Paramètres!$A$1:$I$89,3,0)*VLOOKUP('Données projet'!$B$10,Paramètres!$A$1:$I$89,5,0)</f>
        <v>221.46332000000012</v>
      </c>
      <c r="AK58" s="13">
        <f t="shared" si="35"/>
        <v>54.432808276273747</v>
      </c>
      <c r="AL58" s="20">
        <f t="shared" si="4"/>
        <v>480.51909008117696</v>
      </c>
      <c r="AM58" s="59">
        <f t="shared" si="5"/>
        <v>738.84154556164833</v>
      </c>
      <c r="AN58" s="59">
        <f ca="1">AVERAGE(OFFSET($AM$3,0,0,'Données projet'!$E$10+1,1))-AVERAGE(OFFSET($H$3,0,0,'Données projet'!$E$10+1,1))</f>
        <v>373.47758082856359</v>
      </c>
      <c r="AO58" s="59">
        <f t="shared" si="36"/>
        <v>277.24895424120166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26.983318151799644</v>
      </c>
      <c r="AV58" s="21">
        <f>EXP(-LN(2)/25)*AV57+(1-EXP(-LN(2)/25))/(LN(2)/25)*Calculateur!AQ58*Calculateur!AS58*VLOOKUP('Données projet'!$B$10,Paramètres!$A$1:$I$89,3,0)*0.475*44/12</f>
        <v>31.010912209388909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57.994230361188556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9.5537500000000009</v>
      </c>
      <c r="BD58" s="12">
        <f>IF('Données projet'!$A$88&gt;35,BD57+BC58-BL57,IF(A58&lt;'Données projet'!$A$88,$BA$205^A58,IF(A58='Données projet'!$A$88,'Données projet'!$B$88,BD57+BC58-BL57)))</f>
        <v>207.20875000000018</v>
      </c>
      <c r="BE58" s="13">
        <f>BD58*VLOOKUP('Données projet'!$B$11,Paramètres!$A$1:$I$89,3,0)*VLOOKUP('Données projet'!$B$11,Paramètres!$A$1:$I$89,5,0)</f>
        <v>187.48247700000016</v>
      </c>
      <c r="BF58" s="13">
        <f t="shared" si="37"/>
        <v>46.982932911694917</v>
      </c>
      <c r="BG58" s="20">
        <f t="shared" si="7"/>
        <v>408.3605889295356</v>
      </c>
      <c r="BH58" s="59">
        <f t="shared" si="8"/>
        <v>666.68304441000691</v>
      </c>
      <c r="BI58" s="59">
        <f ca="1">AVERAGE(OFFSET($BH$3,0,0,'Données projet'!$E$11+1,1))-AVERAGE(OFFSET($H$3,0,0,'Données projet'!$E$11+1,1))</f>
        <v>627.65081154031589</v>
      </c>
      <c r="BJ58" s="59">
        <f t="shared" si="38"/>
        <v>288.78083487077618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8.4679168535245335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8.4679168535245335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9.5537500000000009</v>
      </c>
      <c r="BY58" s="12">
        <f>IF('Données projet'!$A$114&gt;35,BY57+BX58-CG57,IF(A58&lt;'Données projet'!$A$114,$BV$205^A58,IF(A58='Données projet'!$A$114,'Données projet'!$B$114,BY57+BX58-CG57)))</f>
        <v>207.20875000000018</v>
      </c>
      <c r="BZ58" s="13">
        <f>BY58*VLOOKUP('Données projet'!$B$12,Paramètres!$A$1:$I$89,3,0)*VLOOKUP('Données projet'!$B$12,Paramètres!$A$1:$I$89,5,0)</f>
        <v>210.10967250000019</v>
      </c>
      <c r="CA58" s="13">
        <f t="shared" si="39"/>
        <v>51.959551170560943</v>
      </c>
      <c r="CB58" s="20">
        <f t="shared" si="10"/>
        <v>456.43723122622731</v>
      </c>
      <c r="CC58" s="59">
        <f t="shared" si="11"/>
        <v>714.75968670669863</v>
      </c>
      <c r="CD58" s="59">
        <f ca="1">AVERAGE(OFFSET($CC$3,0,0,'Données projet'!$E$12+1,1))-AVERAGE(OFFSET($H$3,0,0,'Données projet'!$E$12+1,1))</f>
        <v>692.2706942067415</v>
      </c>
      <c r="CE58" s="59">
        <f t="shared" si="40"/>
        <v>316.17529091924803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9.4899068186050819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9.4899068186050819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9.5537500000000009</v>
      </c>
      <c r="CT58" s="12">
        <f>IF('Données projet'!$A$140&gt;35,CT57+CS58-DB57,IF(A58&lt;'Données projet'!$A$140,$CQ$205^A58,IF(A58='Données projet'!$A$140,'Données projet'!$B$140,CT57+CS58-DB57)))</f>
        <v>207.20875000000018</v>
      </c>
      <c r="CU58" s="17">
        <f>CT58*VLOOKUP('Données projet'!$B$13,Paramètres!$A$1:$I$89,3,0)*VLOOKUP('Données projet'!$B$13,Paramètres!$A$1:$I$89,5,0)</f>
        <v>235.9693245000002</v>
      </c>
      <c r="CV58" s="13">
        <f t="shared" si="41"/>
        <v>57.571458014195166</v>
      </c>
      <c r="CW58" s="20">
        <f t="shared" si="13"/>
        <v>511.25019621222356</v>
      </c>
      <c r="CX58" s="59">
        <f t="shared" si="14"/>
        <v>769.57265169269499</v>
      </c>
      <c r="CY58" s="59">
        <f ca="1">AVERAGE(OFFSET($CX$3,0,0,'Données projet'!$E$13+1,1))-AVERAGE(OFFSET($H$3,0,0,'Données projet'!$E$13+1,1))</f>
        <v>765.9523557587147</v>
      </c>
      <c r="CZ58" s="59">
        <f t="shared" si="42"/>
        <v>347.40395092312815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10.657895350125706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10.657895350125706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>
        <f>VLOOKUP(A58,'Données projet'!$A$165:$I$185,2,0)</f>
        <v>128.84615384615384</v>
      </c>
      <c r="DM58" s="12">
        <f>VLOOKUP(A58,'Données projet'!$A$165:$I$185,9,0)</f>
        <v>3.9743589743589753</v>
      </c>
      <c r="DN58" s="12">
        <f t="array" ref="DN58">INDEX(DM:DM,MIN(IF(ISNUMBER(DM58:DM254),ROW(DM58:DM254),"")))</f>
        <v>3.9743589743589753</v>
      </c>
      <c r="DO58" s="12">
        <f>IF('Données projet'!$A$166&gt;35,DO57+DN58-DW57,IF(A58&lt;'Données projet'!$A$166,$DL$205^A58,IF(A58='Données projet'!$A$166,'Données projet'!$B$166,DO57+DN58-DW57)))</f>
        <v>128.84615384615387</v>
      </c>
      <c r="DP58" s="17">
        <f>DO58*VLOOKUP('Données projet'!$B$14,Paramètres!$A$1:$I$89,3,0)*VLOOKUP('Données projet'!$B$14,Paramètres!$A$1:$I$89,5,0)</f>
        <v>112.56000000000003</v>
      </c>
      <c r="DQ58" s="13">
        <f t="shared" si="43"/>
        <v>29.933330570949426</v>
      </c>
      <c r="DR58" s="20">
        <f t="shared" si="16"/>
        <v>248.17588407773692</v>
      </c>
      <c r="DS58" s="59">
        <f t="shared" si="17"/>
        <v>506.49833955820827</v>
      </c>
      <c r="DT58" s="59">
        <f ca="1">AVERAGE(OFFSET($DS$3,0,0,'Données projet'!$E$14+1,1))-AVERAGE(OFFSET($H$3,0,0,'Données projet'!$E$14+1,1))</f>
        <v>253.82888243490106</v>
      </c>
      <c r="DU58" s="59">
        <f t="shared" si="44"/>
        <v>224.11983819941796</v>
      </c>
      <c r="DV58" s="15">
        <f>IF(ISNA(VLOOKUP(A58,'Données projet'!$A$165:$I$185,3,0)),0,VLOOKUP(A58,'Données projet'!$A$165:$I$185,3,0))</f>
        <v>10</v>
      </c>
      <c r="DW58" s="15">
        <f>IF(ISNA(VLOOKUP(A58,'Données projet'!$A$165:$I$185,4,0)),0,VLOOKUP(A58,'Données projet'!$A$165:$I$185,4,0))</f>
        <v>12.820512820512819</v>
      </c>
      <c r="DX58" s="16">
        <f>IF(ISNA(VLOOKUP(A58,'Données projet'!$A$165:$I$185,5,0)),0%,VLOOKUP(A58,'Données projet'!$A$165:$I$185,5,0)*VLOOKUP('Données projet'!$B$14,Paramètres!$A$1:$I$89,7,0))</f>
        <v>0.25800000000000001</v>
      </c>
      <c r="DY58" s="16">
        <f>IF(ISNA(VLOOKUP(A58,'Données projet'!$A$165:$I$185,6,0)),0%,VLOOKUP(A58,'Données projet'!$A$165:$I$185,6,0)*VLOOKUP('Données projet'!$B$14,Paramètres!$A$1:$I$89,7,0))</f>
        <v>0.129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14.423735715028359</v>
      </c>
      <c r="EB58" s="21">
        <f>EXP(-LN(2)/25)*EB57+(1-EXP(-LN(2)/25))/(LN(2)/25)*Calculateur!DW58*Calculateur!DY58*VLOOKUP('Données projet'!$B$14,Paramètres!$A$1:$I$89,3,0)*0.475*44/12</f>
        <v>10.884847275523974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25.308582990552331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379.71</v>
      </c>
      <c r="L59" s="12">
        <f>VLOOKUP(A59,'Données projet'!$A$35:$I$55,9,0)</f>
        <v>16.944285714285709</v>
      </c>
      <c r="M59" s="12">
        <f t="array" ref="M59">INDEX(L:L,MIN(IF(ISNUMBER(L59:L255),ROW(L59:L255),"")))</f>
        <v>16.944285714285709</v>
      </c>
      <c r="N59" s="13">
        <f>IF('Données projet'!$A$36&gt;35,N58+M59-V58,IF(A59&lt;'Données projet'!$A$36,$K$205^A59,IF(A59='Données projet'!$A$36,'Données projet'!$B$36,N58+M59-V58)))</f>
        <v>379.70999999999981</v>
      </c>
      <c r="O59" s="13">
        <f>N59*VLOOKUP('Données projet'!$B$9,Paramètres!$A$1:$I$89,3,0)*VLOOKUP('Données projet'!$B$9,Paramètres!$A$1:$I$89,5,0)</f>
        <v>177.70427999999993</v>
      </c>
      <c r="P59" s="13">
        <f t="shared" si="33"/>
        <v>44.811049826105538</v>
      </c>
      <c r="Q59" s="20">
        <f t="shared" si="53"/>
        <v>387.54753278046701</v>
      </c>
      <c r="R59" s="59">
        <f t="shared" si="0"/>
        <v>646.4773487190887</v>
      </c>
      <c r="S59" s="59">
        <f ca="1">AVERAGE(OFFSET($R$3,0,0,'Données projet'!$E$9+1,1))-AVERAGE(OFFSET($H$3,0,0,'Données projet'!$E$9+1,1))</f>
        <v>387.50901594883317</v>
      </c>
      <c r="T59" s="59">
        <f t="shared" si="34"/>
        <v>361.3623790401972</v>
      </c>
      <c r="U59" s="15">
        <f>IF(ISNA(VLOOKUP(A59,'Données projet'!$A$35:$I$55,3,0)),0,VLOOKUP(A59,'Données projet'!$A$35:$I$55,3,0))</f>
        <v>3</v>
      </c>
      <c r="V59" s="15">
        <f>IF(ISNA(VLOOKUP(A59,'Données projet'!$A$35:$I$55,4,0)),0,VLOOKUP(A59,'Données projet'!$A$35:$I$55,4,0))</f>
        <v>79.39</v>
      </c>
      <c r="W59" s="16">
        <f>IF(ISNA(VLOOKUP(A59,'Données projet'!$A$35:$I$55,5,0)),0%,VLOOKUP(A59,'Données projet'!$A$35:$I$55,5,0)*VLOOKUP('Données projet'!$B$9,Paramètres!$A$1:$I$89,7,0))</f>
        <v>0.38500000000000001</v>
      </c>
      <c r="X59" s="16">
        <f>IF(ISNA(VLOOKUP(A59,'Données projet'!$A$35:$I$55,6,0)),0%,VLOOKUP(A59,'Données projet'!$A$35:$I$55,6,0)*VLOOKUP('Données projet'!$B$9,Paramètres!$A$1:$I$89,7,0))</f>
        <v>0.16500000000000001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57.461544510477665</v>
      </c>
      <c r="AA59" s="21">
        <f>EXP(-LN(2)/25)*AA58+(1-EXP(-LN(2)/25))/(LN(2)/25)*Calculateur!V59*Calculateur!X59*VLOOKUP('Données projet'!$B$9,Paramètres!$A$1:$I$89,3,0)*0.475*44/12</f>
        <v>43.16724202010397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100.62878653058164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14.12</v>
      </c>
      <c r="AI59" s="13">
        <f>IF('Données projet'!$A$62&gt;35,AI58+AH59-AQ58,IF(A59&lt;'Données projet'!$A$62,$AF$205^A59,IF(A59='Données projet'!$A$62,'Données projet'!$B$62,AI58+AH59-AQ58)))</f>
        <v>384.46000000000021</v>
      </c>
      <c r="AJ59" s="13">
        <f>AI59*VLOOKUP('Données projet'!$B$10,Paramètres!$A$1:$I$89,3,0)*VLOOKUP('Données projet'!$B$10,Paramètres!$A$1:$I$89,5,0)</f>
        <v>229.90708000000015</v>
      </c>
      <c r="AK59" s="13">
        <f t="shared" si="35"/>
        <v>56.262589582193186</v>
      </c>
      <c r="AL59" s="20">
        <f t="shared" si="4"/>
        <v>498.41217452232013</v>
      </c>
      <c r="AM59" s="59">
        <f t="shared" si="5"/>
        <v>757.34199046094182</v>
      </c>
      <c r="AN59" s="59">
        <f ca="1">AVERAGE(OFFSET($AM$3,0,0,'Données projet'!$E$10+1,1))-AVERAGE(OFFSET($H$3,0,0,'Données projet'!$E$10+1,1))</f>
        <v>373.47758082856359</v>
      </c>
      <c r="AO59" s="59">
        <f t="shared" si="36"/>
        <v>277.24895424120166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26.454191741041814</v>
      </c>
      <c r="AV59" s="21">
        <f>EXP(-LN(2)/25)*AV58+(1-EXP(-LN(2)/25))/(LN(2)/25)*Calculateur!AQ59*Calculateur!AS59*VLOOKUP('Données projet'!$B$10,Paramètres!$A$1:$I$89,3,0)*0.475*44/12</f>
        <v>30.162917184230174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56.617108925271992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9.5537500000000009</v>
      </c>
      <c r="BD59" s="12">
        <f>IF('Données projet'!$A$88&gt;35,BD58+BC59-BL58,IF(A59&lt;'Données projet'!$A$88,$BA$205^A59,IF(A59='Données projet'!$A$88,'Données projet'!$B$88,BD58+BC59-BL58)))</f>
        <v>216.76250000000019</v>
      </c>
      <c r="BE59" s="13">
        <f>BD59*VLOOKUP('Données projet'!$B$11,Paramètres!$A$1:$I$89,3,0)*VLOOKUP('Données projet'!$B$11,Paramètres!$A$1:$I$89,5,0)</f>
        <v>196.12671000000017</v>
      </c>
      <c r="BF59" s="13">
        <f t="shared" si="37"/>
        <v>48.891969383051702</v>
      </c>
      <c r="BG59" s="20">
        <f t="shared" si="7"/>
        <v>426.74086659214868</v>
      </c>
      <c r="BH59" s="59">
        <f t="shared" si="8"/>
        <v>685.67068253077036</v>
      </c>
      <c r="BI59" s="59">
        <f ca="1">AVERAGE(OFFSET($BH$3,0,0,'Données projet'!$E$11+1,1))-AVERAGE(OFFSET($H$3,0,0,'Données projet'!$E$11+1,1))</f>
        <v>627.65081154031589</v>
      </c>
      <c r="BJ59" s="59">
        <f t="shared" si="38"/>
        <v>288.78083487077618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8.301866168946205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8.301866168946205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9.5537500000000009</v>
      </c>
      <c r="BY59" s="12">
        <f>IF('Données projet'!$A$114&gt;35,BY58+BX59-CG58,IF(A59&lt;'Données projet'!$A$114,$BV$205^A59,IF(A59='Données projet'!$A$114,'Données projet'!$B$114,BY58+BX59-CG58)))</f>
        <v>216.76250000000019</v>
      </c>
      <c r="BZ59" s="13">
        <f>BY59*VLOOKUP('Données projet'!$B$12,Paramètres!$A$1:$I$89,3,0)*VLOOKUP('Données projet'!$B$12,Paramètres!$A$1:$I$89,5,0)</f>
        <v>219.79717500000021</v>
      </c>
      <c r="CA59" s="13">
        <f t="shared" si="39"/>
        <v>54.070800342815986</v>
      </c>
      <c r="CB59" s="20">
        <f t="shared" si="10"/>
        <v>476.98672372207147</v>
      </c>
      <c r="CC59" s="59">
        <f t="shared" si="11"/>
        <v>735.91653966069316</v>
      </c>
      <c r="CD59" s="59">
        <f ca="1">AVERAGE(OFFSET($CC$3,0,0,'Données projet'!$E$12+1,1))-AVERAGE(OFFSET($H$3,0,0,'Données projet'!$E$12+1,1))</f>
        <v>692.2706942067415</v>
      </c>
      <c r="CE59" s="59">
        <f t="shared" si="40"/>
        <v>316.17529091924803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9.3038155341638511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9.3038155341638511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9.5537500000000009</v>
      </c>
      <c r="CT59" s="12">
        <f>IF('Données projet'!$A$140&gt;35,CT58+CS59-DB58,IF(A59&lt;'Données projet'!$A$140,$CQ$205^A59,IF(A59='Données projet'!$A$140,'Données projet'!$B$140,CT58+CS59-DB58)))</f>
        <v>216.76250000000019</v>
      </c>
      <c r="CU59" s="17">
        <f>CT59*VLOOKUP('Données projet'!$B$13,Paramètres!$A$1:$I$89,3,0)*VLOOKUP('Données projet'!$B$13,Paramètres!$A$1:$I$89,5,0)</f>
        <v>246.84913500000025</v>
      </c>
      <c r="CV59" s="13">
        <f t="shared" si="41"/>
        <v>59.910733283894793</v>
      </c>
      <c r="CW59" s="20">
        <f t="shared" si="13"/>
        <v>534.27343726111724</v>
      </c>
      <c r="CX59" s="59">
        <f t="shared" si="14"/>
        <v>793.20325319973904</v>
      </c>
      <c r="CY59" s="59">
        <f ca="1">AVERAGE(OFFSET($CX$3,0,0,'Données projet'!$E$13+1,1))-AVERAGE(OFFSET($H$3,0,0,'Données projet'!$E$13+1,1))</f>
        <v>765.9523557587147</v>
      </c>
      <c r="CZ59" s="59">
        <f t="shared" si="42"/>
        <v>347.40395092312815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10.448900522984017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10.448900522984017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3.3333333333333313</v>
      </c>
      <c r="DO59" s="12">
        <f>IF('Données projet'!$A$166&gt;35,DO58+DN59-DW58,IF(A59&lt;'Données projet'!$A$166,$DL$205^A59,IF(A59='Données projet'!$A$166,'Données projet'!$B$166,DO58+DN59-DW58)))</f>
        <v>119.35897435897439</v>
      </c>
      <c r="DP59" s="17">
        <f>DO59*VLOOKUP('Données projet'!$B$14,Paramètres!$A$1:$I$89,3,0)*VLOOKUP('Données projet'!$B$14,Paramètres!$A$1:$I$89,5,0)</f>
        <v>104.27200000000005</v>
      </c>
      <c r="DQ59" s="13">
        <f t="shared" si="43"/>
        <v>27.977251556977897</v>
      </c>
      <c r="DR59" s="20">
        <f t="shared" si="16"/>
        <v>230.33411312840326</v>
      </c>
      <c r="DS59" s="59">
        <f t="shared" si="17"/>
        <v>489.263929067025</v>
      </c>
      <c r="DT59" s="59">
        <f ca="1">AVERAGE(OFFSET($DS$3,0,0,'Données projet'!$E$14+1,1))-AVERAGE(OFFSET($H$3,0,0,'Données projet'!$E$14+1,1))</f>
        <v>253.82888243490106</v>
      </c>
      <c r="DU59" s="59">
        <f t="shared" si="44"/>
        <v>224.11983819941796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14.140895055266746</v>
      </c>
      <c r="EB59" s="21">
        <f>EXP(-LN(2)/25)*EB58+(1-EXP(-LN(2)/25))/(LN(2)/25)*Calculateur!DW59*Calculateur!DY59*VLOOKUP('Données projet'!$B$14,Paramètres!$A$1:$I$89,3,0)*0.475*44/12</f>
        <v>10.587200554365531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24.728095609632277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16.595714285714287</v>
      </c>
      <c r="N60" s="13">
        <f>IF('Données projet'!$A$36&gt;35,N59+M60-V59,IF(A60&lt;'Données projet'!$A$36,$K$205^A60,IF(A60='Données projet'!$A$36,'Données projet'!$B$36,N59+M60-V59)))</f>
        <v>316.9157142857141</v>
      </c>
      <c r="O60" s="13">
        <f>N60*VLOOKUP('Données projet'!$B$9,Paramètres!$A$1:$I$89,3,0)*VLOOKUP('Données projet'!$B$9,Paramètres!$A$1:$I$89,5,0)</f>
        <v>148.3165542857142</v>
      </c>
      <c r="P60" s="13">
        <f t="shared" si="33"/>
        <v>38.195765606294593</v>
      </c>
      <c r="Q60" s="20">
        <f t="shared" si="53"/>
        <v>324.84229047858202</v>
      </c>
      <c r="R60" s="59">
        <f t="shared" si="0"/>
        <v>584.36893052925973</v>
      </c>
      <c r="S60" s="59">
        <f ca="1">AVERAGE(OFFSET($R$3,0,0,'Données projet'!$E$9+1,1))-AVERAGE(OFFSET($H$3,0,0,'Données projet'!$E$9+1,1))</f>
        <v>387.50901594883317</v>
      </c>
      <c r="T60" s="59">
        <f t="shared" si="34"/>
        <v>361.3623790401972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56.334758670708638</v>
      </c>
      <c r="AA60" s="21">
        <f>EXP(-LN(2)/25)*AA59+(1-EXP(-LN(2)/25))/(LN(2)/25)*Calculateur!V60*Calculateur!X60*VLOOKUP('Données projet'!$B$9,Paramètres!$A$1:$I$89,3,0)*0.475*44/12</f>
        <v>41.986831516997626</v>
      </c>
      <c r="AB60" s="21">
        <f>EXP(-LN(2)/2)*AB59+(1-EXP(-LN(2)/2))/(LN(2)/2)*V60*Y60*VLOOKUP('Données projet'!$B$9,Paramètres!$A$1:$I$89,3,0)*0.475*44/12</f>
        <v>0</v>
      </c>
      <c r="AC60" s="22">
        <f t="shared" si="3"/>
        <v>98.321590187706263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14.12</v>
      </c>
      <c r="AI60" s="13">
        <f>IF('Données projet'!$A$62&gt;35,AI59+AH60-AQ59,IF(A60&lt;'Données projet'!$A$62,$AF$205^A60,IF(A60='Données projet'!$A$62,'Données projet'!$B$62,AI59+AH60-AQ59)))</f>
        <v>398.58000000000021</v>
      </c>
      <c r="AJ60" s="13">
        <f>AI60*VLOOKUP('Données projet'!$B$10,Paramètres!$A$1:$I$89,3,0)*VLOOKUP('Données projet'!$B$10,Paramètres!$A$1:$I$89,5,0)</f>
        <v>238.35084000000015</v>
      </c>
      <c r="AK60" s="13">
        <f t="shared" si="35"/>
        <v>58.084563408326787</v>
      </c>
      <c r="AL60" s="20">
        <f t="shared" si="4"/>
        <v>516.29166093616936</v>
      </c>
      <c r="AM60" s="59">
        <f t="shared" si="5"/>
        <v>775.81830098684713</v>
      </c>
      <c r="AN60" s="59">
        <f ca="1">AVERAGE(OFFSET($AM$3,0,0,'Données projet'!$E$10+1,1))-AVERAGE(OFFSET($H$3,0,0,'Données projet'!$E$10+1,1))</f>
        <v>373.47758082856359</v>
      </c>
      <c r="AO60" s="59">
        <f t="shared" si="36"/>
        <v>277.24895424120166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25.935441176463701</v>
      </c>
      <c r="AV60" s="21">
        <f>EXP(-LN(2)/25)*AV59+(1-EXP(-LN(2)/25))/(LN(2)/25)*Calculateur!AQ60*Calculateur!AS60*VLOOKUP('Données projet'!$B$10,Paramètres!$A$1:$I$89,3,0)*0.475*44/12</f>
        <v>29.338110627628524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55.273551804092222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9.5537500000000009</v>
      </c>
      <c r="BD60" s="12">
        <f>IF('Données projet'!$A$88&gt;35,BD59+BC60-BL59,IF(A60&lt;'Données projet'!$A$88,$BA$205^A60,IF(A60='Données projet'!$A$88,'Données projet'!$B$88,BD59+BC60-BL59)))</f>
        <v>226.3162500000002</v>
      </c>
      <c r="BE60" s="13">
        <f>BD60*VLOOKUP('Données projet'!$B$11,Paramètres!$A$1:$I$89,3,0)*VLOOKUP('Données projet'!$B$11,Paramètres!$A$1:$I$89,5,0)</f>
        <v>204.77094300000016</v>
      </c>
      <c r="BF60" s="13">
        <f t="shared" si="37"/>
        <v>50.791233664926693</v>
      </c>
      <c r="BG60" s="20">
        <f t="shared" si="7"/>
        <v>445.10412435808092</v>
      </c>
      <c r="BH60" s="59">
        <f t="shared" si="8"/>
        <v>704.63076440875864</v>
      </c>
      <c r="BI60" s="59">
        <f ca="1">AVERAGE(OFFSET($BH$3,0,0,'Données projet'!$E$11+1,1))-AVERAGE(OFFSET($H$3,0,0,'Données projet'!$E$11+1,1))</f>
        <v>627.65081154031589</v>
      </c>
      <c r="BJ60" s="59">
        <f t="shared" si="38"/>
        <v>288.78083487077618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8.1390716370115399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8.1390716370115399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9.5537500000000009</v>
      </c>
      <c r="BY60" s="12">
        <f>IF('Données projet'!$A$114&gt;35,BY59+BX60-CG59,IF(A60&lt;'Données projet'!$A$114,$BV$205^A60,IF(A60='Données projet'!$A$114,'Données projet'!$B$114,BY59+BX60-CG59)))</f>
        <v>226.3162500000002</v>
      </c>
      <c r="BZ60" s="13">
        <f>BY60*VLOOKUP('Données projet'!$B$12,Paramètres!$A$1:$I$89,3,0)*VLOOKUP('Données projet'!$B$12,Paramètres!$A$1:$I$89,5,0)</f>
        <v>229.4846775000002</v>
      </c>
      <c r="CA60" s="13">
        <f t="shared" si="39"/>
        <v>56.171242216591338</v>
      </c>
      <c r="CB60" s="20">
        <f t="shared" si="10"/>
        <v>497.51739350639696</v>
      </c>
      <c r="CC60" s="59">
        <f t="shared" si="11"/>
        <v>757.04403355707473</v>
      </c>
      <c r="CD60" s="59">
        <f ca="1">AVERAGE(OFFSET($CC$3,0,0,'Données projet'!$E$12+1,1))-AVERAGE(OFFSET($H$3,0,0,'Données projet'!$E$12+1,1))</f>
        <v>692.2706942067415</v>
      </c>
      <c r="CE60" s="59">
        <f t="shared" si="40"/>
        <v>316.17529091924803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9.1213733863060362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9.1213733863060362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9.5537500000000009</v>
      </c>
      <c r="CT60" s="12">
        <f>IF('Données projet'!$A$140&gt;35,CT59+CS60-DB59,IF(A60&lt;'Données projet'!$A$140,$CQ$205^A60,IF(A60='Données projet'!$A$140,'Données projet'!$B$140,CT59+CS60-DB59)))</f>
        <v>226.3162500000002</v>
      </c>
      <c r="CU60" s="17">
        <f>CT60*VLOOKUP('Données projet'!$B$13,Paramètres!$A$1:$I$89,3,0)*VLOOKUP('Données projet'!$B$13,Paramètres!$A$1:$I$89,5,0)</f>
        <v>257.72894550000024</v>
      </c>
      <c r="CV60" s="13">
        <f t="shared" si="41"/>
        <v>62.23803400961453</v>
      </c>
      <c r="CW60" s="20">
        <f t="shared" si="13"/>
        <v>557.2758226459124</v>
      </c>
      <c r="CX60" s="59">
        <f t="shared" si="14"/>
        <v>816.80246269659006</v>
      </c>
      <c r="CY60" s="59">
        <f ca="1">AVERAGE(OFFSET($CX$3,0,0,'Données projet'!$E$13+1,1))-AVERAGE(OFFSET($H$3,0,0,'Données projet'!$E$13+1,1))</f>
        <v>765.9523557587147</v>
      </c>
      <c r="CZ60" s="59">
        <f t="shared" si="42"/>
        <v>347.40395092312815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10.244003956928319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10.244003956928319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3.3333333333333313</v>
      </c>
      <c r="DO60" s="12">
        <f>IF('Données projet'!$A$166&gt;35,DO59+DN60-DW59,IF(A60&lt;'Données projet'!$A$166,$DL$205^A60,IF(A60='Données projet'!$A$166,'Données projet'!$B$166,DO59+DN60-DW59)))</f>
        <v>122.69230769230772</v>
      </c>
      <c r="DP60" s="17">
        <f>DO60*VLOOKUP('Données projet'!$B$14,Paramètres!$A$1:$I$89,3,0)*VLOOKUP('Données projet'!$B$14,Paramètres!$A$1:$I$89,5,0)</f>
        <v>107.18400000000003</v>
      </c>
      <c r="DQ60" s="13">
        <f t="shared" si="43"/>
        <v>28.666514942146158</v>
      </c>
      <c r="DR60" s="20">
        <f t="shared" si="16"/>
        <v>236.60631352423798</v>
      </c>
      <c r="DS60" s="59">
        <f t="shared" si="17"/>
        <v>496.13295357491569</v>
      </c>
      <c r="DT60" s="59">
        <f ca="1">AVERAGE(OFFSET($DS$3,0,0,'Données projet'!$E$14+1,1))-AVERAGE(OFFSET($H$3,0,0,'Données projet'!$E$14+1,1))</f>
        <v>253.82888243490106</v>
      </c>
      <c r="DU60" s="59">
        <f t="shared" si="44"/>
        <v>224.11983819941796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13.863600728327292</v>
      </c>
      <c r="EB60" s="21">
        <f>EXP(-LN(2)/25)*EB59+(1-EXP(-LN(2)/25))/(LN(2)/25)*Calculateur!DW60*Calculateur!DY60*VLOOKUP('Données projet'!$B$14,Paramètres!$A$1:$I$89,3,0)*0.475*44/12</f>
        <v>10.297692998449726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24.161293726777018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16.595714285714287</v>
      </c>
      <c r="N61" s="13">
        <f>IF('Données projet'!$A$36&gt;35,N60+M61-V60,IF(A61&lt;'Données projet'!$A$36,$K$205^A61,IF(A61='Données projet'!$A$36,'Données projet'!$B$36,N60+M61-V60)))</f>
        <v>333.51142857142838</v>
      </c>
      <c r="O61" s="13">
        <f>N61*VLOOKUP('Données projet'!$B$9,Paramètres!$A$1:$I$89,3,0)*VLOOKUP('Données projet'!$B$9,Paramètres!$A$1:$I$89,5,0)</f>
        <v>156.08334857142847</v>
      </c>
      <c r="P61" s="13">
        <f t="shared" si="33"/>
        <v>39.957833547833964</v>
      </c>
      <c r="Q61" s="20">
        <f t="shared" si="53"/>
        <v>341.43839219104871</v>
      </c>
      <c r="R61" s="59">
        <f t="shared" si="0"/>
        <v>601.55150278973713</v>
      </c>
      <c r="S61" s="59">
        <f ca="1">AVERAGE(OFFSET($R$3,0,0,'Données projet'!$E$9+1,1))-AVERAGE(OFFSET($H$3,0,0,'Données projet'!$E$9+1,1))</f>
        <v>387.50901594883317</v>
      </c>
      <c r="T61" s="59">
        <f t="shared" si="34"/>
        <v>361.3623790401972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55.230068413985983</v>
      </c>
      <c r="AA61" s="21">
        <f>EXP(-LN(2)/25)*AA60+(1-EXP(-LN(2)/25))/(LN(2)/25)*Calculateur!V61*Calculateur!X61*VLOOKUP('Données projet'!$B$9,Paramètres!$A$1:$I$89,3,0)*0.475*44/12</f>
        <v>40.83869940117382</v>
      </c>
      <c r="AB61" s="21">
        <f>EXP(-LN(2)/2)*AB60+(1-EXP(-LN(2)/2))/(LN(2)/2)*V61*Y61*VLOOKUP('Données projet'!$B$9,Paramètres!$A$1:$I$89,3,0)*0.475*44/12</f>
        <v>0</v>
      </c>
      <c r="AC61" s="22">
        <f t="shared" si="3"/>
        <v>96.068767815159802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14.12</v>
      </c>
      <c r="AI61" s="13">
        <f>IF('Données projet'!$A$62&gt;35,AI60+AH61-AQ60,IF(A61&lt;'Données projet'!$A$62,$AF$205^A61,IF(A61='Données projet'!$A$62,'Données projet'!$B$62,AI60+AH61-AQ60)))</f>
        <v>412.70000000000022</v>
      </c>
      <c r="AJ61" s="13">
        <f>AI61*VLOOKUP('Données projet'!$B$10,Paramètres!$A$1:$I$89,3,0)*VLOOKUP('Données projet'!$B$10,Paramètres!$A$1:$I$89,5,0)</f>
        <v>246.79460000000014</v>
      </c>
      <c r="AK61" s="13">
        <f t="shared" si="35"/>
        <v>59.899038030532552</v>
      </c>
      <c r="AL61" s="20">
        <f t="shared" si="4"/>
        <v>534.15808623651117</v>
      </c>
      <c r="AM61" s="59">
        <f t="shared" si="5"/>
        <v>794.27119683519959</v>
      </c>
      <c r="AN61" s="59">
        <f ca="1">AVERAGE(OFFSET($AM$3,0,0,'Données projet'!$E$10+1,1))-AVERAGE(OFFSET($H$3,0,0,'Données projet'!$E$10+1,1))</f>
        <v>373.47758082856359</v>
      </c>
      <c r="AO61" s="59">
        <f t="shared" si="36"/>
        <v>277.24895424120166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25.426862994050364</v>
      </c>
      <c r="AV61" s="21">
        <f>EXP(-LN(2)/25)*AV60+(1-EXP(-LN(2)/25))/(LN(2)/25)*Calculateur!AQ61*Calculateur!AS61*VLOOKUP('Données projet'!$B$10,Paramètres!$A$1:$I$89,3,0)*0.475*44/12</f>
        <v>28.535858449691837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53.962721443742197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>
        <f>VLOOKUP(A61,'Données projet'!$A$87:$I$107,2,0)</f>
        <v>235.87</v>
      </c>
      <c r="BB61" s="12">
        <f>VLOOKUP(A61,'Données projet'!$A$87:$I$107,9,0)</f>
        <v>9.5537500000000009</v>
      </c>
      <c r="BC61" s="12">
        <f t="array" ref="BC61">INDEX(BB:BB,MIN(IF(ISNUMBER(BB61:BB257),ROW(BB61:BB257),"")))</f>
        <v>9.5537500000000009</v>
      </c>
      <c r="BD61" s="12">
        <f>IF('Données projet'!$A$88&gt;35,BD60+BC61-BL60,IF(A61&lt;'Données projet'!$A$88,$BA$205^A61,IF(A61='Données projet'!$A$88,'Données projet'!$B$88,BD60+BC61-BL60)))</f>
        <v>235.8700000000002</v>
      </c>
      <c r="BE61" s="13">
        <f>BD61*VLOOKUP('Données projet'!$B$11,Paramètres!$A$1:$I$89,3,0)*VLOOKUP('Données projet'!$B$11,Paramètres!$A$1:$I$89,5,0)</f>
        <v>213.41517600000017</v>
      </c>
      <c r="BF61" s="13">
        <f t="shared" si="37"/>
        <v>52.681185448853228</v>
      </c>
      <c r="BG61" s="20">
        <f t="shared" si="7"/>
        <v>463.45116285675294</v>
      </c>
      <c r="BH61" s="59">
        <f t="shared" si="8"/>
        <v>723.56427345544137</v>
      </c>
      <c r="BI61" s="59">
        <f ca="1">AVERAGE(OFFSET($BH$3,0,0,'Données projet'!$E$11+1,1))-AVERAGE(OFFSET($H$3,0,0,'Données projet'!$E$11+1,1))</f>
        <v>627.65081154031589</v>
      </c>
      <c r="BJ61" s="59">
        <f t="shared" si="38"/>
        <v>288.78083487077618</v>
      </c>
      <c r="BK61" s="15">
        <f>IF(ISNA(VLOOKUP(A61,'Données projet'!$A$87:$I$107,3,0)),0,VLOOKUP(A61,'Données projet'!$A$87:$I$107,3,0))</f>
        <v>3</v>
      </c>
      <c r="BL61" s="15">
        <f>IF(ISNA(VLOOKUP(A61,'Données projet'!$A$87:$I$107,4,0)),0,VLOOKUP(A61,'Données projet'!$A$87:$I$107,4,0))</f>
        <v>44.93</v>
      </c>
      <c r="BM61" s="16">
        <f>IF(ISNA(VLOOKUP(A61,'Données projet'!$A$87:$I$107,5,0)),0%,VLOOKUP(A61,'Données projet'!$A$87:$I$107,5,0)*VLOOKUP('Données projet'!$B$11,Paramètres!$A$1:$I$89,7,0))</f>
        <v>0.129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13.776770157795863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13.776770157795863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235.87</v>
      </c>
      <c r="BW61" s="12">
        <f>VLOOKUP(A61,'Données projet'!$A$113:$I$133,9,0)</f>
        <v>9.5537500000000009</v>
      </c>
      <c r="BX61" s="12">
        <f t="array" ref="BX61">INDEX(BW:BW,MIN(IF(ISNUMBER(BW61:BW257),ROW(BW61:BW257),"")))</f>
        <v>9.5537500000000009</v>
      </c>
      <c r="BY61" s="12">
        <f>IF('Données projet'!$A$114&gt;35,BY60+BX61-CG60,IF(A61&lt;'Données projet'!$A$114,$BV$205^A61,IF(A61='Données projet'!$A$114,'Données projet'!$B$114,BY60+BX61-CG60)))</f>
        <v>235.8700000000002</v>
      </c>
      <c r="BZ61" s="13">
        <f>BY61*VLOOKUP('Données projet'!$B$12,Paramètres!$A$1:$I$89,3,0)*VLOOKUP('Données projet'!$B$12,Paramètres!$A$1:$I$89,5,0)</f>
        <v>239.1721800000002</v>
      </c>
      <c r="CA61" s="13">
        <f t="shared" si="39"/>
        <v>58.261385175767472</v>
      </c>
      <c r="CB61" s="20">
        <f t="shared" si="10"/>
        <v>518.0301260144621</v>
      </c>
      <c r="CC61" s="59">
        <f t="shared" si="11"/>
        <v>778.14323661315052</v>
      </c>
      <c r="CD61" s="59">
        <f ca="1">AVERAGE(OFFSET($CC$3,0,0,'Données projet'!$E$12+1,1))-AVERAGE(OFFSET($H$3,0,0,'Données projet'!$E$12+1,1))</f>
        <v>692.2706942067415</v>
      </c>
      <c r="CE61" s="59">
        <f t="shared" si="40"/>
        <v>316.17529091924803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0.129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15.439483797529846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15.439483797529846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>
        <f>VLOOKUP(A61,'Données projet'!$A$139:$I$159,2,0)</f>
        <v>235.87</v>
      </c>
      <c r="CR61" s="12">
        <f>VLOOKUP(A61,'Données projet'!$A$139:$I$159,9,0)</f>
        <v>9.5537500000000009</v>
      </c>
      <c r="CS61" s="12">
        <f t="array" ref="CS61">INDEX(CR:CR,MIN(IF(ISNUMBER(CR61:CR257),ROW(CR61:CR257),"")))</f>
        <v>9.5537500000000009</v>
      </c>
      <c r="CT61" s="12">
        <f>IF('Données projet'!$A$140&gt;35,CT60+CS61-DB60,IF(A61&lt;'Données projet'!$A$140,$CQ$205^A61,IF(A61='Données projet'!$A$140,'Données projet'!$B$140,CT60+CS61-DB60)))</f>
        <v>235.8700000000002</v>
      </c>
      <c r="CU61" s="17">
        <f>CT61*VLOOKUP('Données projet'!$B$13,Paramètres!$A$1:$I$89,3,0)*VLOOKUP('Données projet'!$B$13,Paramètres!$A$1:$I$89,5,0)</f>
        <v>268.60875600000026</v>
      </c>
      <c r="CV61" s="13">
        <f t="shared" si="41"/>
        <v>64.553923483387578</v>
      </c>
      <c r="CW61" s="20">
        <f t="shared" si="13"/>
        <v>580.25833343356715</v>
      </c>
      <c r="CX61" s="59">
        <f t="shared" si="14"/>
        <v>840.37144403225557</v>
      </c>
      <c r="CY61" s="59">
        <f ca="1">AVERAGE(OFFSET($CX$3,0,0,'Données projet'!$E$13+1,1))-AVERAGE(OFFSET($H$3,0,0,'Données projet'!$E$13+1,1))</f>
        <v>765.9523557587147</v>
      </c>
      <c r="CZ61" s="59">
        <f t="shared" si="42"/>
        <v>347.40395092312815</v>
      </c>
      <c r="DA61" s="15">
        <f>IF(ISNA(VLOOKUP(A61,'Données projet'!$A$139:$I$159,3,0)),0,VLOOKUP(A61,'Données projet'!$A$139:$I$159,3,0))</f>
        <v>3</v>
      </c>
      <c r="DB61" s="15">
        <f>IF(ISNA(VLOOKUP(A61,'Données projet'!$A$139:$I$159,4,0)),0,VLOOKUP(A61,'Données projet'!$A$139:$I$159,4,0))</f>
        <v>44.93</v>
      </c>
      <c r="DC61" s="16">
        <f>IF(ISNA(VLOOKUP(A61,'Données projet'!$A$139:$I$159,5,0)),0%,VLOOKUP(A61,'Données projet'!$A$139:$I$159,5,0)*VLOOKUP('Données projet'!$B$13,Paramètres!$A$1:$I$89,7,0))</f>
        <v>0.129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17.339727957225829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17.339727957225829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3.3333333333333313</v>
      </c>
      <c r="DO61" s="12">
        <f>IF('Données projet'!$A$166&gt;35,DO60+DN61-DW60,IF(A61&lt;'Données projet'!$A$166,$DL$205^A61,IF(A61='Données projet'!$A$166,'Données projet'!$B$166,DO60+DN61-DW60)))</f>
        <v>126.02564102564105</v>
      </c>
      <c r="DP61" s="17">
        <f>DO61*VLOOKUP('Données projet'!$B$14,Paramètres!$A$1:$I$89,3,0)*VLOOKUP('Données projet'!$B$14,Paramètres!$A$1:$I$89,5,0)</f>
        <v>110.09600000000005</v>
      </c>
      <c r="DQ61" s="13">
        <f t="shared" si="43"/>
        <v>29.353601772856717</v>
      </c>
      <c r="DR61" s="20">
        <f t="shared" si="16"/>
        <v>242.87472308772553</v>
      </c>
      <c r="DS61" s="59">
        <f t="shared" si="17"/>
        <v>502.98783368641398</v>
      </c>
      <c r="DT61" s="59">
        <f ca="1">AVERAGE(OFFSET($DS$3,0,0,'Données projet'!$E$14+1,1))-AVERAGE(OFFSET($H$3,0,0,'Données projet'!$E$14+1,1))</f>
        <v>253.82888243490106</v>
      </c>
      <c r="DU61" s="59">
        <f t="shared" si="44"/>
        <v>224.11983819941796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13.591743974006281</v>
      </c>
      <c r="EB61" s="21">
        <f>EXP(-LN(2)/25)*EB60+(1-EXP(-LN(2)/25))/(LN(2)/25)*Calculateur!DW61*Calculateur!DY61*VLOOKUP('Données projet'!$B$14,Paramètres!$A$1:$I$89,3,0)*0.475*44/12</f>
        <v>10.01610204187498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23.607846015881261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16.595714285714287</v>
      </c>
      <c r="N62" s="13">
        <f>IF('Données projet'!$A$36&gt;35,N61+M62-V61,IF(A62&lt;'Données projet'!$A$36,$K$205^A62,IF(A62='Données projet'!$A$36,'Données projet'!$B$36,N61+M62-V61)))</f>
        <v>350.10714285714266</v>
      </c>
      <c r="O62" s="13">
        <f>N62*VLOOKUP('Données projet'!$B$9,Paramètres!$A$1:$I$89,3,0)*VLOOKUP('Données projet'!$B$9,Paramètres!$A$1:$I$89,5,0)</f>
        <v>163.85014285714277</v>
      </c>
      <c r="P62" s="13">
        <f t="shared" si="33"/>
        <v>41.709720429643745</v>
      </c>
      <c r="Q62" s="20">
        <f t="shared" si="53"/>
        <v>358.01676189115318</v>
      </c>
      <c r="R62" s="59">
        <f t="shared" si="0"/>
        <v>618.70616908499596</v>
      </c>
      <c r="S62" s="59">
        <f ca="1">AVERAGE(OFFSET($R$3,0,0,'Données projet'!$E$9+1,1))-AVERAGE(OFFSET($H$3,0,0,'Données projet'!$E$9+1,1))</f>
        <v>387.50901594883317</v>
      </c>
      <c r="T62" s="59">
        <f t="shared" si="34"/>
        <v>361.3623790401972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54.147040459403136</v>
      </c>
      <c r="AA62" s="21">
        <f>EXP(-LN(2)/25)*AA61+(1-EXP(-LN(2)/25))/(LN(2)/25)*Calculateur!V62*Calculateur!X62*VLOOKUP('Données projet'!$B$9,Paramètres!$A$1:$I$89,3,0)*0.475*44/12</f>
        <v>39.721963018434856</v>
      </c>
      <c r="AB62" s="21">
        <f>EXP(-LN(2)/2)*AB61+(1-EXP(-LN(2)/2))/(LN(2)/2)*V62*Y62*VLOOKUP('Données projet'!$B$9,Paramètres!$A$1:$I$89,3,0)*0.475*44/12</f>
        <v>0</v>
      </c>
      <c r="AC62" s="22">
        <f t="shared" si="3"/>
        <v>93.869003477837992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14.12</v>
      </c>
      <c r="AI62" s="13">
        <f>IF('Données projet'!$A$62&gt;35,AI61+AH62-AQ61,IF(A62&lt;'Données projet'!$A$62,$AF$205^A62,IF(A62='Données projet'!$A$62,'Données projet'!$B$62,AI61+AH62-AQ61)))</f>
        <v>426.82000000000022</v>
      </c>
      <c r="AJ62" s="13">
        <f>AI62*VLOOKUP('Données projet'!$B$10,Paramètres!$A$1:$I$89,3,0)*VLOOKUP('Données projet'!$B$10,Paramètres!$A$1:$I$89,5,0)</f>
        <v>255.23836000000014</v>
      </c>
      <c r="AK62" s="13">
        <f t="shared" si="35"/>
        <v>61.706299433596136</v>
      </c>
      <c r="AL62" s="20">
        <f t="shared" si="4"/>
        <v>552.0119485135134</v>
      </c>
      <c r="AM62" s="59">
        <f t="shared" si="5"/>
        <v>812.70135570735624</v>
      </c>
      <c r="AN62" s="59">
        <f ca="1">AVERAGE(OFFSET($AM$3,0,0,'Données projet'!$E$10+1,1))-AVERAGE(OFFSET($H$3,0,0,'Données projet'!$E$10+1,1))</f>
        <v>373.47758082856359</v>
      </c>
      <c r="AO62" s="59">
        <f t="shared" si="36"/>
        <v>277.24895424120166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24.928257719592089</v>
      </c>
      <c r="AV62" s="21">
        <f>EXP(-LN(2)/25)*AV61+(1-EXP(-LN(2)/25))/(LN(2)/25)*Calculateur!AQ62*Calculateur!AS62*VLOOKUP('Données projet'!$B$10,Paramètres!$A$1:$I$89,3,0)*0.475*44/12</f>
        <v>27.755543899749437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52.683801619341523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9.2524999999999977</v>
      </c>
      <c r="BD62" s="12">
        <f>IF('Données projet'!$A$88&gt;35,BD61+BC62-BL61,IF(A62&lt;'Données projet'!$A$88,$BA$205^A62,IF(A62='Données projet'!$A$88,'Données projet'!$B$88,BD61+BC62-BL61)))</f>
        <v>200.19250000000019</v>
      </c>
      <c r="BE62" s="13">
        <f>BD62*VLOOKUP('Données projet'!$B$11,Paramètres!$A$1:$I$89,3,0)*VLOOKUP('Données projet'!$B$11,Paramètres!$A$1:$I$89,5,0)</f>
        <v>181.13417400000017</v>
      </c>
      <c r="BF62" s="13">
        <f t="shared" si="37"/>
        <v>45.574426667354729</v>
      </c>
      <c r="BG62" s="20">
        <f t="shared" si="7"/>
        <v>394.85081282897653</v>
      </c>
      <c r="BH62" s="59">
        <f t="shared" si="8"/>
        <v>655.54022002281931</v>
      </c>
      <c r="BI62" s="59">
        <f ca="1">AVERAGE(OFFSET($BH$3,0,0,'Données projet'!$E$11+1,1))-AVERAGE(OFFSET($H$3,0,0,'Données projet'!$E$11+1,1))</f>
        <v>627.65081154031589</v>
      </c>
      <c r="BJ62" s="59">
        <f t="shared" si="38"/>
        <v>288.78083487077618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13.506616098001555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13.506616098001555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9.2524999999999977</v>
      </c>
      <c r="BY62" s="12">
        <f>IF('Données projet'!$A$114&gt;35,BY61+BX62-CG61,IF(A62&lt;'Données projet'!$A$114,$BV$205^A62,IF(A62='Données projet'!$A$114,'Données projet'!$B$114,BY61+BX62-CG61)))</f>
        <v>200.19250000000019</v>
      </c>
      <c r="BZ62" s="13">
        <f>BY62*VLOOKUP('Données projet'!$B$12,Paramètres!$A$1:$I$89,3,0)*VLOOKUP('Données projet'!$B$12,Paramètres!$A$1:$I$89,5,0)</f>
        <v>202.99519500000022</v>
      </c>
      <c r="CA62" s="13">
        <f t="shared" si="39"/>
        <v>50.40185036856122</v>
      </c>
      <c r="CB62" s="20">
        <f t="shared" si="10"/>
        <v>441.33318735024449</v>
      </c>
      <c r="CC62" s="59">
        <f t="shared" si="11"/>
        <v>702.02259454408727</v>
      </c>
      <c r="CD62" s="59">
        <f ca="1">AVERAGE(OFFSET($CC$3,0,0,'Données projet'!$E$12+1,1))-AVERAGE(OFFSET($H$3,0,0,'Données projet'!$E$12+1,1))</f>
        <v>692.2706942067415</v>
      </c>
      <c r="CE62" s="59">
        <f t="shared" si="40"/>
        <v>316.17529091924803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15.136724937415535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15.136724937415535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9.2524999999999977</v>
      </c>
      <c r="CT62" s="12">
        <f>IF('Données projet'!$A$140&gt;35,CT61+CS62-DB61,IF(A62&lt;'Données projet'!$A$140,$CQ$205^A62,IF(A62='Données projet'!$A$140,'Données projet'!$B$140,CT61+CS62-DB61)))</f>
        <v>200.19250000000019</v>
      </c>
      <c r="CU62" s="17">
        <f>CT62*VLOOKUP('Données projet'!$B$13,Paramètres!$A$1:$I$89,3,0)*VLOOKUP('Données projet'!$B$13,Paramètres!$A$1:$I$89,5,0)</f>
        <v>227.97921900000023</v>
      </c>
      <c r="CV62" s="13">
        <f t="shared" si="41"/>
        <v>55.845517271816021</v>
      </c>
      <c r="CW62" s="20">
        <f t="shared" si="13"/>
        <v>494.32808234008002</v>
      </c>
      <c r="CX62" s="59">
        <f t="shared" si="14"/>
        <v>755.0174895339228</v>
      </c>
      <c r="CY62" s="59">
        <f ca="1">AVERAGE(OFFSET($CX$3,0,0,'Données projet'!$E$13+1,1))-AVERAGE(OFFSET($H$3,0,0,'Données projet'!$E$13+1,1))</f>
        <v>765.9523557587147</v>
      </c>
      <c r="CZ62" s="59">
        <f t="shared" si="42"/>
        <v>347.40395092312815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16.999706468174374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16.999706468174374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3.3333333333333313</v>
      </c>
      <c r="DO62" s="12">
        <f>IF('Données projet'!$A$166&gt;35,DO61+DN62-DW61,IF(A62&lt;'Données projet'!$A$166,$DL$205^A62,IF(A62='Données projet'!$A$166,'Données projet'!$B$166,DO61+DN62-DW61)))</f>
        <v>129.35897435897439</v>
      </c>
      <c r="DP62" s="17">
        <f>DO62*VLOOKUP('Données projet'!$B$14,Paramètres!$A$1:$I$89,3,0)*VLOOKUP('Données projet'!$B$14,Paramètres!$A$1:$I$89,5,0)</f>
        <v>113.00800000000004</v>
      </c>
      <c r="DQ62" s="13">
        <f t="shared" si="43"/>
        <v>30.038576235558757</v>
      </c>
      <c r="DR62" s="20">
        <f t="shared" si="16"/>
        <v>249.13945361026489</v>
      </c>
      <c r="DS62" s="59">
        <f t="shared" si="17"/>
        <v>509.82886080410765</v>
      </c>
      <c r="DT62" s="59">
        <f ca="1">AVERAGE(OFFSET($DS$3,0,0,'Données projet'!$E$14+1,1))-AVERAGE(OFFSET($H$3,0,0,'Données projet'!$E$14+1,1))</f>
        <v>253.82888243490106</v>
      </c>
      <c r="DU62" s="59">
        <f t="shared" si="44"/>
        <v>224.11983819941796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13.325218164821258</v>
      </c>
      <c r="EB62" s="21">
        <f>EXP(-LN(2)/25)*EB61+(1-EXP(-LN(2)/25))/(LN(2)/25)*Calculateur!DW62*Calculateur!DY62*VLOOKUP('Données projet'!$B$14,Paramètres!$A$1:$I$89,3,0)*0.475*44/12</f>
        <v>9.7422112048159946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23.067429369637253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16.595714285714287</v>
      </c>
      <c r="N63" s="13">
        <f>IF('Données projet'!$A$36&gt;35,N62+M63-V62,IF(A63&lt;'Données projet'!$A$36,$K$205^A63,IF(A63='Données projet'!$A$36,'Données projet'!$B$36,N62+M63-V62)))</f>
        <v>366.70285714285694</v>
      </c>
      <c r="O63" s="13">
        <f>N63*VLOOKUP('Données projet'!$B$9,Paramètres!$A$1:$I$89,3,0)*VLOOKUP('Données projet'!$B$9,Paramètres!$A$1:$I$89,5,0)</f>
        <v>171.61693714285704</v>
      </c>
      <c r="P63" s="13">
        <f t="shared" si="33"/>
        <v>43.45196395541258</v>
      </c>
      <c r="Q63" s="20">
        <f t="shared" si="53"/>
        <v>374.57833607948623</v>
      </c>
      <c r="R63" s="59">
        <f t="shared" si="0"/>
        <v>635.83404241096378</v>
      </c>
      <c r="S63" s="59">
        <f ca="1">AVERAGE(OFFSET($R$3,0,0,'Données projet'!$E$9+1,1))-AVERAGE(OFFSET($H$3,0,0,'Données projet'!$E$9+1,1))</f>
        <v>387.50901594883317</v>
      </c>
      <c r="T63" s="59">
        <f t="shared" si="34"/>
        <v>361.3623790401972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53.085250022427829</v>
      </c>
      <c r="AA63" s="21">
        <f>EXP(-LN(2)/25)*AA62+(1-EXP(-LN(2)/25))/(LN(2)/25)*Calculateur!V63*Calculateur!X63*VLOOKUP('Données projet'!$B$9,Paramètres!$A$1:$I$89,3,0)*0.475*44/12</f>
        <v>38.635763850808509</v>
      </c>
      <c r="AB63" s="21">
        <f>EXP(-LN(2)/2)*AB62+(1-EXP(-LN(2)/2))/(LN(2)/2)*V63*Y63*VLOOKUP('Données projet'!$B$9,Paramètres!$A$1:$I$89,3,0)*0.475*44/12</f>
        <v>0</v>
      </c>
      <c r="AC63" s="22">
        <f t="shared" si="3"/>
        <v>91.72101387323633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440.94</v>
      </c>
      <c r="AG63" s="12">
        <f>VLOOKUP(A63,'Données projet'!$A$61:$I$81,9,0)</f>
        <v>14.12</v>
      </c>
      <c r="AH63" s="12">
        <f t="array" ref="AH63">INDEX(AG:AG,MIN(IF(ISNUMBER(AG63:AG259),ROW(AG63:AG259),"")))</f>
        <v>14.12</v>
      </c>
      <c r="AI63" s="13">
        <f>IF('Données projet'!$A$62&gt;35,AI62+AH63-AQ62,IF(A63&lt;'Données projet'!$A$62,$AF$205^A63,IF(A63='Données projet'!$A$62,'Données projet'!$B$62,AI62+AH63-AQ62)))</f>
        <v>440.94000000000023</v>
      </c>
      <c r="AJ63" s="13">
        <f>AI63*VLOOKUP('Données projet'!$B$10,Paramètres!$A$1:$I$89,3,0)*VLOOKUP('Données projet'!$B$10,Paramètres!$A$1:$I$89,5,0)</f>
        <v>263.68212000000017</v>
      </c>
      <c r="AK63" s="13">
        <f t="shared" si="35"/>
        <v>63.506613606650063</v>
      </c>
      <c r="AL63" s="20">
        <f t="shared" si="4"/>
        <v>569.85371103158241</v>
      </c>
      <c r="AM63" s="59">
        <f t="shared" si="5"/>
        <v>831.10941736305995</v>
      </c>
      <c r="AN63" s="59">
        <f ca="1">AVERAGE(OFFSET($AM$3,0,0,'Données projet'!$E$10+1,1))-AVERAGE(OFFSET($H$3,0,0,'Données projet'!$E$10+1,1))</f>
        <v>373.47758082856359</v>
      </c>
      <c r="AO63" s="59">
        <f t="shared" si="36"/>
        <v>277.24895424120166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69.849999999999994</v>
      </c>
      <c r="AR63" s="16">
        <f>IF(ISNA(VLOOKUP(A63,'Données projet'!$A$61:$I$81,5,0)),0%,VLOOKUP(A63,'Données projet'!$A$61:$I$81,5,0)*VLOOKUP('Données projet'!$B$10,Paramètres!$A$1:$I$89,7,0))</f>
        <v>0.315</v>
      </c>
      <c r="AS63" s="16">
        <f>IF(ISNA(VLOOKUP(A63,'Données projet'!$A$61:$I$81,6,0)),0%,VLOOKUP(A63,'Données projet'!$A$61:$I$81,6,0)*VLOOKUP('Données projet'!$B$10,Paramètres!$A$1:$I$89,7,0))</f>
        <v>0.13500000000000001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41.893893301456316</v>
      </c>
      <c r="AV63" s="21">
        <f>EXP(-LN(2)/25)*AV62+(1-EXP(-LN(2)/25))/(LN(2)/25)*Calculateur!AQ63*Calculateur!AS63*VLOOKUP('Données projet'!$B$10,Paramètres!$A$1:$I$89,3,0)*0.475*44/12</f>
        <v>34.447597936850762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76.341491238307071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9.2524999999999977</v>
      </c>
      <c r="BD63" s="12">
        <f>IF('Données projet'!$A$88&gt;35,BD62+BC63-BL62,IF(A63&lt;'Données projet'!$A$88,$BA$205^A63,IF(A63='Données projet'!$A$88,'Données projet'!$B$88,BD62+BC63-BL62)))</f>
        <v>209.44500000000019</v>
      </c>
      <c r="BE63" s="13">
        <f>BD63*VLOOKUP('Données projet'!$B$11,Paramètres!$A$1:$I$89,3,0)*VLOOKUP('Données projet'!$B$11,Paramètres!$A$1:$I$89,5,0)</f>
        <v>189.50583600000016</v>
      </c>
      <c r="BF63" s="13">
        <f t="shared" si="37"/>
        <v>47.430683653447495</v>
      </c>
      <c r="BG63" s="20">
        <f t="shared" si="7"/>
        <v>412.6644383964213</v>
      </c>
      <c r="BH63" s="59">
        <f t="shared" si="8"/>
        <v>673.92014472789879</v>
      </c>
      <c r="BI63" s="59">
        <f ca="1">AVERAGE(OFFSET($BH$3,0,0,'Données projet'!$E$11+1,1))-AVERAGE(OFFSET($H$3,0,0,'Données projet'!$E$11+1,1))</f>
        <v>627.65081154031589</v>
      </c>
      <c r="BJ63" s="59">
        <f t="shared" si="38"/>
        <v>288.78083487077618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13.241759594542106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13.241759594542106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9.2524999999999977</v>
      </c>
      <c r="BY63" s="12">
        <f>IF('Données projet'!$A$114&gt;35,BY62+BX63-CG62,IF(A63&lt;'Données projet'!$A$114,$BV$205^A63,IF(A63='Données projet'!$A$114,'Données projet'!$B$114,BY62+BX63-CG62)))</f>
        <v>209.44500000000019</v>
      </c>
      <c r="BZ63" s="13">
        <f>BY63*VLOOKUP('Données projet'!$B$12,Paramètres!$A$1:$I$89,3,0)*VLOOKUP('Données projet'!$B$12,Paramètres!$A$1:$I$89,5,0)</f>
        <v>212.3772300000002</v>
      </c>
      <c r="CA63" s="13">
        <f t="shared" si="39"/>
        <v>52.454729443519689</v>
      </c>
      <c r="CB63" s="20">
        <f t="shared" si="10"/>
        <v>461.24899603079712</v>
      </c>
      <c r="CC63" s="59">
        <f t="shared" si="11"/>
        <v>722.50470236227466</v>
      </c>
      <c r="CD63" s="59">
        <f ca="1">AVERAGE(OFFSET($CC$3,0,0,'Données projet'!$E$12+1,1))-AVERAGE(OFFSET($H$3,0,0,'Données projet'!$E$12+1,1))</f>
        <v>692.2706942067415</v>
      </c>
      <c r="CE63" s="59">
        <f t="shared" si="40"/>
        <v>316.17529091924803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14.839902993883396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14.839902993883396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9.2524999999999977</v>
      </c>
      <c r="CT63" s="12">
        <f>IF('Données projet'!$A$140&gt;35,CT62+CS63-DB62,IF(A63&lt;'Données projet'!$A$140,$CQ$205^A63,IF(A63='Données projet'!$A$140,'Données projet'!$B$140,CT62+CS63-DB62)))</f>
        <v>209.44500000000019</v>
      </c>
      <c r="CU63" s="17">
        <f>CT63*VLOOKUP('Données projet'!$B$13,Paramètres!$A$1:$I$89,3,0)*VLOOKUP('Données projet'!$B$13,Paramètres!$A$1:$I$89,5,0)</f>
        <v>238.51596600000022</v>
      </c>
      <c r="CV63" s="13">
        <f t="shared" si="41"/>
        <v>58.12011816442638</v>
      </c>
      <c r="CW63" s="20">
        <f t="shared" si="13"/>
        <v>516.64117991970966</v>
      </c>
      <c r="CX63" s="59">
        <f t="shared" si="14"/>
        <v>777.8968862511872</v>
      </c>
      <c r="CY63" s="59">
        <f ca="1">AVERAGE(OFFSET($CX$3,0,0,'Données projet'!$E$13+1,1))-AVERAGE(OFFSET($H$3,0,0,'Données projet'!$E$13+1,1))</f>
        <v>765.9523557587147</v>
      </c>
      <c r="CZ63" s="59">
        <f t="shared" si="42"/>
        <v>347.40395092312815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16.666352593130586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16.666352593130586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132.69230769230768</v>
      </c>
      <c r="DM63" s="12">
        <f>VLOOKUP(A63,'Données projet'!$A$165:$I$185,9,0)</f>
        <v>3.3333333333333313</v>
      </c>
      <c r="DN63" s="12">
        <f t="array" ref="DN63">INDEX(DM:DM,MIN(IF(ISNUMBER(DM63:DM259),ROW(DM63:DM259),"")))</f>
        <v>3.3333333333333313</v>
      </c>
      <c r="DO63" s="12">
        <f>IF('Données projet'!$A$166&gt;35,DO62+DN63-DW62,IF(A63&lt;'Données projet'!$A$166,$DL$205^A63,IF(A63='Données projet'!$A$166,'Données projet'!$B$166,DO62+DN63-DW62)))</f>
        <v>132.69230769230774</v>
      </c>
      <c r="DP63" s="17">
        <f>DO63*VLOOKUP('Données projet'!$B$14,Paramètres!$A$1:$I$89,3,0)*VLOOKUP('Données projet'!$B$14,Paramètres!$A$1:$I$89,5,0)</f>
        <v>115.92000000000004</v>
      </c>
      <c r="DQ63" s="13">
        <f t="shared" si="43"/>
        <v>30.721499020333283</v>
      </c>
      <c r="DR63" s="20">
        <f t="shared" si="16"/>
        <v>255.40061079374721</v>
      </c>
      <c r="DS63" s="59">
        <f t="shared" si="17"/>
        <v>516.65631712522463</v>
      </c>
      <c r="DT63" s="59">
        <f ca="1">AVERAGE(OFFSET($DS$3,0,0,'Données projet'!$E$14+1,1))-AVERAGE(OFFSET($H$3,0,0,'Données projet'!$E$14+1,1))</f>
        <v>253.82888243490106</v>
      </c>
      <c r="DU63" s="59">
        <f t="shared" si="44"/>
        <v>224.11983819941796</v>
      </c>
      <c r="DV63" s="15">
        <f>IF(ISNA(VLOOKUP(A63,'Données projet'!$A$165:$I$185,3,0)),0,VLOOKUP(A63,'Données projet'!$A$165:$I$185,3,0))</f>
        <v>11</v>
      </c>
      <c r="DW63" s="15">
        <f>IF(ISNA(VLOOKUP(A63,'Données projet'!$A$165:$I$185,4,0)),0,VLOOKUP(A63,'Données projet'!$A$165:$I$185,4,0))</f>
        <v>11.538461538461538</v>
      </c>
      <c r="DX63" s="16">
        <f>IF(ISNA(VLOOKUP(A63,'Données projet'!$A$165:$I$185,5,0)),0%,VLOOKUP(A63,'Données projet'!$A$165:$I$185,5,0)*VLOOKUP('Données projet'!$B$14,Paramètres!$A$1:$I$89,7,0))</f>
        <v>0.25800000000000001</v>
      </c>
      <c r="DY63" s="16">
        <f>IF(ISNA(VLOOKUP(A63,'Données projet'!$A$165:$I$185,6,0)),0%,VLOOKUP(A63,'Données projet'!$A$165:$I$185,6,0)*VLOOKUP('Données projet'!$B$14,Paramètres!$A$1:$I$89,7,0))</f>
        <v>0.129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15.938849252018233</v>
      </c>
      <c r="EB63" s="21">
        <f>EXP(-LN(2)/25)*EB62+(1-EXP(-LN(2)/25))/(LN(2)/25)*Calculateur!DW63*Calculateur!DY63*VLOOKUP('Données projet'!$B$14,Paramètres!$A$1:$I$89,3,0)*0.475*44/12</f>
        <v>10.907615322631477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26.846464574649708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16.595714285714287</v>
      </c>
      <c r="N64" s="13">
        <f>IF('Données projet'!$A$36&gt;35,N63+M64-V63,IF(A64&lt;'Données projet'!$A$36,$K$205^A64,IF(A64='Données projet'!$A$36,'Données projet'!$B$36,N63+M64-V63)))</f>
        <v>383.29857142857122</v>
      </c>
      <c r="O64" s="13">
        <f>N64*VLOOKUP('Données projet'!$B$9,Paramètres!$A$1:$I$89,3,0)*VLOOKUP('Données projet'!$B$9,Paramètres!$A$1:$I$89,5,0)</f>
        <v>179.38373142857134</v>
      </c>
      <c r="P64" s="13">
        <f t="shared" si="33"/>
        <v>45.185050408380668</v>
      </c>
      <c r="Q64" s="20">
        <f t="shared" si="53"/>
        <v>391.12396169935806</v>
      </c>
      <c r="R64" s="59">
        <f t="shared" si="0"/>
        <v>652.93614314448746</v>
      </c>
      <c r="S64" s="59">
        <f ca="1">AVERAGE(OFFSET($R$3,0,0,'Données projet'!$E$9+1,1))-AVERAGE(OFFSET($H$3,0,0,'Données projet'!$E$9+1,1))</f>
        <v>387.50901594883317</v>
      </c>
      <c r="T64" s="59">
        <f t="shared" si="34"/>
        <v>361.3623790401972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52.044280648293395</v>
      </c>
      <c r="AA64" s="21">
        <f>EXP(-LN(2)/25)*AA63+(1-EXP(-LN(2)/25))/(LN(2)/25)*Calculateur!V64*Calculateur!X64*VLOOKUP('Données projet'!$B$9,Paramètres!$A$1:$I$89,3,0)*0.475*44/12</f>
        <v>37.579266856541629</v>
      </c>
      <c r="AB64" s="21">
        <f>EXP(-LN(2)/2)*AB63+(1-EXP(-LN(2)/2))/(LN(2)/2)*V64*Y64*VLOOKUP('Données projet'!$B$9,Paramètres!$A$1:$I$89,3,0)*0.475*44/12</f>
        <v>0</v>
      </c>
      <c r="AC64" s="22">
        <f t="shared" si="3"/>
        <v>89.623547504835017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11.896999999999997</v>
      </c>
      <c r="AI64" s="13">
        <f>IF('Données projet'!$A$62&gt;35,AI63+AH64-AQ63,IF(A64&lt;'Données projet'!$A$62,$AF$205^A64,IF(A64='Données projet'!$A$62,'Données projet'!$B$62,AI63+AH64-AQ63)))</f>
        <v>382.98700000000019</v>
      </c>
      <c r="AJ64" s="13">
        <f>AI64*VLOOKUP('Données projet'!$B$10,Paramètres!$A$1:$I$89,3,0)*VLOOKUP('Données projet'!$B$10,Paramètres!$A$1:$I$89,5,0)</f>
        <v>229.02622600000012</v>
      </c>
      <c r="AK64" s="13">
        <f t="shared" si="35"/>
        <v>56.072076861881605</v>
      </c>
      <c r="AL64" s="20">
        <f t="shared" si="4"/>
        <v>496.54621081777736</v>
      </c>
      <c r="AM64" s="59">
        <f t="shared" si="5"/>
        <v>758.3583922629067</v>
      </c>
      <c r="AN64" s="59">
        <f ca="1">AVERAGE(OFFSET($AM$3,0,0,'Données projet'!$E$10+1,1))-AVERAGE(OFFSET($H$3,0,0,'Données projet'!$E$10+1,1))</f>
        <v>373.47758082856359</v>
      </c>
      <c r="AO64" s="59">
        <f t="shared" si="36"/>
        <v>277.24895424120166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41.07237960656655</v>
      </c>
      <c r="AV64" s="21">
        <f>EXP(-LN(2)/25)*AV63+(1-EXP(-LN(2)/25))/(LN(2)/25)*Calculateur!AQ64*Calculateur!AS64*VLOOKUP('Données projet'!$B$10,Paramètres!$A$1:$I$89,3,0)*0.475*44/12</f>
        <v>33.505626559747135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74.578006166313685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9.2524999999999977</v>
      </c>
      <c r="BD64" s="12">
        <f>IF('Données projet'!$A$88&gt;35,BD63+BC64-BL63,IF(A64&lt;'Données projet'!$A$88,$BA$205^A64,IF(A64='Données projet'!$A$88,'Données projet'!$B$88,BD63+BC64-BL63)))</f>
        <v>218.69750000000019</v>
      </c>
      <c r="BE64" s="13">
        <f>BD64*VLOOKUP('Données projet'!$B$11,Paramètres!$A$1:$I$89,3,0)*VLOOKUP('Données projet'!$B$11,Paramètres!$A$1:$I$89,5,0)</f>
        <v>197.87749800000014</v>
      </c>
      <c r="BF64" s="13">
        <f t="shared" si="37"/>
        <v>49.277416774103372</v>
      </c>
      <c r="BG64" s="20">
        <f t="shared" si="7"/>
        <v>430.46147656489694</v>
      </c>
      <c r="BH64" s="59">
        <f t="shared" si="8"/>
        <v>692.27365801002634</v>
      </c>
      <c r="BI64" s="59">
        <f ca="1">AVERAGE(OFFSET($BH$3,0,0,'Données projet'!$E$11+1,1))-AVERAGE(OFFSET($H$3,0,0,'Données projet'!$E$11+1,1))</f>
        <v>627.65081154031589</v>
      </c>
      <c r="BJ64" s="59">
        <f t="shared" si="38"/>
        <v>288.78083487077618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12.982096765568983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12.982096765568983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9.2524999999999977</v>
      </c>
      <c r="BY64" s="12">
        <f>IF('Données projet'!$A$114&gt;35,BY63+BX64-CG63,IF(A64&lt;'Données projet'!$A$114,$BV$205^A64,IF(A64='Données projet'!$A$114,'Données projet'!$B$114,BY63+BX64-CG63)))</f>
        <v>218.69750000000019</v>
      </c>
      <c r="BZ64" s="13">
        <f>BY64*VLOOKUP('Données projet'!$B$12,Paramètres!$A$1:$I$89,3,0)*VLOOKUP('Données projet'!$B$12,Paramètres!$A$1:$I$89,5,0)</f>
        <v>221.7592650000002</v>
      </c>
      <c r="CA64" s="13">
        <f t="shared" si="39"/>
        <v>54.497075847509379</v>
      </c>
      <c r="CB64" s="20">
        <f t="shared" si="10"/>
        <v>481.14646030941248</v>
      </c>
      <c r="CC64" s="59">
        <f t="shared" si="11"/>
        <v>742.95864175454176</v>
      </c>
      <c r="CD64" s="59">
        <f ca="1">AVERAGE(OFFSET($CC$3,0,0,'Données projet'!$E$12+1,1))-AVERAGE(OFFSET($H$3,0,0,'Données projet'!$E$12+1,1))</f>
        <v>692.2706942067415</v>
      </c>
      <c r="CE64" s="59">
        <f t="shared" si="40"/>
        <v>316.17529091924803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14.548901547620412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14.548901547620412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9.2524999999999977</v>
      </c>
      <c r="CT64" s="12">
        <f>IF('Données projet'!$A$140&gt;35,CT63+CS64-DB63,IF(A64&lt;'Données projet'!$A$140,$CQ$205^A64,IF(A64='Données projet'!$A$140,'Données projet'!$B$140,CT63+CS64-DB63)))</f>
        <v>218.69750000000019</v>
      </c>
      <c r="CU64" s="17">
        <f>CT64*VLOOKUP('Données projet'!$B$13,Paramètres!$A$1:$I$89,3,0)*VLOOKUP('Données projet'!$B$13,Paramètres!$A$1:$I$89,5,0)</f>
        <v>249.05271300000021</v>
      </c>
      <c r="CV64" s="13">
        <f t="shared" si="41"/>
        <v>60.383048801794033</v>
      </c>
      <c r="CW64" s="20">
        <f t="shared" si="13"/>
        <v>538.9339518047916</v>
      </c>
      <c r="CX64" s="59">
        <f t="shared" si="14"/>
        <v>800.74613324992094</v>
      </c>
      <c r="CY64" s="59">
        <f ca="1">AVERAGE(OFFSET($CX$3,0,0,'Données projet'!$E$13+1,1))-AVERAGE(OFFSET($H$3,0,0,'Données projet'!$E$13+1,1))</f>
        <v>765.9523557587147</v>
      </c>
      <c r="CZ64" s="59">
        <f t="shared" si="42"/>
        <v>347.40395092312815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16.339535584250619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16.339535584250619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3.2051282051282071</v>
      </c>
      <c r="DO64" s="12">
        <f>IF('Données projet'!$A$166&gt;35,DO63+DN64-DW63,IF(A64&lt;'Données projet'!$A$166,$DL$205^A64,IF(A64='Données projet'!$A$166,'Données projet'!$B$166,DO63+DN64-DW63)))</f>
        <v>124.35897435897441</v>
      </c>
      <c r="DP64" s="17">
        <f>DO64*VLOOKUP('Données projet'!$B$14,Paramètres!$A$1:$I$89,3,0)*VLOOKUP('Données projet'!$B$14,Paramètres!$A$1:$I$89,5,0)</f>
        <v>108.64000000000006</v>
      </c>
      <c r="DQ64" s="13">
        <f t="shared" si="43"/>
        <v>29.010326329800307</v>
      </c>
      <c r="DR64" s="20">
        <f t="shared" si="16"/>
        <v>239.74098502440231</v>
      </c>
      <c r="DS64" s="59">
        <f t="shared" si="17"/>
        <v>501.55316646953167</v>
      </c>
      <c r="DT64" s="59">
        <f ca="1">AVERAGE(OFFSET($DS$3,0,0,'Données projet'!$E$14+1,1))-AVERAGE(OFFSET($H$3,0,0,'Données projet'!$E$14+1,1))</f>
        <v>253.82888243490106</v>
      </c>
      <c r="DU64" s="59">
        <f t="shared" si="44"/>
        <v>224.11983819941796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15.626298139924257</v>
      </c>
      <c r="EB64" s="21">
        <f>EXP(-LN(2)/25)*EB63+(1-EXP(-LN(2)/25))/(LN(2)/25)*Calculateur!DW64*Calculateur!DY64*VLOOKUP('Données projet'!$B$14,Paramètres!$A$1:$I$89,3,0)*0.475*44/12</f>
        <v>10.609346008027559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26.235644147951817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16.595714285714287</v>
      </c>
      <c r="N65" s="13">
        <f>IF('Données projet'!$A$36&gt;35,N64+M65-V64,IF(A65&lt;'Données projet'!$A$36,$K$205^A65,IF(A65='Données projet'!$A$36,'Données projet'!$B$36,N64+M65-V64)))</f>
        <v>399.8942857142855</v>
      </c>
      <c r="O65" s="13">
        <f>N65*VLOOKUP('Données projet'!$B$9,Paramètres!$A$1:$I$89,3,0)*VLOOKUP('Données projet'!$B$9,Paramètres!$A$1:$I$89,5,0)</f>
        <v>187.15052571428564</v>
      </c>
      <c r="P65" s="13">
        <f t="shared" si="33"/>
        <v>46.909421581101313</v>
      </c>
      <c r="Q65" s="20">
        <f t="shared" si="53"/>
        <v>407.6544082061323</v>
      </c>
      <c r="R65" s="59">
        <f t="shared" si="0"/>
        <v>670.01341116578362</v>
      </c>
      <c r="S65" s="59">
        <f ca="1">AVERAGE(OFFSET($R$3,0,0,'Données projet'!$E$9+1,1))-AVERAGE(OFFSET($H$3,0,0,'Données projet'!$E$9+1,1))</f>
        <v>387.50901594883317</v>
      </c>
      <c r="T65" s="59">
        <f t="shared" si="34"/>
        <v>361.3623790401972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51.023724048657108</v>
      </c>
      <c r="AA65" s="21">
        <f>EXP(-LN(2)/25)*AA64+(1-EXP(-LN(2)/25))/(LN(2)/25)*Calculateur!V65*Calculateur!X65*VLOOKUP('Données projet'!$B$9,Paramètres!$A$1:$I$89,3,0)*0.475*44/12</f>
        <v>36.551659828141744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87.575383876798853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11.896999999999997</v>
      </c>
      <c r="AI65" s="13">
        <f>IF('Données projet'!$A$62&gt;35,AI64+AH65-AQ64,IF(A65&lt;'Données projet'!$A$62,$AF$205^A65,IF(A65='Données projet'!$A$62,'Données projet'!$B$62,AI64+AH65-AQ64)))</f>
        <v>394.88400000000019</v>
      </c>
      <c r="AJ65" s="13">
        <f>AI65*VLOOKUP('Données projet'!$B$10,Paramètres!$A$1:$I$89,3,0)*VLOOKUP('Données projet'!$B$10,Paramètres!$A$1:$I$89,5,0)</f>
        <v>236.14063200000015</v>
      </c>
      <c r="AK65" s="13">
        <f t="shared" si="35"/>
        <v>57.608386833134347</v>
      </c>
      <c r="AL65" s="20">
        <f t="shared" si="4"/>
        <v>511.61287446770933</v>
      </c>
      <c r="AM65" s="59">
        <f t="shared" si="5"/>
        <v>773.9718774273606</v>
      </c>
      <c r="AN65" s="59">
        <f ca="1">AVERAGE(OFFSET($AM$3,0,0,'Données projet'!$E$10+1,1))-AVERAGE(OFFSET($H$3,0,0,'Données projet'!$E$10+1,1))</f>
        <v>373.47758082856359</v>
      </c>
      <c r="AO65" s="59">
        <f t="shared" si="36"/>
        <v>277.24895424120166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40.266975294159693</v>
      </c>
      <c r="AV65" s="21">
        <f>EXP(-LN(2)/25)*AV64+(1-EXP(-LN(2)/25))/(LN(2)/25)*Calculateur!AQ65*Calculateur!AS65*VLOOKUP('Données projet'!$B$10,Paramètres!$A$1:$I$89,3,0)*0.475*44/12</f>
        <v>32.589413439486528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72.856388733646213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9.2524999999999977</v>
      </c>
      <c r="BD65" s="12">
        <f>IF('Données projet'!$A$88&gt;35,BD64+BC65-BL64,IF(A65&lt;'Données projet'!$A$88,$BA$205^A65,IF(A65='Données projet'!$A$88,'Données projet'!$B$88,BD64+BC65-BL64)))</f>
        <v>227.95000000000019</v>
      </c>
      <c r="BE65" s="13">
        <f>BD65*VLOOKUP('Données projet'!$B$11,Paramètres!$A$1:$I$89,3,0)*VLOOKUP('Données projet'!$B$11,Paramètres!$A$1:$I$89,5,0)</f>
        <v>206.24916000000016</v>
      </c>
      <c r="BF65" s="13">
        <f t="shared" si="37"/>
        <v>51.115075026737237</v>
      </c>
      <c r="BG65" s="20">
        <f t="shared" si="7"/>
        <v>448.24270933823431</v>
      </c>
      <c r="BH65" s="59">
        <f t="shared" si="8"/>
        <v>710.60171229788557</v>
      </c>
      <c r="BI65" s="59">
        <f ca="1">AVERAGE(OFFSET($BH$3,0,0,'Données projet'!$E$11+1,1))-AVERAGE(OFFSET($H$3,0,0,'Données projet'!$E$11+1,1))</f>
        <v>627.65081154031589</v>
      </c>
      <c r="BJ65" s="59">
        <f t="shared" si="38"/>
        <v>288.78083487077618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12.727525766293335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12.727525766293335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9.2524999999999977</v>
      </c>
      <c r="BY65" s="12">
        <f>IF('Données projet'!$A$114&gt;35,BY64+BX65-CG64,IF(A65&lt;'Données projet'!$A$114,$BV$205^A65,IF(A65='Données projet'!$A$114,'Données projet'!$B$114,BY64+BX65-CG64)))</f>
        <v>227.95000000000019</v>
      </c>
      <c r="BZ65" s="13">
        <f>BY65*VLOOKUP('Données projet'!$B$12,Paramètres!$A$1:$I$89,3,0)*VLOOKUP('Données projet'!$B$12,Paramètres!$A$1:$I$89,5,0)</f>
        <v>231.1413000000002</v>
      </c>
      <c r="CA65" s="13">
        <f t="shared" si="39"/>
        <v>56.529386137528874</v>
      </c>
      <c r="CB65" s="20">
        <f t="shared" si="10"/>
        <v>501.02644502286307</v>
      </c>
      <c r="CC65" s="59">
        <f t="shared" si="11"/>
        <v>763.38544798251439</v>
      </c>
      <c r="CD65" s="59">
        <f ca="1">AVERAGE(OFFSET($CC$3,0,0,'Données projet'!$E$12+1,1))-AVERAGE(OFFSET($H$3,0,0,'Données projet'!$E$12+1,1))</f>
        <v>692.2706942067415</v>
      </c>
      <c r="CE65" s="59">
        <f t="shared" si="40"/>
        <v>316.17529091924803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14.26360646222529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14.26360646222529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9.2524999999999977</v>
      </c>
      <c r="CT65" s="12">
        <f>IF('Données projet'!$A$140&gt;35,CT64+CS65-DB64,IF(A65&lt;'Données projet'!$A$140,$CQ$205^A65,IF(A65='Données projet'!$A$140,'Données projet'!$B$140,CT64+CS65-DB64)))</f>
        <v>227.95000000000019</v>
      </c>
      <c r="CU65" s="17">
        <f>CT65*VLOOKUP('Données projet'!$B$13,Paramètres!$A$1:$I$89,3,0)*VLOOKUP('Données projet'!$B$13,Paramètres!$A$1:$I$89,5,0)</f>
        <v>259.5894600000002</v>
      </c>
      <c r="CV65" s="13">
        <f t="shared" si="41"/>
        <v>62.634859371704522</v>
      </c>
      <c r="CW65" s="20">
        <f t="shared" si="13"/>
        <v>561.20735623905227</v>
      </c>
      <c r="CX65" s="59">
        <f t="shared" si="14"/>
        <v>823.56635919870359</v>
      </c>
      <c r="CY65" s="59">
        <f ca="1">AVERAGE(OFFSET($CX$3,0,0,'Données projet'!$E$13+1,1))-AVERAGE(OFFSET($H$3,0,0,'Données projet'!$E$13+1,1))</f>
        <v>765.9523557587147</v>
      </c>
      <c r="CZ65" s="59">
        <f t="shared" si="42"/>
        <v>347.40395092312815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16.019127257576098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16.019127257576098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3.2051282051282071</v>
      </c>
      <c r="DO65" s="12">
        <f>IF('Données projet'!$A$166&gt;35,DO64+DN65-DW64,IF(A65&lt;'Données projet'!$A$166,$DL$205^A65,IF(A65='Données projet'!$A$166,'Données projet'!$B$166,DO64+DN65-DW64)))</f>
        <v>127.56410256410261</v>
      </c>
      <c r="DP65" s="17">
        <f>DO65*VLOOKUP('Données projet'!$B$14,Paramètres!$A$1:$I$89,3,0)*VLOOKUP('Données projet'!$B$14,Paramètres!$A$1:$I$89,5,0)</f>
        <v>111.44000000000007</v>
      </c>
      <c r="DQ65" s="13">
        <f t="shared" si="43"/>
        <v>29.670002564032032</v>
      </c>
      <c r="DR65" s="20">
        <f t="shared" si="16"/>
        <v>245.76658779902257</v>
      </c>
      <c r="DS65" s="59">
        <f t="shared" si="17"/>
        <v>508.12559075867387</v>
      </c>
      <c r="DT65" s="59">
        <f ca="1">AVERAGE(OFFSET($DS$3,0,0,'Données projet'!$E$14+1,1))-AVERAGE(OFFSET($H$3,0,0,'Données projet'!$E$14+1,1))</f>
        <v>253.82888243490106</v>
      </c>
      <c r="DU65" s="59">
        <f t="shared" si="44"/>
        <v>224.11983819941796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15.31987596450109</v>
      </c>
      <c r="EB65" s="21">
        <f>EXP(-LN(2)/25)*EB64+(1-EXP(-LN(2)/25))/(LN(2)/25)*Calculateur!DW65*Calculateur!DY65*VLOOKUP('Données projet'!$B$14,Paramètres!$A$1:$I$89,3,0)*0.475*44/12</f>
        <v>10.319232883516788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25.639108848017877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416.49</v>
      </c>
      <c r="L66" s="12">
        <f>VLOOKUP(A66,'Données projet'!$A$35:$I$55,9,0)</f>
        <v>16.595714285714287</v>
      </c>
      <c r="M66" s="12">
        <f t="array" ref="M66">INDEX(L:L,MIN(IF(ISNUMBER(L66:L262),ROW(L66:L262),"")))</f>
        <v>16.595714285714287</v>
      </c>
      <c r="N66" s="13">
        <f>IF('Données projet'!$A$36&gt;35,N65+M66-V65,IF(A66&lt;'Données projet'!$A$36,$K$205^A66,IF(A66='Données projet'!$A$36,'Données projet'!$B$36,N65+M66-V65)))</f>
        <v>416.48999999999978</v>
      </c>
      <c r="O66" s="13">
        <f>N66*VLOOKUP('Données projet'!$B$9,Paramètres!$A$1:$I$89,3,0)*VLOOKUP('Données projet'!$B$9,Paramètres!$A$1:$I$89,5,0)</f>
        <v>194.91731999999988</v>
      </c>
      <c r="P66" s="13">
        <f t="shared" si="33"/>
        <v>48.625480522444235</v>
      </c>
      <c r="Q66" s="20">
        <f t="shared" si="53"/>
        <v>424.17037757659017</v>
      </c>
      <c r="R66" s="59">
        <f t="shared" si="0"/>
        <v>687.06671591999634</v>
      </c>
      <c r="S66" s="59">
        <f ca="1">AVERAGE(OFFSET($R$3,0,0,'Données projet'!$E$9+1,1))-AVERAGE(OFFSET($H$3,0,0,'Données projet'!$E$9+1,1))</f>
        <v>387.50901594883317</v>
      </c>
      <c r="T66" s="59">
        <f t="shared" si="34"/>
        <v>361.3623790401972</v>
      </c>
      <c r="U66" s="15">
        <f>IF(ISNA(VLOOKUP(A66,'Données projet'!$A$35:$I$55,3,0)),0,VLOOKUP(A66,'Données projet'!$A$35:$I$55,3,0))</f>
        <v>4</v>
      </c>
      <c r="V66" s="15">
        <f>IF(ISNA(VLOOKUP(A66,'Données projet'!$A$35:$I$55,4,0)),0,VLOOKUP(A66,'Données projet'!$A$35:$I$55,4,0))</f>
        <v>79.099999999999994</v>
      </c>
      <c r="W66" s="16">
        <f>IF(ISNA(VLOOKUP(A66,'Données projet'!$A$35:$I$55,5,0)),0%,VLOOKUP(A66,'Données projet'!$A$35:$I$55,5,0)*VLOOKUP('Données projet'!$B$9,Paramètres!$A$1:$I$89,7,0))</f>
        <v>0.38500000000000001</v>
      </c>
      <c r="X66" s="16">
        <f>IF(ISNA(VLOOKUP(A66,'Données projet'!$A$35:$I$55,6,0)),0%,VLOOKUP(A66,'Données projet'!$A$35:$I$55,6,0)*VLOOKUP('Données projet'!$B$9,Paramètres!$A$1:$I$89,7,0))</f>
        <v>0.16500000000000001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68.92969228272635</v>
      </c>
      <c r="AA66" s="21">
        <f>EXP(-LN(2)/25)*AA65+(1-EXP(-LN(2)/25))/(LN(2)/25)*Calculateur!V66*Calculateur!X66*VLOOKUP('Données projet'!$B$9,Paramètres!$A$1:$I$89,3,0)*0.475*44/12</f>
        <v>43.623039995786321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112.55273227851268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11.896999999999997</v>
      </c>
      <c r="AI66" s="13">
        <f>IF('Données projet'!$A$62&gt;35,AI65+AH66-AQ65,IF(A66&lt;'Données projet'!$A$62,$AF$205^A66,IF(A66='Données projet'!$A$62,'Données projet'!$B$62,AI65+AH66-AQ65)))</f>
        <v>406.78100000000018</v>
      </c>
      <c r="AJ66" s="13">
        <f>AI66*VLOOKUP('Données projet'!$B$10,Paramètres!$A$1:$I$89,3,0)*VLOOKUP('Données projet'!$B$10,Paramètres!$A$1:$I$89,5,0)</f>
        <v>243.25503800000013</v>
      </c>
      <c r="AK66" s="13">
        <f t="shared" si="35"/>
        <v>59.139317725784991</v>
      </c>
      <c r="AL66" s="20">
        <f t="shared" si="4"/>
        <v>526.6701695557424</v>
      </c>
      <c r="AM66" s="59">
        <f t="shared" si="5"/>
        <v>789.56650789914852</v>
      </c>
      <c r="AN66" s="59">
        <f ca="1">AVERAGE(OFFSET($AM$3,0,0,'Données projet'!$E$10+1,1))-AVERAGE(OFFSET($H$3,0,0,'Données projet'!$E$10+1,1))</f>
        <v>373.47758082856359</v>
      </c>
      <c r="AO66" s="59">
        <f t="shared" si="36"/>
        <v>277.24895424120166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39.477364469071013</v>
      </c>
      <c r="AV66" s="21">
        <f>EXP(-LN(2)/25)*AV65+(1-EXP(-LN(2)/25))/(LN(2)/25)*Calculateur!AQ66*Calculateur!AS66*VLOOKUP('Données projet'!$B$10,Paramètres!$A$1:$I$89,3,0)*0.475*44/12</f>
        <v>31.698254215180999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71.175618684252015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9.2524999999999977</v>
      </c>
      <c r="BD66" s="12">
        <f>IF('Données projet'!$A$88&gt;35,BD65+BC66-BL65,IF(A66&lt;'Données projet'!$A$88,$BA$205^A66,IF(A66='Données projet'!$A$88,'Données projet'!$B$88,BD65+BC66-BL65)))</f>
        <v>237.20250000000019</v>
      </c>
      <c r="BE66" s="13">
        <f>BD66*VLOOKUP('Données projet'!$B$11,Paramètres!$A$1:$I$89,3,0)*VLOOKUP('Données projet'!$B$11,Paramètres!$A$1:$I$89,5,0)</f>
        <v>214.62082200000015</v>
      </c>
      <c r="BF66" s="13">
        <f t="shared" si="37"/>
        <v>52.944068896315315</v>
      </c>
      <c r="BG66" s="20">
        <f t="shared" si="7"/>
        <v>466.0088516444161</v>
      </c>
      <c r="BH66" s="59">
        <f t="shared" si="8"/>
        <v>728.90518998782227</v>
      </c>
      <c r="BI66" s="59">
        <f ca="1">AVERAGE(OFFSET($BH$3,0,0,'Données projet'!$E$11+1,1))-AVERAGE(OFFSET($H$3,0,0,'Données projet'!$E$11+1,1))</f>
        <v>627.65081154031589</v>
      </c>
      <c r="BJ66" s="59">
        <f t="shared" si="38"/>
        <v>288.78083487077618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12.477946749040505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12.477946749040505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9.2524999999999977</v>
      </c>
      <c r="BY66" s="12">
        <f>IF('Données projet'!$A$114&gt;35,BY65+BX66-CG65,IF(A66&lt;'Données projet'!$A$114,$BV$205^A66,IF(A66='Données projet'!$A$114,'Données projet'!$B$114,BY65+BX66-CG65)))</f>
        <v>237.20250000000019</v>
      </c>
      <c r="BZ66" s="13">
        <f>BY66*VLOOKUP('Données projet'!$B$12,Paramètres!$A$1:$I$89,3,0)*VLOOKUP('Données projet'!$B$12,Paramètres!$A$1:$I$89,5,0)</f>
        <v>240.52333500000023</v>
      </c>
      <c r="CA66" s="13">
        <f t="shared" si="39"/>
        <v>58.552114278737164</v>
      </c>
      <c r="CB66" s="20">
        <f t="shared" si="10"/>
        <v>520.88974082713423</v>
      </c>
      <c r="CC66" s="59">
        <f t="shared" si="11"/>
        <v>783.78607917054035</v>
      </c>
      <c r="CD66" s="59">
        <f ca="1">AVERAGE(OFFSET($CC$3,0,0,'Données projet'!$E$12+1,1))-AVERAGE(OFFSET($H$3,0,0,'Données projet'!$E$12+1,1))</f>
        <v>692.2706942067415</v>
      </c>
      <c r="CE66" s="59">
        <f t="shared" si="40"/>
        <v>316.17529091924803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13.983905839441947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13.983905839441947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9.2524999999999977</v>
      </c>
      <c r="CT66" s="12">
        <f>IF('Données projet'!$A$140&gt;35,CT65+CS66-DB65,IF(A66&lt;'Données projet'!$A$140,$CQ$205^A66,IF(A66='Données projet'!$A$140,'Données projet'!$B$140,CT65+CS66-DB65)))</f>
        <v>237.20250000000019</v>
      </c>
      <c r="CU66" s="17">
        <f>CT66*VLOOKUP('Données projet'!$B$13,Paramètres!$A$1:$I$89,3,0)*VLOOKUP('Données projet'!$B$13,Paramètres!$A$1:$I$89,5,0)</f>
        <v>270.12620700000025</v>
      </c>
      <c r="CV66" s="13">
        <f t="shared" si="41"/>
        <v>64.876052869959423</v>
      </c>
      <c r="CW66" s="20">
        <f t="shared" si="13"/>
        <v>583.46226927351302</v>
      </c>
      <c r="CX66" s="59">
        <f t="shared" si="14"/>
        <v>846.35860761691913</v>
      </c>
      <c r="CY66" s="59">
        <f ca="1">AVERAGE(OFFSET($CX$3,0,0,'Données projet'!$E$13+1,1))-AVERAGE(OFFSET($H$3,0,0,'Données projet'!$E$13+1,1))</f>
        <v>765.9523557587147</v>
      </c>
      <c r="CZ66" s="59">
        <f t="shared" si="42"/>
        <v>347.40395092312815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15.705001942757882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15.705001942757882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3.2051282051282071</v>
      </c>
      <c r="DO66" s="12">
        <f>IF('Données projet'!$A$166&gt;35,DO65+DN66-DW65,IF(A66&lt;'Données projet'!$A$166,$DL$205^A66,IF(A66='Données projet'!$A$166,'Données projet'!$B$166,DO65+DN66-DW65)))</f>
        <v>130.76923076923083</v>
      </c>
      <c r="DP66" s="17">
        <f>DO66*VLOOKUP('Données projet'!$B$14,Paramètres!$A$1:$I$89,3,0)*VLOOKUP('Données projet'!$B$14,Paramètres!$A$1:$I$89,5,0)</f>
        <v>114.24000000000007</v>
      </c>
      <c r="DQ66" s="13">
        <f t="shared" si="43"/>
        <v>30.327752098158413</v>
      </c>
      <c r="DR66" s="20">
        <f t="shared" si="16"/>
        <v>251.78883490429266</v>
      </c>
      <c r="DS66" s="59">
        <f t="shared" si="17"/>
        <v>514.6851732476988</v>
      </c>
      <c r="DT66" s="59">
        <f ca="1">AVERAGE(OFFSET($DS$3,0,0,'Données projet'!$E$14+1,1))-AVERAGE(OFFSET($H$3,0,0,'Données projet'!$E$14+1,1))</f>
        <v>253.82888243490106</v>
      </c>
      <c r="DU66" s="59">
        <f t="shared" si="44"/>
        <v>224.11983819941796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15.0194625410389</v>
      </c>
      <c r="EB66" s="21">
        <f>EXP(-LN(2)/25)*EB65+(1-EXP(-LN(2)/25))/(LN(2)/25)*Calculateur!DW66*Calculateur!DY66*VLOOKUP('Données projet'!$B$14,Paramètres!$A$1:$I$89,3,0)*0.475*44/12</f>
        <v>10.037052917652149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25.056515458691049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16.050000000000004</v>
      </c>
      <c r="N67" s="13">
        <f>IF('Données projet'!$A$36&gt;35,N66+M67-V66,IF(A67&lt;'Données projet'!$A$36,$K$205^A67,IF(A67='Données projet'!$A$36,'Données projet'!$B$36,N66+M67-V66)))</f>
        <v>353.43999999999983</v>
      </c>
      <c r="O67" s="13">
        <f>N67*VLOOKUP('Données projet'!$B$9,Paramètres!$A$1:$I$89,3,0)*VLOOKUP('Données projet'!$B$9,Paramètres!$A$1:$I$89,5,0)</f>
        <v>165.40991999999991</v>
      </c>
      <c r="P67" s="13">
        <f t="shared" si="33"/>
        <v>42.060366422582085</v>
      </c>
      <c r="Q67" s="20">
        <f t="shared" ref="Q67:Q98" si="54">(O67+P67)*0.475*44/12</f>
        <v>361.34408218599697</v>
      </c>
      <c r="R67" s="59">
        <f t="shared" ref="R67:R130" si="55">Q67+(I67+J67)*44/12</f>
        <v>624.76843434555167</v>
      </c>
      <c r="S67" s="59">
        <f ca="1">AVERAGE(OFFSET($R$3,0,0,'Données projet'!$E$9+1,1))-AVERAGE(OFFSET($H$3,0,0,'Données projet'!$E$9+1,1))</f>
        <v>387.50901594883317</v>
      </c>
      <c r="T67" s="59">
        <f t="shared" si="34"/>
        <v>361.3623790401972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67.578023060022986</v>
      </c>
      <c r="AA67" s="21">
        <f>EXP(-LN(2)/25)*AA66+(1-EXP(-LN(2)/25))/(LN(2)/25)*Calculateur!V67*Calculateur!X67*VLOOKUP('Données projet'!$B$9,Paramètres!$A$1:$I$89,3,0)*0.475*44/12</f>
        <v>42.430165673065574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110.00818873308856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11.896999999999997</v>
      </c>
      <c r="AI67" s="13">
        <f>IF('Données projet'!$A$62&gt;35,AI66+AH67-AQ66,IF(A67&lt;'Données projet'!$A$62,$AF$205^A67,IF(A67='Données projet'!$A$62,'Données projet'!$B$62,AI66+AH67-AQ66)))</f>
        <v>418.67800000000017</v>
      </c>
      <c r="AJ67" s="13">
        <f>AI67*VLOOKUP('Données projet'!$B$10,Paramètres!$A$1:$I$89,3,0)*VLOOKUP('Données projet'!$B$10,Paramètres!$A$1:$I$89,5,0)</f>
        <v>250.36944400000013</v>
      </c>
      <c r="AK67" s="13">
        <f t="shared" si="35"/>
        <v>60.665044924256527</v>
      </c>
      <c r="AL67" s="20">
        <f t="shared" si="4"/>
        <v>541.71840154308029</v>
      </c>
      <c r="AM67" s="59">
        <f t="shared" si="5"/>
        <v>805.14275370263499</v>
      </c>
      <c r="AN67" s="59">
        <f ca="1">AVERAGE(OFFSET($AM$3,0,0,'Données projet'!$E$10+1,1))-AVERAGE(OFFSET($H$3,0,0,'Données projet'!$E$10+1,1))</f>
        <v>373.47758082856359</v>
      </c>
      <c r="AO67" s="59">
        <f t="shared" si="36"/>
        <v>277.24895424120166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38.70323743064727</v>
      </c>
      <c r="AV67" s="21">
        <f>EXP(-LN(2)/25)*AV66+(1-EXP(-LN(2)/25))/(LN(2)/25)*Calculateur!AQ67*Calculateur!AS67*VLOOKUP('Données projet'!$B$10,Paramètres!$A$1:$I$89,3,0)*0.475*44/12</f>
        <v>30.831463786728133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69.5347012173754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9.2524999999999977</v>
      </c>
      <c r="BD67" s="12">
        <f>IF('Données projet'!$A$88&gt;35,BD66+BC67-BL66,IF(A67&lt;'Données projet'!$A$88,$BA$205^A67,IF(A67='Données projet'!$A$88,'Données projet'!$B$88,BD66+BC67-BL66)))</f>
        <v>246.45500000000018</v>
      </c>
      <c r="BE67" s="13">
        <f>BD67*VLOOKUP('Données projet'!$B$11,Paramètres!$A$1:$I$89,3,0)*VLOOKUP('Données projet'!$B$11,Paramètres!$A$1:$I$89,5,0)</f>
        <v>222.99248400000016</v>
      </c>
      <c r="BF67" s="13">
        <f t="shared" si="37"/>
        <v>54.764775031234961</v>
      </c>
      <c r="BG67" s="20">
        <f t="shared" si="7"/>
        <v>483.76055947940108</v>
      </c>
      <c r="BH67" s="59">
        <f t="shared" si="8"/>
        <v>747.18491163895578</v>
      </c>
      <c r="BI67" s="59">
        <f ca="1">AVERAGE(OFFSET($BH$3,0,0,'Données projet'!$E$11+1,1))-AVERAGE(OFFSET($H$3,0,0,'Données projet'!$E$11+1,1))</f>
        <v>627.65081154031589</v>
      </c>
      <c r="BJ67" s="59">
        <f t="shared" si="38"/>
        <v>288.78083487077618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12.233261824087835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12.233261824087835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9.2524999999999977</v>
      </c>
      <c r="BY67" s="12">
        <f>IF('Données projet'!$A$114&gt;35,BY66+BX67-CG66,IF(A67&lt;'Données projet'!$A$114,$BV$205^A67,IF(A67='Données projet'!$A$114,'Données projet'!$B$114,BY66+BX67-CG66)))</f>
        <v>246.45500000000018</v>
      </c>
      <c r="BZ67" s="13">
        <f>BY67*VLOOKUP('Données projet'!$B$12,Paramètres!$A$1:$I$89,3,0)*VLOOKUP('Données projet'!$B$12,Paramètres!$A$1:$I$89,5,0)</f>
        <v>249.9053700000002</v>
      </c>
      <c r="CA67" s="13">
        <f t="shared" si="39"/>
        <v>60.565676815620975</v>
      </c>
      <c r="CB67" s="20">
        <f t="shared" si="10"/>
        <v>540.73707320387359</v>
      </c>
      <c r="CC67" s="59">
        <f t="shared" si="11"/>
        <v>804.16142536342841</v>
      </c>
      <c r="CD67" s="59">
        <f ca="1">AVERAGE(OFFSET($CC$3,0,0,'Données projet'!$E$12+1,1))-AVERAGE(OFFSET($H$3,0,0,'Données projet'!$E$12+1,1))</f>
        <v>692.2706942067415</v>
      </c>
      <c r="CE67" s="59">
        <f t="shared" si="40"/>
        <v>316.17529091924803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13.70968997527085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13.70968997527085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9.2524999999999977</v>
      </c>
      <c r="CT67" s="12">
        <f>IF('Données projet'!$A$140&gt;35,CT66+CS67-DB66,IF(A67&lt;'Données projet'!$A$140,$CQ$205^A67,IF(A67='Données projet'!$A$140,'Données projet'!$B$140,CT66+CS67-DB66)))</f>
        <v>246.45500000000018</v>
      </c>
      <c r="CU67" s="17">
        <f>CT67*VLOOKUP('Données projet'!$B$13,Paramètres!$A$1:$I$89,3,0)*VLOOKUP('Données projet'!$B$13,Paramètres!$A$1:$I$89,5,0)</f>
        <v>280.66295400000024</v>
      </c>
      <c r="CV67" s="13">
        <f t="shared" si="41"/>
        <v>67.107090830057118</v>
      </c>
      <c r="CW67" s="20">
        <f t="shared" si="13"/>
        <v>605.6994947456833</v>
      </c>
      <c r="CX67" s="59">
        <f t="shared" si="14"/>
        <v>869.123846905238</v>
      </c>
      <c r="CY67" s="59">
        <f ca="1">AVERAGE(OFFSET($CX$3,0,0,'Données projet'!$E$13+1,1))-AVERAGE(OFFSET($H$3,0,0,'Données projet'!$E$13+1,1))</f>
        <v>765.9523557587147</v>
      </c>
      <c r="CZ67" s="59">
        <f t="shared" si="42"/>
        <v>347.40395092312815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15.397036433765727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15.397036433765727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3.2051282051282071</v>
      </c>
      <c r="DO67" s="12">
        <f>IF('Données projet'!$A$166&gt;35,DO66+DN67-DW66,IF(A67&lt;'Données projet'!$A$166,$DL$205^A67,IF(A67='Données projet'!$A$166,'Données projet'!$B$166,DO66+DN67-DW66)))</f>
        <v>133.97435897435903</v>
      </c>
      <c r="DP67" s="17">
        <f>DO67*VLOOKUP('Données projet'!$B$14,Paramètres!$A$1:$I$89,3,0)*VLOOKUP('Données projet'!$B$14,Paramètres!$A$1:$I$89,5,0)</f>
        <v>117.04000000000006</v>
      </c>
      <c r="DQ67" s="13">
        <f t="shared" si="43"/>
        <v>30.983627587514309</v>
      </c>
      <c r="DR67" s="20">
        <f t="shared" si="16"/>
        <v>257.80781804825421</v>
      </c>
      <c r="DS67" s="59">
        <f t="shared" si="17"/>
        <v>521.23217020780896</v>
      </c>
      <c r="DT67" s="59">
        <f ca="1">AVERAGE(OFFSET($DS$3,0,0,'Données projet'!$E$14+1,1))-AVERAGE(OFFSET($H$3,0,0,'Données projet'!$E$14+1,1))</f>
        <v>253.82888243490106</v>
      </c>
      <c r="DU67" s="59">
        <f t="shared" si="44"/>
        <v>224.11983819941796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14.724940041576707</v>
      </c>
      <c r="EB67" s="21">
        <f>EXP(-LN(2)/25)*EB66+(1-EXP(-LN(2)/25))/(LN(2)/25)*Calculateur!DW67*Calculateur!DY67*VLOOKUP('Données projet'!$B$14,Paramètres!$A$1:$I$89,3,0)*0.475*44/12</f>
        <v>9.7625891777932772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24.487529219369982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16.050000000000004</v>
      </c>
      <c r="N68" s="13">
        <f>IF('Données projet'!$A$36&gt;35,N67+M68-V67,IF(A68&lt;'Données projet'!$A$36,$K$205^A68,IF(A68='Données projet'!$A$36,'Données projet'!$B$36,N67+M68-V67)))</f>
        <v>369.48999999999984</v>
      </c>
      <c r="O68" s="13">
        <f>N68*VLOOKUP('Données projet'!$B$9,Paramètres!$A$1:$I$89,3,0)*VLOOKUP('Données projet'!$B$9,Paramètres!$A$1:$I$89,5,0)</f>
        <v>172.92131999999995</v>
      </c>
      <c r="P68" s="13">
        <f t="shared" si="33"/>
        <v>43.743651873932684</v>
      </c>
      <c r="Q68" s="20">
        <f t="shared" si="54"/>
        <v>377.35815934709927</v>
      </c>
      <c r="R68" s="59">
        <f t="shared" si="55"/>
        <v>641.30136546355448</v>
      </c>
      <c r="S68" s="59">
        <f ca="1">AVERAGE(OFFSET($R$3,0,0,'Données projet'!$E$9+1,1))-AVERAGE(OFFSET($H$3,0,0,'Données projet'!$E$9+1,1))</f>
        <v>387.50901594883317</v>
      </c>
      <c r="T68" s="59">
        <f t="shared" si="34"/>
        <v>361.3623790401972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66.252859246340009</v>
      </c>
      <c r="AA68" s="21">
        <f>EXP(-LN(2)/25)*AA67+(1-EXP(-LN(2)/25))/(LN(2)/25)*Calculateur!V68*Calculateur!X68*VLOOKUP('Données projet'!$B$9,Paramètres!$A$1:$I$89,3,0)*0.475*44/12</f>
        <v>41.269910561430159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107.52276980777017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11.896999999999997</v>
      </c>
      <c r="AI68" s="13">
        <f>IF('Données projet'!$A$62&gt;35,AI67+AH68-AQ67,IF(A68&lt;'Données projet'!$A$62,$AF$205^A68,IF(A68='Données projet'!$A$62,'Données projet'!$B$62,AI67+AH68-AQ67)))</f>
        <v>430.57500000000016</v>
      </c>
      <c r="AJ68" s="13">
        <f>AI68*VLOOKUP('Données projet'!$B$10,Paramètres!$A$1:$I$89,3,0)*VLOOKUP('Données projet'!$B$10,Paramètres!$A$1:$I$89,5,0)</f>
        <v>257.48385000000013</v>
      </c>
      <c r="AK68" s="13">
        <f t="shared" si="35"/>
        <v>62.185733278690435</v>
      </c>
      <c r="AL68" s="20">
        <f t="shared" ref="AL68:AL131" si="58">(AJ68+AK68)*0.475*44/12</f>
        <v>556.7578575437193</v>
      </c>
      <c r="AM68" s="59">
        <f t="shared" ref="AM68:AM131" si="59">AL68+(AD68+AE68)*44/12</f>
        <v>820.70106366017444</v>
      </c>
      <c r="AN68" s="59">
        <f ca="1">AVERAGE(OFFSET($AM$3,0,0,'Données projet'!$E$10+1,1))-AVERAGE(OFFSET($H$3,0,0,'Données projet'!$E$10+1,1))</f>
        <v>373.47758082856359</v>
      </c>
      <c r="AO68" s="59">
        <f t="shared" si="36"/>
        <v>277.24895424120166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37.944290551276147</v>
      </c>
      <c r="AV68" s="21">
        <f>EXP(-LN(2)/25)*AV67+(1-EXP(-LN(2)/25))/(LN(2)/25)*Calculateur!AQ68*Calculateur!AS68*VLOOKUP('Données projet'!$B$10,Paramètres!$A$1:$I$89,3,0)*0.475*44/12</f>
        <v>29.988375788123836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67.932666339399987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9.2524999999999977</v>
      </c>
      <c r="BD68" s="12">
        <f>IF('Données projet'!$A$88&gt;35,BD67+BC68-BL67,IF(A68&lt;'Données projet'!$A$88,$BA$205^A68,IF(A68='Données projet'!$A$88,'Données projet'!$B$88,BD67+BC68-BL67)))</f>
        <v>255.70750000000018</v>
      </c>
      <c r="BE68" s="13">
        <f>BD68*VLOOKUP('Données projet'!$B$11,Paramètres!$A$1:$I$89,3,0)*VLOOKUP('Données projet'!$B$11,Paramètres!$A$1:$I$89,5,0)</f>
        <v>231.36414600000015</v>
      </c>
      <c r="BF68" s="13">
        <f t="shared" si="37"/>
        <v>56.57754019728695</v>
      </c>
      <c r="BG68" s="20">
        <f t="shared" ref="BG68:BG131" si="61">(BE68+BF68)*0.475*44/12</f>
        <v>501.49843679360833</v>
      </c>
      <c r="BH68" s="59">
        <f t="shared" ref="BH68:BH131" si="62">BG68+(AY68+AZ68)*44/12</f>
        <v>765.44164291006359</v>
      </c>
      <c r="BI68" s="59">
        <f ca="1">AVERAGE(OFFSET($BH$3,0,0,'Données projet'!$E$11+1,1))-AVERAGE(OFFSET($H$3,0,0,'Données projet'!$E$11+1,1))</f>
        <v>627.65081154031589</v>
      </c>
      <c r="BJ68" s="59">
        <f t="shared" si="38"/>
        <v>288.78083487077618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11.993375021270419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11.993375021270419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9.2524999999999977</v>
      </c>
      <c r="BY68" s="12">
        <f>IF('Données projet'!$A$114&gt;35,BY67+BX68-CG67,IF(A68&lt;'Données projet'!$A$114,$BV$205^A68,IF(A68='Données projet'!$A$114,'Données projet'!$B$114,BY67+BX68-CG67)))</f>
        <v>255.70750000000018</v>
      </c>
      <c r="BZ68" s="13">
        <f>BY68*VLOOKUP('Données projet'!$B$12,Paramètres!$A$1:$I$89,3,0)*VLOOKUP('Données projet'!$B$12,Paramètres!$A$1:$I$89,5,0)</f>
        <v>259.28740500000021</v>
      </c>
      <c r="CA68" s="13">
        <f t="shared" si="39"/>
        <v>62.570457244776364</v>
      </c>
      <c r="CB68" s="20">
        <f t="shared" ref="CB68:CB131" si="64">(BZ68+CA68)*0.475*44/12</f>
        <v>560.56911007631913</v>
      </c>
      <c r="CC68" s="59">
        <f t="shared" ref="CC68:CC131" si="65">CB68+(BT68+BU68)*44/12</f>
        <v>824.51231619277428</v>
      </c>
      <c r="CD68" s="59">
        <f ca="1">AVERAGE(OFFSET($CC$3,0,0,'Données projet'!$E$12+1,1))-AVERAGE(OFFSET($H$3,0,0,'Données projet'!$E$12+1,1))</f>
        <v>692.2706942067415</v>
      </c>
      <c r="CE68" s="59">
        <f t="shared" si="40"/>
        <v>316.17529091924803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13.440851316940986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13.440851316940986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9.2524999999999977</v>
      </c>
      <c r="CT68" s="12">
        <f>IF('Données projet'!$A$140&gt;35,CT67+CS68-DB67,IF(A68&lt;'Données projet'!$A$140,$CQ$205^A68,IF(A68='Données projet'!$A$140,'Données projet'!$B$140,CT67+CS68-DB67)))</f>
        <v>255.70750000000018</v>
      </c>
      <c r="CU68" s="17">
        <f>CT68*VLOOKUP('Données projet'!$B$13,Paramètres!$A$1:$I$89,3,0)*VLOOKUP('Données projet'!$B$13,Paramètres!$A$1:$I$89,5,0)</f>
        <v>291.19970100000023</v>
      </c>
      <c r="CV68" s="13">
        <f t="shared" si="41"/>
        <v>69.328398168258147</v>
      </c>
      <c r="CW68" s="20">
        <f t="shared" ref="CW68:CW131" si="67">(CU68+CV68)*0.475*44/12</f>
        <v>627.91977271805001</v>
      </c>
      <c r="CX68" s="59">
        <f t="shared" ref="CX68:CX131" si="68">CW68+(CO68+CP68)*44/12</f>
        <v>891.86297883450516</v>
      </c>
      <c r="CY68" s="59">
        <f ca="1">AVERAGE(OFFSET($CX$3,0,0,'Données projet'!$E$13+1,1))-AVERAGE(OFFSET($H$3,0,0,'Données projet'!$E$13+1,1))</f>
        <v>765.9523557587147</v>
      </c>
      <c r="CZ68" s="59">
        <f t="shared" si="42"/>
        <v>347.40395092312815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15.095109940564496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15.095109940564496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>
        <f>VLOOKUP(A68,'Données projet'!$A$165:$I$185,2,0)</f>
        <v>137.17948717948718</v>
      </c>
      <c r="DM68" s="12">
        <f>VLOOKUP(A68,'Données projet'!$A$165:$I$185,9,0)</f>
        <v>3.2051282051282071</v>
      </c>
      <c r="DN68" s="12">
        <f t="array" ref="DN68">INDEX(DM:DM,MIN(IF(ISNUMBER(DM68:DM264),ROW(DM68:DM264),"")))</f>
        <v>3.2051282051282071</v>
      </c>
      <c r="DO68" s="12">
        <f>IF('Données projet'!$A$166&gt;35,DO67+DN68-DW67,IF(A68&lt;'Données projet'!$A$166,$DL$205^A68,IF(A68='Données projet'!$A$166,'Données projet'!$B$166,DO67+DN68-DW67)))</f>
        <v>137.17948717948724</v>
      </c>
      <c r="DP68" s="17">
        <f>DO68*VLOOKUP('Données projet'!$B$14,Paramètres!$A$1:$I$89,3,0)*VLOOKUP('Données projet'!$B$14,Paramètres!$A$1:$I$89,5,0)</f>
        <v>119.84000000000006</v>
      </c>
      <c r="DQ68" s="13">
        <f t="shared" si="43"/>
        <v>31.637679024355371</v>
      </c>
      <c r="DR68" s="20">
        <f t="shared" ref="DR68:DR131" si="70">(DP68+DQ68)*0.475*44/12</f>
        <v>263.82362430075239</v>
      </c>
      <c r="DS68" s="59">
        <f t="shared" ref="DS68:DS131" si="71">DR68+(DJ68+DK68)*44/12</f>
        <v>527.76683041720753</v>
      </c>
      <c r="DT68" s="59">
        <f ca="1">AVERAGE(OFFSET($DS$3,0,0,'Données projet'!$E$14+1,1))-AVERAGE(OFFSET($H$3,0,0,'Données projet'!$E$14+1,1))</f>
        <v>253.82888243490106</v>
      </c>
      <c r="DU68" s="59">
        <f t="shared" si="44"/>
        <v>224.11983819941796</v>
      </c>
      <c r="DV68" s="15">
        <f>IF(ISNA(VLOOKUP(A68,'Données projet'!$A$165:$I$185,3,0)),0,VLOOKUP(A68,'Données projet'!$A$165:$I$185,3,0))</f>
        <v>12</v>
      </c>
      <c r="DW68" s="15">
        <f>IF(ISNA(VLOOKUP(A68,'Données projet'!$A$165:$I$185,4,0)),0,VLOOKUP(A68,'Données projet'!$A$165:$I$185,4,0))</f>
        <v>10.897435897435898</v>
      </c>
      <c r="DX68" s="16">
        <f>IF(ISNA(VLOOKUP(A68,'Données projet'!$A$165:$I$185,5,0)),0%,VLOOKUP(A68,'Données projet'!$A$165:$I$185,5,0)*VLOOKUP('Données projet'!$B$14,Paramètres!$A$1:$I$89,7,0))</f>
        <v>0.25800000000000001</v>
      </c>
      <c r="DY68" s="16">
        <f>IF(ISNA(VLOOKUP(A68,'Données projet'!$A$165:$I$185,6,0)),0%,VLOOKUP(A68,'Données projet'!$A$165:$I$185,6,0)*VLOOKUP('Données projet'!$B$14,Paramètres!$A$1:$I$89,7,0))</f>
        <v>0.129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17.15140507608163</v>
      </c>
      <c r="EB68" s="21">
        <f>EXP(-LN(2)/25)*EB67+(1-EXP(-LN(2)/25))/(LN(2)/25)*Calculateur!DW68*Calculateur!DY68*VLOOKUP('Données projet'!$B$14,Paramètres!$A$1:$I$89,3,0)*0.475*44/12</f>
        <v>10.847891314669853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27.999296390751482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16.050000000000004</v>
      </c>
      <c r="N69" s="13">
        <f>IF('Données projet'!$A$36&gt;35,N68+M69-V68,IF(A69&lt;'Données projet'!$A$36,$K$205^A69,IF(A69='Données projet'!$A$36,'Données projet'!$B$36,N68+M69-V68)))</f>
        <v>385.53999999999985</v>
      </c>
      <c r="O69" s="13">
        <f>N69*VLOOKUP('Données projet'!$B$9,Paramètres!$A$1:$I$89,3,0)*VLOOKUP('Données projet'!$B$9,Paramètres!$A$1:$I$89,5,0)</f>
        <v>180.43271999999993</v>
      </c>
      <c r="P69" s="13">
        <f t="shared" ref="P69:P132" si="87">EXP(-1.0587+0.8836*LN(O69)+0.284)</f>
        <v>45.418444936488953</v>
      </c>
      <c r="Q69" s="20">
        <f t="shared" si="54"/>
        <v>393.35744559771814</v>
      </c>
      <c r="R69" s="59">
        <f t="shared" si="55"/>
        <v>657.81050471490516</v>
      </c>
      <c r="S69" s="59">
        <f ca="1">AVERAGE(OFFSET($R$3,0,0,'Données projet'!$E$9+1,1))-AVERAGE(OFFSET($H$3,0,0,'Données projet'!$E$9+1,1))</f>
        <v>387.50901594883317</v>
      </c>
      <c r="T69" s="59">
        <f t="shared" ref="T69:T132" si="88">$T$3</f>
        <v>361.3623790401972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64.953681086773244</v>
      </c>
      <c r="AA69" s="21">
        <f>EXP(-LN(2)/25)*AA68+(1-EXP(-LN(2)/25))/(LN(2)/25)*Calculateur!V69*Calculateur!X69*VLOOKUP('Données projet'!$B$9,Paramètres!$A$1:$I$89,3,0)*0.475*44/12</f>
        <v>40.141382686837581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105.09506377361083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11.896999999999997</v>
      </c>
      <c r="AI69" s="13">
        <f>IF('Données projet'!$A$62&gt;35,AI68+AH69-AQ68,IF(A69&lt;'Données projet'!$A$62,$AF$205^A69,IF(A69='Données projet'!$A$62,'Données projet'!$B$62,AI68+AH69-AQ68)))</f>
        <v>442.47200000000015</v>
      </c>
      <c r="AJ69" s="13">
        <f>AI69*VLOOKUP('Données projet'!$B$10,Paramètres!$A$1:$I$89,3,0)*VLOOKUP('Données projet'!$B$10,Paramètres!$A$1:$I$89,5,0)</f>
        <v>264.59825600000011</v>
      </c>
      <c r="AK69" s="13">
        <f t="shared" ref="AK69:AK132" si="89">EXP(-1.0587+0.8836*LN(AJ69)+0.284)</f>
        <v>63.701538011039567</v>
      </c>
      <c r="AL69" s="20">
        <f t="shared" si="58"/>
        <v>571.78880790256073</v>
      </c>
      <c r="AM69" s="59">
        <f t="shared" si="59"/>
        <v>836.24186701974781</v>
      </c>
      <c r="AN69" s="59">
        <f ca="1">AVERAGE(OFFSET($AM$3,0,0,'Données projet'!$E$10+1,1))-AVERAGE(OFFSET($H$3,0,0,'Données projet'!$E$10+1,1))</f>
        <v>373.47758082856359</v>
      </c>
      <c r="AO69" s="59">
        <f t="shared" ref="AO69:AO132" si="90">$AO$3</f>
        <v>277.24895424120166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37.200226157297607</v>
      </c>
      <c r="AV69" s="21">
        <f>EXP(-LN(2)/25)*AV68+(1-EXP(-LN(2)/25))/(LN(2)/25)*Calculateur!AQ69*Calculateur!AS69*VLOOKUP('Données projet'!$B$10,Paramètres!$A$1:$I$89,3,0)*0.475*44/12</f>
        <v>29.168342075177446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66.368568232475056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>
        <f>VLOOKUP(A69,'Données projet'!$A$87:$I$107,2,0)</f>
        <v>264.95999999999998</v>
      </c>
      <c r="BB69" s="12">
        <f>VLOOKUP(A69,'Données projet'!$A$87:$I$107,9,0)</f>
        <v>9.2524999999999977</v>
      </c>
      <c r="BC69" s="12">
        <f t="array" ref="BC69">INDEX(BB:BB,MIN(IF(ISNUMBER(BB69:BB265),ROW(BB69:BB265),"")))</f>
        <v>9.2524999999999977</v>
      </c>
      <c r="BD69" s="12">
        <f>IF('Données projet'!$A$88&gt;35,BD68+BC69-BL68,IF(A69&lt;'Données projet'!$A$88,$BA$205^A69,IF(A69='Données projet'!$A$88,'Données projet'!$B$88,BD68+BC69-BL68)))</f>
        <v>264.96000000000015</v>
      </c>
      <c r="BE69" s="13">
        <f>BD69*VLOOKUP('Données projet'!$B$11,Paramètres!$A$1:$I$89,3,0)*VLOOKUP('Données projet'!$B$11,Paramètres!$A$1:$I$89,5,0)</f>
        <v>239.73580800000011</v>
      </c>
      <c r="BF69" s="13">
        <f t="shared" ref="BF69:BF132" si="91">EXP(-1.0587+0.8836*LN(BE69)+0.284)</f>
        <v>58.38268464325516</v>
      </c>
      <c r="BG69" s="20">
        <f t="shared" si="61"/>
        <v>519.22304135366949</v>
      </c>
      <c r="BH69" s="59">
        <f t="shared" si="62"/>
        <v>783.67610047085657</v>
      </c>
      <c r="BI69" s="59">
        <f ca="1">AVERAGE(OFFSET($BH$3,0,0,'Données projet'!$E$11+1,1))-AVERAGE(OFFSET($H$3,0,0,'Données projet'!$E$11+1,1))</f>
        <v>627.65081154031589</v>
      </c>
      <c r="BJ69" s="59">
        <f t="shared" ref="BJ69:BJ132" si="92">$BJ$3</f>
        <v>288.78083487077618</v>
      </c>
      <c r="BK69" s="15">
        <f>IF(ISNA(VLOOKUP(A69,'Données projet'!$A$87:$I$107,3,0)),0,VLOOKUP(A69,'Données projet'!$A$87:$I$107,3,0))</f>
        <v>4</v>
      </c>
      <c r="BL69" s="15">
        <f>IF(ISNA(VLOOKUP(A69,'Données projet'!$A$87:$I$107,4,0)),0,VLOOKUP(A69,'Données projet'!$A$87:$I$107,4,0))</f>
        <v>49.91</v>
      </c>
      <c r="BM69" s="16">
        <f>IF(ISNA(VLOOKUP(A69,'Données projet'!$A$87:$I$107,5,0)),0%,VLOOKUP(A69,'Données projet'!$A$87:$I$107,5,0)*VLOOKUP('Données projet'!$B$11,Paramètres!$A$1:$I$89,7,0))</f>
        <v>0.25800000000000001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24.637928753319876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24.637928753319876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264.95999999999998</v>
      </c>
      <c r="BW69" s="12">
        <f>VLOOKUP(A69,'Données projet'!$A$113:$I$133,9,0)</f>
        <v>9.2524999999999977</v>
      </c>
      <c r="BX69" s="12">
        <f t="array" ref="BX69">INDEX(BW:BW,MIN(IF(ISNUMBER(BW69:BW265),ROW(BW69:BW265),"")))</f>
        <v>9.2524999999999977</v>
      </c>
      <c r="BY69" s="12">
        <f>IF('Données projet'!$A$114&gt;35,BY68+BX69-CG68,IF(A69&lt;'Données projet'!$A$114,$BV$205^A69,IF(A69='Données projet'!$A$114,'Données projet'!$B$114,BY68+BX69-CG68)))</f>
        <v>264.96000000000015</v>
      </c>
      <c r="BZ69" s="13">
        <f>BY69*VLOOKUP('Données projet'!$B$12,Paramètres!$A$1:$I$89,3,0)*VLOOKUP('Données projet'!$B$12,Paramètres!$A$1:$I$89,5,0)</f>
        <v>268.66944000000018</v>
      </c>
      <c r="CA69" s="13">
        <f t="shared" ref="CA69:CA132" si="93">EXP(-1.0587+0.8836*LN(BZ69)+0.284)</f>
        <v>64.566809737006352</v>
      </c>
      <c r="CB69" s="20">
        <f t="shared" si="64"/>
        <v>580.38646829195295</v>
      </c>
      <c r="CC69" s="59">
        <f t="shared" si="65"/>
        <v>844.83952740914003</v>
      </c>
      <c r="CD69" s="59">
        <f ca="1">AVERAGE(OFFSET($CC$3,0,0,'Données projet'!$E$12+1,1))-AVERAGE(OFFSET($H$3,0,0,'Données projet'!$E$12+1,1))</f>
        <v>692.2706942067415</v>
      </c>
      <c r="CE69" s="59">
        <f t="shared" ref="CE69:CE132" si="94">$CE$3</f>
        <v>316.17529091924803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0.25800000000000001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27.611471878720558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27.611471878720558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>
        <f>VLOOKUP(A69,'Données projet'!$A$139:$I$159,2,0)</f>
        <v>264.95999999999998</v>
      </c>
      <c r="CR69" s="12">
        <f>VLOOKUP(A69,'Données projet'!$A$139:$I$159,9,0)</f>
        <v>9.2524999999999977</v>
      </c>
      <c r="CS69" s="12">
        <f t="array" ref="CS69">INDEX(CR:CR,MIN(IF(ISNUMBER(CR69:CR265),ROW(CR69:CR265),"")))</f>
        <v>9.2524999999999977</v>
      </c>
      <c r="CT69" s="12">
        <f>IF('Données projet'!$A$140&gt;35,CT68+CS69-DB68,IF(A69&lt;'Données projet'!$A$140,$CQ$205^A69,IF(A69='Données projet'!$A$140,'Données projet'!$B$140,CT68+CS69-DB68)))</f>
        <v>264.96000000000015</v>
      </c>
      <c r="CU69" s="17">
        <f>CT69*VLOOKUP('Données projet'!$B$13,Paramètres!$A$1:$I$89,3,0)*VLOOKUP('Données projet'!$B$13,Paramètres!$A$1:$I$89,5,0)</f>
        <v>301.73644800000017</v>
      </c>
      <c r="CV69" s="13">
        <f t="shared" ref="CV69:CV132" si="95">EXP(-1.0587+0.8836*LN(CU69)+0.284)</f>
        <v>71.540367307688939</v>
      </c>
      <c r="CW69" s="20">
        <f t="shared" si="67"/>
        <v>650.12378666089182</v>
      </c>
      <c r="CX69" s="59">
        <f t="shared" si="68"/>
        <v>914.5768457780789</v>
      </c>
      <c r="CY69" s="59">
        <f ca="1">AVERAGE(OFFSET($CX$3,0,0,'Données projet'!$E$13+1,1))-AVERAGE(OFFSET($H$3,0,0,'Données projet'!$E$13+1,1))</f>
        <v>765.9523557587147</v>
      </c>
      <c r="CZ69" s="59">
        <f t="shared" ref="CZ69:CZ132" si="96">$CZ$3</f>
        <v>347.40395092312815</v>
      </c>
      <c r="DA69" s="15">
        <f>IF(ISNA(VLOOKUP(A69,'Données projet'!$A$139:$I$159,3,0)),0,VLOOKUP(A69,'Données projet'!$A$139:$I$159,3,0))</f>
        <v>4</v>
      </c>
      <c r="DB69" s="15">
        <f>IF(ISNA(VLOOKUP(A69,'Données projet'!$A$139:$I$159,4,0)),0,VLOOKUP(A69,'Données projet'!$A$139:$I$159,4,0))</f>
        <v>49.91</v>
      </c>
      <c r="DC69" s="16">
        <f>IF(ISNA(VLOOKUP(A69,'Données projet'!$A$139:$I$159,5,0)),0%,VLOOKUP(A69,'Données projet'!$A$139:$I$159,5,0)*VLOOKUP('Données projet'!$B$13,Paramètres!$A$1:$I$89,7,0))</f>
        <v>0.25800000000000001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31.009806879178477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31.009806879178477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2.9487179487179476</v>
      </c>
      <c r="DO69" s="12">
        <f>IF('Données projet'!$A$166&gt;35,DO68+DN69-DW68,IF(A69&lt;'Données projet'!$A$166,$DL$205^A69,IF(A69='Données projet'!$A$166,'Données projet'!$B$166,DO68+DN69-DW68)))</f>
        <v>129.23076923076928</v>
      </c>
      <c r="DP69" s="17">
        <f>DO69*VLOOKUP('Données projet'!$B$14,Paramètres!$A$1:$I$89,3,0)*VLOOKUP('Données projet'!$B$14,Paramètres!$A$1:$I$89,5,0)</f>
        <v>112.89600000000007</v>
      </c>
      <c r="DQ69" s="13">
        <f t="shared" ref="DQ69:DQ132" si="97">EXP(-1.0587+0.8836*LN(DP69)+0.284)</f>
        <v>30.012269379763588</v>
      </c>
      <c r="DR69" s="20">
        <f t="shared" si="70"/>
        <v>248.89856916975501</v>
      </c>
      <c r="DS69" s="59">
        <f t="shared" si="71"/>
        <v>513.35162828694206</v>
      </c>
      <c r="DT69" s="59">
        <f ca="1">AVERAGE(OFFSET($DS$3,0,0,'Données projet'!$E$14+1,1))-AVERAGE(OFFSET($H$3,0,0,'Données projet'!$E$14+1,1))</f>
        <v>253.82888243490106</v>
      </c>
      <c r="DU69" s="59">
        <f t="shared" ref="DU69:DU132" si="98">$DU$3</f>
        <v>224.11983819941796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16.815076483863795</v>
      </c>
      <c r="EB69" s="21">
        <f>EXP(-LN(2)/25)*EB68+(1-EXP(-LN(2)/25))/(LN(2)/25)*Calculateur!DW69*Calculateur!DY69*VLOOKUP('Données projet'!$B$14,Paramètres!$A$1:$I$89,3,0)*0.475*44/12</f>
        <v>10.551255156204395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27.366331640068189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16.050000000000004</v>
      </c>
      <c r="N70" s="13">
        <f>IF('Données projet'!$A$36&gt;35,N69+M70-V69,IF(A70&lt;'Données projet'!$A$36,$K$205^A70,IF(A70='Données projet'!$A$36,'Données projet'!$B$36,N69+M70-V69)))</f>
        <v>401.58999999999986</v>
      </c>
      <c r="O70" s="13">
        <f>N70*VLOOKUP('Données projet'!$B$9,Paramètres!$A$1:$I$89,3,0)*VLOOKUP('Données projet'!$B$9,Paramètres!$A$1:$I$89,5,0)</f>
        <v>187.94411999999991</v>
      </c>
      <c r="P70" s="13">
        <f t="shared" si="87"/>
        <v>47.085139576843218</v>
      </c>
      <c r="Q70" s="20">
        <f t="shared" si="54"/>
        <v>409.34262709633504</v>
      </c>
      <c r="R70" s="59">
        <f t="shared" si="55"/>
        <v>674.296694404552</v>
      </c>
      <c r="S70" s="59">
        <f ca="1">AVERAGE(OFFSET($R$3,0,0,'Données projet'!$E$9+1,1))-AVERAGE(OFFSET($H$3,0,0,'Données projet'!$E$9+1,1))</f>
        <v>387.50901594883317</v>
      </c>
      <c r="T70" s="59">
        <f t="shared" si="88"/>
        <v>361.3623790401972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63.679979018495146</v>
      </c>
      <c r="AA70" s="21">
        <f>EXP(-LN(2)/25)*AA69+(1-EXP(-LN(2)/25))/(LN(2)/25)*Calculateur!V70*Calculateur!X70*VLOOKUP('Données projet'!$B$9,Paramètres!$A$1:$I$89,3,0)*0.475*44/12</f>
        <v>39.043714466322434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102.72369348481757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11.896999999999997</v>
      </c>
      <c r="AI70" s="13">
        <f>IF('Données projet'!$A$62&gt;35,AI69+AH70-AQ69,IF(A70&lt;'Données projet'!$A$62,$AF$205^A70,IF(A70='Données projet'!$A$62,'Données projet'!$B$62,AI69+AH70-AQ69)))</f>
        <v>454.36900000000014</v>
      </c>
      <c r="AJ70" s="13">
        <f>AI70*VLOOKUP('Données projet'!$B$10,Paramètres!$A$1:$I$89,3,0)*VLOOKUP('Données projet'!$B$10,Paramètres!$A$1:$I$89,5,0)</f>
        <v>271.71266200000014</v>
      </c>
      <c r="AK70" s="13">
        <f t="shared" si="89"/>
        <v>65.212605520968935</v>
      </c>
      <c r="AL70" s="20">
        <f t="shared" si="58"/>
        <v>586.81150759902118</v>
      </c>
      <c r="AM70" s="59">
        <f t="shared" si="59"/>
        <v>851.76557490723803</v>
      </c>
      <c r="AN70" s="59">
        <f ca="1">AVERAGE(OFFSET($AM$3,0,0,'Données projet'!$E$10+1,1))-AVERAGE(OFFSET($H$3,0,0,'Données projet'!$E$10+1,1))</f>
        <v>373.47758082856359</v>
      </c>
      <c r="AO70" s="59">
        <f t="shared" si="90"/>
        <v>277.24895424120166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36.470752412250512</v>
      </c>
      <c r="AV70" s="21">
        <f>EXP(-LN(2)/25)*AV69+(1-EXP(-LN(2)/25))/(LN(2)/25)*Calculateur!AQ70*Calculateur!AS70*VLOOKUP('Données projet'!$B$10,Paramètres!$A$1:$I$89,3,0)*0.475*44/12</f>
        <v>28.370732227235273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64.841484639485785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8.8662500000000044</v>
      </c>
      <c r="BD70" s="12">
        <f>IF('Données projet'!$A$88&gt;35,BD69+BC70-BL69,IF(A70&lt;'Données projet'!$A$88,$BA$205^A70,IF(A70='Données projet'!$A$88,'Données projet'!$B$88,BD69+BC70-BL69)))</f>
        <v>223.91625000000013</v>
      </c>
      <c r="BE70" s="13">
        <f>BD70*VLOOKUP('Données projet'!$B$11,Paramètres!$A$1:$I$89,3,0)*VLOOKUP('Données projet'!$B$11,Paramètres!$A$1:$I$89,5,0)</f>
        <v>202.59942300000012</v>
      </c>
      <c r="BF70" s="13">
        <f t="shared" si="91"/>
        <v>50.315012169520465</v>
      </c>
      <c r="BG70" s="20">
        <f t="shared" si="61"/>
        <v>440.49264125358167</v>
      </c>
      <c r="BH70" s="59">
        <f t="shared" si="62"/>
        <v>705.44670856179857</v>
      </c>
      <c r="BI70" s="59">
        <f ca="1">AVERAGE(OFFSET($BH$3,0,0,'Données projet'!$E$11+1,1))-AVERAGE(OFFSET($H$3,0,0,'Données projet'!$E$11+1,1))</f>
        <v>627.65081154031589</v>
      </c>
      <c r="BJ70" s="59">
        <f t="shared" si="92"/>
        <v>288.78083487077618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24.154793998119956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24.154793998119956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8.8662500000000044</v>
      </c>
      <c r="BY70" s="12">
        <f>IF('Données projet'!$A$114&gt;35,BY69+BX70-CG69,IF(A70&lt;'Données projet'!$A$114,$BV$205^A70,IF(A70='Données projet'!$A$114,'Données projet'!$B$114,BY69+BX70-CG69)))</f>
        <v>223.91625000000013</v>
      </c>
      <c r="BZ70" s="13">
        <f>BY70*VLOOKUP('Données projet'!$B$12,Paramètres!$A$1:$I$89,3,0)*VLOOKUP('Données projet'!$B$12,Paramètres!$A$1:$I$89,5,0)</f>
        <v>227.05107750000016</v>
      </c>
      <c r="CA70" s="13">
        <f t="shared" si="93"/>
        <v>55.644577455036639</v>
      </c>
      <c r="CB70" s="20">
        <f t="shared" si="64"/>
        <v>492.36159904668904</v>
      </c>
      <c r="CC70" s="59">
        <f t="shared" si="65"/>
        <v>757.31566635490594</v>
      </c>
      <c r="CD70" s="59">
        <f ca="1">AVERAGE(OFFSET($CC$3,0,0,'Données projet'!$E$12+1,1))-AVERAGE(OFFSET($H$3,0,0,'Données projet'!$E$12+1,1))</f>
        <v>692.2706942067415</v>
      </c>
      <c r="CE70" s="59">
        <f t="shared" si="94"/>
        <v>316.17529091924803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27.070027756513749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27.070027756513749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8.8662500000000044</v>
      </c>
      <c r="CT70" s="12">
        <f>IF('Données projet'!$A$140&gt;35,CT69+CS70-DB69,IF(A70&lt;'Données projet'!$A$140,$CQ$205^A70,IF(A70='Données projet'!$A$140,'Données projet'!$B$140,CT69+CS70-DB69)))</f>
        <v>223.91625000000013</v>
      </c>
      <c r="CU70" s="17">
        <f>CT70*VLOOKUP('Données projet'!$B$13,Paramètres!$A$1:$I$89,3,0)*VLOOKUP('Données projet'!$B$13,Paramètres!$A$1:$I$89,5,0)</f>
        <v>254.99582550000017</v>
      </c>
      <c r="CV70" s="13">
        <f t="shared" si="95"/>
        <v>61.654486663182006</v>
      </c>
      <c r="CW70" s="20">
        <f t="shared" si="67"/>
        <v>551.49929368420896</v>
      </c>
      <c r="CX70" s="59">
        <f t="shared" si="68"/>
        <v>816.45336099242581</v>
      </c>
      <c r="CY70" s="59">
        <f ca="1">AVERAGE(OFFSET($CX$3,0,0,'Données projet'!$E$13+1,1))-AVERAGE(OFFSET($H$3,0,0,'Données projet'!$E$13+1,1))</f>
        <v>765.9523557587147</v>
      </c>
      <c r="CZ70" s="59">
        <f t="shared" si="96"/>
        <v>347.40395092312815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30.40172348039237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30.40172348039237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2.9487179487179476</v>
      </c>
      <c r="DO70" s="12">
        <f>IF('Données projet'!$A$166&gt;35,DO69+DN70-DW69,IF(A70&lt;'Données projet'!$A$166,$DL$205^A70,IF(A70='Données projet'!$A$166,'Données projet'!$B$166,DO69+DN70-DW69)))</f>
        <v>132.17948717948724</v>
      </c>
      <c r="DP70" s="17">
        <f>DO70*VLOOKUP('Données projet'!$B$14,Paramètres!$A$1:$I$89,3,0)*VLOOKUP('Données projet'!$B$14,Paramètres!$A$1:$I$89,5,0)</f>
        <v>115.47200000000007</v>
      </c>
      <c r="DQ70" s="13">
        <f t="shared" si="97"/>
        <v>30.616565180303049</v>
      </c>
      <c r="DR70" s="20">
        <f t="shared" si="70"/>
        <v>254.43758435569455</v>
      </c>
      <c r="DS70" s="59">
        <f t="shared" si="71"/>
        <v>519.39165166391149</v>
      </c>
      <c r="DT70" s="59">
        <f ca="1">AVERAGE(OFFSET($DS$3,0,0,'Données projet'!$E$14+1,1))-AVERAGE(OFFSET($H$3,0,0,'Données projet'!$E$14+1,1))</f>
        <v>253.82888243490106</v>
      </c>
      <c r="DU70" s="59">
        <f t="shared" si="98"/>
        <v>224.11983819941796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16.485343090199166</v>
      </c>
      <c r="EB70" s="21">
        <f>EXP(-LN(2)/25)*EB69+(1-EXP(-LN(2)/25))/(LN(2)/25)*Calculateur!DW70*Calculateur!DY70*VLOOKUP('Données projet'!$B$14,Paramètres!$A$1:$I$89,3,0)*0.475*44/12</f>
        <v>10.262730529091591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26.748073619290757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16.050000000000004</v>
      </c>
      <c r="N71" s="13">
        <f>IF('Données projet'!$A$36&gt;35,N70+M71-V70,IF(A71&lt;'Données projet'!$A$36,$K$205^A71,IF(A71='Données projet'!$A$36,'Données projet'!$B$36,N70+M71-V70)))</f>
        <v>417.63999999999987</v>
      </c>
      <c r="O71" s="13">
        <f>N71*VLOOKUP('Données projet'!$B$9,Paramètres!$A$1:$I$89,3,0)*VLOOKUP('Données projet'!$B$9,Paramètres!$A$1:$I$89,5,0)</f>
        <v>195.45551999999995</v>
      </c>
      <c r="P71" s="13">
        <f t="shared" si="87"/>
        <v>48.744096488454666</v>
      </c>
      <c r="Q71" s="20">
        <f t="shared" si="54"/>
        <v>425.31433205072511</v>
      </c>
      <c r="R71" s="59">
        <f t="shared" si="55"/>
        <v>690.760716177944</v>
      </c>
      <c r="S71" s="59">
        <f ca="1">AVERAGE(OFFSET($R$3,0,0,'Données projet'!$E$9+1,1))-AVERAGE(OFFSET($H$3,0,0,'Données projet'!$E$9+1,1))</f>
        <v>387.50901594883317</v>
      </c>
      <c r="T71" s="59">
        <f t="shared" si="88"/>
        <v>361.3623790401972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62.431253470894433</v>
      </c>
      <c r="AA71" s="21">
        <f>EXP(-LN(2)/25)*AA70+(1-EXP(-LN(2)/25))/(LN(2)/25)*Calculateur!V71*Calculateur!X71*VLOOKUP('Données projet'!$B$9,Paramètres!$A$1:$I$89,3,0)*0.475*44/12</f>
        <v>37.976062041021137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100.40731551191557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11.896999999999997</v>
      </c>
      <c r="AI71" s="13">
        <f>IF('Données projet'!$A$62&gt;35,AI70+AH71-AQ70,IF(A71&lt;'Données projet'!$A$62,$AF$205^A71,IF(A71='Données projet'!$A$62,'Données projet'!$B$62,AI70+AH71-AQ70)))</f>
        <v>466.26600000000013</v>
      </c>
      <c r="AJ71" s="13">
        <f>AI71*VLOOKUP('Données projet'!$B$10,Paramètres!$A$1:$I$89,3,0)*VLOOKUP('Données projet'!$B$10,Paramètres!$A$1:$I$89,5,0)</f>
        <v>278.82706800000011</v>
      </c>
      <c r="AK71" s="13">
        <f t="shared" si="89"/>
        <v>66.719074104976841</v>
      </c>
      <c r="AL71" s="20">
        <f t="shared" si="58"/>
        <v>601.82619749950163</v>
      </c>
      <c r="AM71" s="59">
        <f t="shared" si="59"/>
        <v>867.27258162672047</v>
      </c>
      <c r="AN71" s="59">
        <f ca="1">AVERAGE(OFFSET($AM$3,0,0,'Données projet'!$E$10+1,1))-AVERAGE(OFFSET($H$3,0,0,'Données projet'!$E$10+1,1))</f>
        <v>373.47758082856359</v>
      </c>
      <c r="AO71" s="59">
        <f t="shared" si="90"/>
        <v>277.24895424120166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35.755583202408744</v>
      </c>
      <c r="AV71" s="21">
        <f>EXP(-LN(2)/25)*AV70+(1-EXP(-LN(2)/25))/(LN(2)/25)*Calculateur!AQ71*Calculateur!AS71*VLOOKUP('Données projet'!$B$10,Paramètres!$A$1:$I$89,3,0)*0.475*44/12</f>
        <v>27.594933062529559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63.350516264938307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8.8662500000000044</v>
      </c>
      <c r="BD71" s="12">
        <f>IF('Données projet'!$A$88&gt;35,BD70+BC71-BL70,IF(A71&lt;'Données projet'!$A$88,$BA$205^A71,IF(A71='Données projet'!$A$88,'Données projet'!$B$88,BD70+BC71-BL70)))</f>
        <v>232.78250000000014</v>
      </c>
      <c r="BE71" s="13">
        <f>BD71*VLOOKUP('Données projet'!$B$11,Paramètres!$A$1:$I$89,3,0)*VLOOKUP('Données projet'!$B$11,Paramètres!$A$1:$I$89,5,0)</f>
        <v>210.62160600000013</v>
      </c>
      <c r="BF71" s="13">
        <f t="shared" si="91"/>
        <v>52.071398873356536</v>
      </c>
      <c r="BG71" s="20">
        <f t="shared" si="61"/>
        <v>457.5236501544295</v>
      </c>
      <c r="BH71" s="59">
        <f t="shared" si="62"/>
        <v>722.9700342816484</v>
      </c>
      <c r="BI71" s="59">
        <f ca="1">AVERAGE(OFFSET($BH$3,0,0,'Données projet'!$E$11+1,1))-AVERAGE(OFFSET($H$3,0,0,'Données projet'!$E$11+1,1))</f>
        <v>627.65081154031589</v>
      </c>
      <c r="BJ71" s="59">
        <f t="shared" si="92"/>
        <v>288.78083487077618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23.681133220786403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23.681133220786403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8.8662500000000044</v>
      </c>
      <c r="BY71" s="12">
        <f>IF('Données projet'!$A$114&gt;35,BY70+BX71-CG70,IF(A71&lt;'Données projet'!$A$114,$BV$205^A71,IF(A71='Données projet'!$A$114,'Données projet'!$B$114,BY70+BX71-CG70)))</f>
        <v>232.78250000000014</v>
      </c>
      <c r="BZ71" s="13">
        <f>BY71*VLOOKUP('Données projet'!$B$12,Paramètres!$A$1:$I$89,3,0)*VLOOKUP('Données projet'!$B$12,Paramètres!$A$1:$I$89,5,0)</f>
        <v>236.04145500000016</v>
      </c>
      <c r="CA71" s="13">
        <f t="shared" si="93"/>
        <v>57.587007592056594</v>
      </c>
      <c r="CB71" s="20">
        <f t="shared" si="64"/>
        <v>511.40290568116535</v>
      </c>
      <c r="CC71" s="59">
        <f t="shared" si="65"/>
        <v>776.84928980838413</v>
      </c>
      <c r="CD71" s="59">
        <f ca="1">AVERAGE(OFFSET($CC$3,0,0,'Données projet'!$E$12+1,1))-AVERAGE(OFFSET($H$3,0,0,'Données projet'!$E$12+1,1))</f>
        <v>692.2706942067415</v>
      </c>
      <c r="CE71" s="59">
        <f t="shared" si="94"/>
        <v>316.17529091924803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26.53920102329511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26.53920102329511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8.8662500000000044</v>
      </c>
      <c r="CT71" s="12">
        <f>IF('Données projet'!$A$140&gt;35,CT70+CS71-DB70,IF(A71&lt;'Données projet'!$A$140,$CQ$205^A71,IF(A71='Données projet'!$A$140,'Données projet'!$B$140,CT70+CS71-DB70)))</f>
        <v>232.78250000000014</v>
      </c>
      <c r="CU71" s="17">
        <f>CT71*VLOOKUP('Données projet'!$B$13,Paramètres!$A$1:$I$89,3,0)*VLOOKUP('Données projet'!$B$13,Paramètres!$A$1:$I$89,5,0)</f>
        <v>265.09271100000018</v>
      </c>
      <c r="CV71" s="13">
        <f t="shared" si="95"/>
        <v>63.806709547322477</v>
      </c>
      <c r="CW71" s="20">
        <f t="shared" si="67"/>
        <v>572.83315745325365</v>
      </c>
      <c r="CX71" s="59">
        <f t="shared" si="68"/>
        <v>838.27954158047248</v>
      </c>
      <c r="CY71" s="59">
        <f ca="1">AVERAGE(OFFSET($CX$3,0,0,'Données projet'!$E$13+1,1))-AVERAGE(OFFSET($H$3,0,0,'Données projet'!$E$13+1,1))</f>
        <v>765.9523557587147</v>
      </c>
      <c r="CZ71" s="59">
        <f t="shared" si="96"/>
        <v>347.40395092312815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29.805564226162208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29.805564226162208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2.9487179487179476</v>
      </c>
      <c r="DO71" s="12">
        <f>IF('Données projet'!$A$166&gt;35,DO70+DN71-DW70,IF(A71&lt;'Données projet'!$A$166,$DL$205^A71,IF(A71='Données projet'!$A$166,'Données projet'!$B$166,DO70+DN71-DW70)))</f>
        <v>135.1282051282052</v>
      </c>
      <c r="DP71" s="17">
        <f>DO71*VLOOKUP('Données projet'!$B$14,Paramètres!$A$1:$I$89,3,0)*VLOOKUP('Données projet'!$B$14,Paramètres!$A$1:$I$89,5,0)</f>
        <v>118.04800000000007</v>
      </c>
      <c r="DQ71" s="13">
        <f t="shared" si="97"/>
        <v>31.219293702767786</v>
      </c>
      <c r="DR71" s="20">
        <f t="shared" si="70"/>
        <v>259.97386986565402</v>
      </c>
      <c r="DS71" s="59">
        <f t="shared" si="71"/>
        <v>525.42025399287286</v>
      </c>
      <c r="DT71" s="59">
        <f ca="1">AVERAGE(OFFSET($DS$3,0,0,'Données projet'!$E$14+1,1))-AVERAGE(OFFSET($H$3,0,0,'Données projet'!$E$14+1,1))</f>
        <v>253.82888243490106</v>
      </c>
      <c r="DU71" s="59">
        <f t="shared" si="98"/>
        <v>224.11983819941796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16.16207556726679</v>
      </c>
      <c r="EB71" s="21">
        <f>EXP(-LN(2)/25)*EB70+(1-EXP(-LN(2)/25))/(LN(2)/25)*Calculateur!DW71*Calculateur!DY71*VLOOKUP('Données projet'!$B$14,Paramètres!$A$1:$I$89,3,0)*0.475*44/12</f>
        <v>9.9820956230800384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26.144171190346828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16.050000000000004</v>
      </c>
      <c r="N72" s="13">
        <f>IF('Données projet'!$A$36&gt;35,N71+M72-V71,IF(A72&lt;'Données projet'!$A$36,$K$205^A72,IF(A72='Données projet'!$A$36,'Données projet'!$B$36,N71+M72-V71)))</f>
        <v>433.68999999999988</v>
      </c>
      <c r="O72" s="13">
        <f>N72*VLOOKUP('Données projet'!$B$9,Paramètres!$A$1:$I$89,3,0)*VLOOKUP('Données projet'!$B$9,Paramètres!$A$1:$I$89,5,0)</f>
        <v>202.96691999999993</v>
      </c>
      <c r="P72" s="13">
        <f t="shared" si="87"/>
        <v>50.395647071710499</v>
      </c>
      <c r="Q72" s="20">
        <f t="shared" si="54"/>
        <v>441.27313764989566</v>
      </c>
      <c r="R72" s="59">
        <f t="shared" si="55"/>
        <v>707.20329799996216</v>
      </c>
      <c r="S72" s="59">
        <f ca="1">AVERAGE(OFFSET($R$3,0,0,'Données projet'!$E$9+1,1))-AVERAGE(OFFSET($H$3,0,0,'Données projet'!$E$9+1,1))</f>
        <v>387.50901594883317</v>
      </c>
      <c r="T72" s="59">
        <f t="shared" si="88"/>
        <v>361.3623790401972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61.207014669634788</v>
      </c>
      <c r="AA72" s="21">
        <f>EXP(-LN(2)/25)*AA71+(1-EXP(-LN(2)/25))/(LN(2)/25)*Calculateur!V72*Calculateur!X72*VLOOKUP('Données projet'!$B$9,Paramètres!$A$1:$I$89,3,0)*0.475*44/12</f>
        <v>36.937604627435107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98.144619297069895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11.896999999999997</v>
      </c>
      <c r="AI72" s="13">
        <f>IF('Données projet'!$A$62&gt;35,AI71+AH72-AQ71,IF(A72&lt;'Données projet'!$A$62,$AF$205^A72,IF(A72='Données projet'!$A$62,'Données projet'!$B$62,AI71+AH72-AQ71)))</f>
        <v>478.16300000000012</v>
      </c>
      <c r="AJ72" s="13">
        <f>AI72*VLOOKUP('Données projet'!$B$10,Paramètres!$A$1:$I$89,3,0)*VLOOKUP('Données projet'!$B$10,Paramètres!$A$1:$I$89,5,0)</f>
        <v>285.94147400000008</v>
      </c>
      <c r="AK72" s="13">
        <f t="shared" si="89"/>
        <v>68.221074600056156</v>
      </c>
      <c r="AL72" s="20">
        <f t="shared" si="58"/>
        <v>616.83310547843132</v>
      </c>
      <c r="AM72" s="59">
        <f t="shared" si="59"/>
        <v>882.76326582849788</v>
      </c>
      <c r="AN72" s="59">
        <f ca="1">AVERAGE(OFFSET($AM$3,0,0,'Données projet'!$E$10+1,1))-AVERAGE(OFFSET($H$3,0,0,'Données projet'!$E$10+1,1))</f>
        <v>373.47758082856359</v>
      </c>
      <c r="AO72" s="59">
        <f t="shared" si="90"/>
        <v>277.24895424120166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35.054438024561826</v>
      </c>
      <c r="AV72" s="21">
        <f>EXP(-LN(2)/25)*AV71+(1-EXP(-LN(2)/25))/(LN(2)/25)*Calculateur!AQ72*Calculateur!AS72*VLOOKUP('Données projet'!$B$10,Paramètres!$A$1:$I$89,3,0)*0.475*44/12</f>
        <v>26.840348166780228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61.89478619134205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8.8662500000000044</v>
      </c>
      <c r="BD72" s="12">
        <f>IF('Données projet'!$A$88&gt;35,BD71+BC72-BL71,IF(A72&lt;'Données projet'!$A$88,$BA$205^A72,IF(A72='Données projet'!$A$88,'Données projet'!$B$88,BD71+BC72-BL71)))</f>
        <v>241.64875000000015</v>
      </c>
      <c r="BE72" s="13">
        <f>BD72*VLOOKUP('Données projet'!$B$11,Paramètres!$A$1:$I$89,3,0)*VLOOKUP('Données projet'!$B$11,Paramètres!$A$1:$I$89,5,0)</f>
        <v>218.64378900000014</v>
      </c>
      <c r="BF72" s="13">
        <f t="shared" si="91"/>
        <v>53.820013961218514</v>
      </c>
      <c r="BG72" s="20">
        <f t="shared" si="61"/>
        <v>474.54112349078923</v>
      </c>
      <c r="BH72" s="59">
        <f t="shared" si="62"/>
        <v>740.47128384085579</v>
      </c>
      <c r="BI72" s="59">
        <f ca="1">AVERAGE(OFFSET($BH$3,0,0,'Données projet'!$E$11+1,1))-AVERAGE(OFFSET($H$3,0,0,'Données projet'!$E$11+1,1))</f>
        <v>627.65081154031589</v>
      </c>
      <c r="BJ72" s="59">
        <f t="shared" si="92"/>
        <v>288.78083487077618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23.216760642391815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23.216760642391815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8.8662500000000044</v>
      </c>
      <c r="BY72" s="12">
        <f>IF('Données projet'!$A$114&gt;35,BY71+BX72-CG71,IF(A72&lt;'Données projet'!$A$114,$BV$205^A72,IF(A72='Données projet'!$A$114,'Données projet'!$B$114,BY71+BX72-CG71)))</f>
        <v>241.64875000000015</v>
      </c>
      <c r="BZ72" s="13">
        <f>BY72*VLOOKUP('Données projet'!$B$12,Paramètres!$A$1:$I$89,3,0)*VLOOKUP('Données projet'!$B$12,Paramètres!$A$1:$I$89,5,0)</f>
        <v>245.03183250000018</v>
      </c>
      <c r="CA72" s="13">
        <f t="shared" si="93"/>
        <v>59.520842912770703</v>
      </c>
      <c r="CB72" s="20">
        <f t="shared" si="64"/>
        <v>530.42924301057599</v>
      </c>
      <c r="CC72" s="59">
        <f t="shared" si="65"/>
        <v>796.35940336064255</v>
      </c>
      <c r="CD72" s="59">
        <f ca="1">AVERAGE(OFFSET($CC$3,0,0,'Données projet'!$E$12+1,1))-AVERAGE(OFFSET($H$3,0,0,'Données projet'!$E$12+1,1))</f>
        <v>692.2706942067415</v>
      </c>
      <c r="CE72" s="59">
        <f t="shared" si="94"/>
        <v>316.17529091924803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26.018783478542552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26.018783478542552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8.8662500000000044</v>
      </c>
      <c r="CT72" s="12">
        <f>IF('Données projet'!$A$140&gt;35,CT71+CS72-DB71,IF(A72&lt;'Données projet'!$A$140,$CQ$205^A72,IF(A72='Données projet'!$A$140,'Données projet'!$B$140,CT71+CS72-DB71)))</f>
        <v>241.64875000000015</v>
      </c>
      <c r="CU72" s="17">
        <f>CT72*VLOOKUP('Données projet'!$B$13,Paramètres!$A$1:$I$89,3,0)*VLOOKUP('Données projet'!$B$13,Paramètres!$A$1:$I$89,5,0)</f>
        <v>275.18959650000016</v>
      </c>
      <c r="CV72" s="13">
        <f t="shared" si="95"/>
        <v>65.949409329454966</v>
      </c>
      <c r="CW72" s="20">
        <f t="shared" si="67"/>
        <v>594.15043515296759</v>
      </c>
      <c r="CX72" s="59">
        <f t="shared" si="68"/>
        <v>860.08059550303415</v>
      </c>
      <c r="CY72" s="59">
        <f ca="1">AVERAGE(OFFSET($CX$3,0,0,'Données projet'!$E$13+1,1))-AVERAGE(OFFSET($H$3,0,0,'Données projet'!$E$13+1,1))</f>
        <v>765.9523557587147</v>
      </c>
      <c r="CZ72" s="59">
        <f t="shared" si="96"/>
        <v>347.40395092312815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29.221095291286257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29.221095291286257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2.9487179487179476</v>
      </c>
      <c r="DO72" s="12">
        <f>IF('Données projet'!$A$166&gt;35,DO71+DN72-DW71,IF(A72&lt;'Données projet'!$A$166,$DL$205^A72,IF(A72='Données projet'!$A$166,'Données projet'!$B$166,DO71+DN72-DW71)))</f>
        <v>138.07692307692315</v>
      </c>
      <c r="DP72" s="17">
        <f>DO72*VLOOKUP('Données projet'!$B$14,Paramètres!$A$1:$I$89,3,0)*VLOOKUP('Données projet'!$B$14,Paramètres!$A$1:$I$89,5,0)</f>
        <v>120.62400000000008</v>
      </c>
      <c r="DQ72" s="13">
        <f t="shared" si="97"/>
        <v>31.820493086332782</v>
      </c>
      <c r="DR72" s="20">
        <f t="shared" si="70"/>
        <v>265.50749212536306</v>
      </c>
      <c r="DS72" s="59">
        <f t="shared" si="71"/>
        <v>531.43765247542956</v>
      </c>
      <c r="DT72" s="59">
        <f ca="1">AVERAGE(OFFSET($DS$3,0,0,'Données projet'!$E$14+1,1))-AVERAGE(OFFSET($H$3,0,0,'Données projet'!$E$14+1,1))</f>
        <v>253.82888243490106</v>
      </c>
      <c r="DU72" s="59">
        <f t="shared" si="98"/>
        <v>224.11983819941796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15.845147123285399</v>
      </c>
      <c r="EB72" s="21">
        <f>EXP(-LN(2)/25)*EB71+(1-EXP(-LN(2)/25))/(LN(2)/25)*Calculateur!DW72*Calculateur!DY72*VLOOKUP('Données projet'!$B$14,Paramètres!$A$1:$I$89,3,0)*0.475*44/12</f>
        <v>9.7091346933313201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25.554281816616719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16.050000000000004</v>
      </c>
      <c r="N73" s="13">
        <f>IF('Données projet'!$A$36&gt;35,N72+M73-V72,IF(A73&lt;'Données projet'!$A$36,$K$205^A73,IF(A73='Données projet'!$A$36,'Données projet'!$B$36,N72+M73-V72)))</f>
        <v>449.7399999999999</v>
      </c>
      <c r="O73" s="13">
        <f>N73*VLOOKUP('Données projet'!$B$9,Paramètres!$A$1:$I$89,3,0)*VLOOKUP('Données projet'!$B$9,Paramètres!$A$1:$I$89,5,0)</f>
        <v>210.47831999999997</v>
      </c>
      <c r="P73" s="13">
        <f t="shared" si="87"/>
        <v>52.040096808248755</v>
      </c>
      <c r="Q73" s="20">
        <f t="shared" si="54"/>
        <v>457.21957594103316</v>
      </c>
      <c r="R73" s="59">
        <f t="shared" si="55"/>
        <v>723.62512007804264</v>
      </c>
      <c r="S73" s="59">
        <f ca="1">AVERAGE(OFFSET($R$3,0,0,'Données projet'!$E$9+1,1))-AVERAGE(OFFSET($H$3,0,0,'Données projet'!$E$9+1,1))</f>
        <v>387.50901594883317</v>
      </c>
      <c r="T73" s="59">
        <f t="shared" si="88"/>
        <v>361.3623790401972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60.00678244455591</v>
      </c>
      <c r="AA73" s="21">
        <f>EXP(-LN(2)/25)*AA72+(1-EXP(-LN(2)/25))/(LN(2)/25)*Calculateur!V73*Calculateur!X73*VLOOKUP('Données projet'!$B$9,Paramètres!$A$1:$I$89,3,0)*0.475*44/12</f>
        <v>35.927543886433689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95.934326330989592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490.06</v>
      </c>
      <c r="AG73" s="12">
        <f>VLOOKUP(A73,'Données projet'!$A$61:$I$81,9,0)</f>
        <v>11.896999999999997</v>
      </c>
      <c r="AH73" s="12">
        <f t="array" ref="AH73">INDEX(AG:AG,MIN(IF(ISNUMBER(AG73:AG269),ROW(AG73:AG269),"")))</f>
        <v>11.896999999999997</v>
      </c>
      <c r="AI73" s="13">
        <f>IF('Données projet'!$A$62&gt;35,AI72+AH73-AQ72,IF(A73&lt;'Données projet'!$A$62,$AF$205^A73,IF(A73='Données projet'!$A$62,'Données projet'!$B$62,AI72+AH73-AQ72)))</f>
        <v>490.06000000000012</v>
      </c>
      <c r="AJ73" s="13">
        <f>AI73*VLOOKUP('Données projet'!$B$10,Paramètres!$A$1:$I$89,3,0)*VLOOKUP('Données projet'!$B$10,Paramètres!$A$1:$I$89,5,0)</f>
        <v>293.05588000000012</v>
      </c>
      <c r="AK73" s="13">
        <f t="shared" si="89"/>
        <v>69.718730961493122</v>
      </c>
      <c r="AL73" s="20">
        <f t="shared" si="58"/>
        <v>631.83244742460067</v>
      </c>
      <c r="AM73" s="59">
        <f t="shared" si="59"/>
        <v>898.23799156161022</v>
      </c>
      <c r="AN73" s="59">
        <f ca="1">AVERAGE(OFFSET($AM$3,0,0,'Données projet'!$E$10+1,1))-AVERAGE(OFFSET($H$3,0,0,'Données projet'!$E$10+1,1))</f>
        <v>373.47758082856359</v>
      </c>
      <c r="AO73" s="59">
        <f t="shared" si="90"/>
        <v>277.24895424120166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67.88</v>
      </c>
      <c r="AR73" s="16">
        <f>IF(ISNA(VLOOKUP(A73,'Données projet'!$A$61:$I$81,5,0)),0%,VLOOKUP(A73,'Données projet'!$A$61:$I$81,5,0)*VLOOKUP('Données projet'!$B$10,Paramètres!$A$1:$I$89,7,0))</f>
        <v>0.315</v>
      </c>
      <c r="AS73" s="16">
        <f>IF(ISNA(VLOOKUP(A73,'Données projet'!$A$61:$I$81,6,0)),0%,VLOOKUP(A73,'Données projet'!$A$61:$I$81,6,0)*VLOOKUP('Données projet'!$B$10,Paramètres!$A$1:$I$89,7,0))</f>
        <v>0.13500000000000001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51.329232042457562</v>
      </c>
      <c r="AV73" s="21">
        <f>EXP(-LN(2)/25)*AV72+(1-EXP(-LN(2)/25))/(LN(2)/25)*Calculateur!AQ73*Calculateur!AS73*VLOOKUP('Données projet'!$B$10,Paramètres!$A$1:$I$89,3,0)*0.475*44/12</f>
        <v>33.347284674976294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84.676516717433856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8.8662500000000044</v>
      </c>
      <c r="BD73" s="12">
        <f>IF('Données projet'!$A$88&gt;35,BD72+BC73-BL72,IF(A73&lt;'Données projet'!$A$88,$BA$205^A73,IF(A73='Données projet'!$A$88,'Données projet'!$B$88,BD72+BC73-BL72)))</f>
        <v>250.51500000000016</v>
      </c>
      <c r="BE73" s="13">
        <f>BD73*VLOOKUP('Données projet'!$B$11,Paramètres!$A$1:$I$89,3,0)*VLOOKUP('Données projet'!$B$11,Paramètres!$A$1:$I$89,5,0)</f>
        <v>226.66597200000012</v>
      </c>
      <c r="BF73" s="13">
        <f t="shared" si="91"/>
        <v>55.561175235972904</v>
      </c>
      <c r="BG73" s="20">
        <f t="shared" si="61"/>
        <v>491.54561476931968</v>
      </c>
      <c r="BH73" s="59">
        <f t="shared" si="62"/>
        <v>757.95115890632917</v>
      </c>
      <c r="BI73" s="59">
        <f ca="1">AVERAGE(OFFSET($BH$3,0,0,'Données projet'!$E$11+1,1))-AVERAGE(OFFSET($H$3,0,0,'Données projet'!$E$11+1,1))</f>
        <v>627.65081154031589</v>
      </c>
      <c r="BJ73" s="59">
        <f t="shared" si="92"/>
        <v>288.78083487077618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22.761494127020239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22.761494127020239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8.8662500000000044</v>
      </c>
      <c r="BY73" s="12">
        <f>IF('Données projet'!$A$114&gt;35,BY72+BX73-CG72,IF(A73&lt;'Données projet'!$A$114,$BV$205^A73,IF(A73='Données projet'!$A$114,'Données projet'!$B$114,BY72+BX73-CG72)))</f>
        <v>250.51500000000016</v>
      </c>
      <c r="BZ73" s="13">
        <f>BY73*VLOOKUP('Données projet'!$B$12,Paramètres!$A$1:$I$89,3,0)*VLOOKUP('Données projet'!$B$12,Paramètres!$A$1:$I$89,5,0)</f>
        <v>254.02221000000017</v>
      </c>
      <c r="CA73" s="13">
        <f t="shared" si="93"/>
        <v>61.446434882983361</v>
      </c>
      <c r="CB73" s="20">
        <f t="shared" si="64"/>
        <v>549.44122317119627</v>
      </c>
      <c r="CC73" s="59">
        <f t="shared" si="65"/>
        <v>815.8467673082057</v>
      </c>
      <c r="CD73" s="59">
        <f ca="1">AVERAGE(OFFSET($CC$3,0,0,'Données projet'!$E$12+1,1))-AVERAGE(OFFSET($H$3,0,0,'Données projet'!$E$12+1,1))</f>
        <v>692.2706942067415</v>
      </c>
      <c r="CE73" s="59">
        <f t="shared" si="94"/>
        <v>316.17529091924803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25.508571004419235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25.508571004419235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8.8662500000000044</v>
      </c>
      <c r="CT73" s="12">
        <f>IF('Données projet'!$A$140&gt;35,CT72+CS73-DB72,IF(A73&lt;'Données projet'!$A$140,$CQ$205^A73,IF(A73='Données projet'!$A$140,'Données projet'!$B$140,CT72+CS73-DB72)))</f>
        <v>250.51500000000016</v>
      </c>
      <c r="CU73" s="17">
        <f>CT73*VLOOKUP('Données projet'!$B$13,Paramètres!$A$1:$I$89,3,0)*VLOOKUP('Données projet'!$B$13,Paramètres!$A$1:$I$89,5,0)</f>
        <v>285.28648200000015</v>
      </c>
      <c r="CV73" s="13">
        <f t="shared" si="95"/>
        <v>68.082975435552825</v>
      </c>
      <c r="CW73" s="20">
        <f t="shared" si="67"/>
        <v>615.45180503358813</v>
      </c>
      <c r="CX73" s="59">
        <f t="shared" si="68"/>
        <v>881.85734917059767</v>
      </c>
      <c r="CY73" s="59">
        <f ca="1">AVERAGE(OFFSET($CX$3,0,0,'Données projet'!$E$13+1,1))-AVERAGE(OFFSET($H$3,0,0,'Données projet'!$E$13+1,1))</f>
        <v>765.9523557587147</v>
      </c>
      <c r="CZ73" s="59">
        <f t="shared" si="96"/>
        <v>347.40395092312815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28.648087435732375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28.648087435732375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141.02564102564102</v>
      </c>
      <c r="DM73" s="12">
        <f>VLOOKUP(A73,'Données projet'!$A$165:$I$185,9,0)</f>
        <v>2.9487179487179476</v>
      </c>
      <c r="DN73" s="12">
        <f t="array" ref="DN73">INDEX(DM:DM,MIN(IF(ISNUMBER(DM73:DM269),ROW(DM73:DM269),"")))</f>
        <v>2.9487179487179476</v>
      </c>
      <c r="DO73" s="12">
        <f>IF('Données projet'!$A$166&gt;35,DO72+DN73-DW72,IF(A73&lt;'Données projet'!$A$166,$DL$205^A73,IF(A73='Données projet'!$A$166,'Données projet'!$B$166,DO72+DN73-DW72)))</f>
        <v>141.02564102564111</v>
      </c>
      <c r="DP73" s="17">
        <f>DO73*VLOOKUP('Données projet'!$B$14,Paramètres!$A$1:$I$89,3,0)*VLOOKUP('Données projet'!$B$14,Paramètres!$A$1:$I$89,5,0)</f>
        <v>123.20000000000007</v>
      </c>
      <c r="DQ73" s="13">
        <f t="shared" si="97"/>
        <v>32.420199748143155</v>
      </c>
      <c r="DR73" s="20">
        <f t="shared" si="70"/>
        <v>271.03851456134942</v>
      </c>
      <c r="DS73" s="59">
        <f t="shared" si="71"/>
        <v>537.44405869835896</v>
      </c>
      <c r="DT73" s="59">
        <f ca="1">AVERAGE(OFFSET($DS$3,0,0,'Données projet'!$E$14+1,1))-AVERAGE(OFFSET($H$3,0,0,'Données projet'!$E$14+1,1))</f>
        <v>253.82888243490106</v>
      </c>
      <c r="DU73" s="59">
        <f t="shared" si="98"/>
        <v>224.11983819941796</v>
      </c>
      <c r="DV73" s="15">
        <f>IF(ISNA(VLOOKUP(A73,'Données projet'!$A$165:$I$185,3,0)),0,VLOOKUP(A73,'Données projet'!$A$165:$I$185,3,0))</f>
        <v>13</v>
      </c>
      <c r="DW73" s="15">
        <f>IF(ISNA(VLOOKUP(A73,'Données projet'!$A$165:$I$185,4,0)),0,VLOOKUP(A73,'Données projet'!$A$165:$I$185,4,0))</f>
        <v>10.256410256410255</v>
      </c>
      <c r="DX73" s="16">
        <f>IF(ISNA(VLOOKUP(A73,'Données projet'!$A$165:$I$185,5,0)),0%,VLOOKUP(A73,'Données projet'!$A$165:$I$185,5,0)*VLOOKUP('Données projet'!$B$14,Paramètres!$A$1:$I$89,7,0))</f>
        <v>0.25800000000000001</v>
      </c>
      <c r="DY73" s="16">
        <f>IF(ISNA(VLOOKUP(A73,'Données projet'!$A$165:$I$185,6,0)),0%,VLOOKUP(A73,'Données projet'!$A$165:$I$185,6,0)*VLOOKUP('Données projet'!$B$14,Paramètres!$A$1:$I$89,7,0))</f>
        <v>0.129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18.089927219741949</v>
      </c>
      <c r="EB73" s="21">
        <f>EXP(-LN(2)/25)*EB72+(1-EXP(-LN(2)/25))/(LN(2)/25)*Calculateur!DW73*Calculateur!DY73*VLOOKUP('Données projet'!$B$14,Paramètres!$A$1:$I$89,3,0)*0.475*44/12</f>
        <v>10.716353801700347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28.806281021442295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>
        <f>VLOOKUP(A74,'Données projet'!$A$35:$I$55,2,0)</f>
        <v>465.79</v>
      </c>
      <c r="L74" s="12">
        <f>VLOOKUP(A74,'Données projet'!$A$35:$I$55,9,0)</f>
        <v>16.050000000000004</v>
      </c>
      <c r="M74" s="12">
        <f t="array" ref="M74">INDEX(L:L,MIN(IF(ISNUMBER(L74:L270),ROW(L74:L270),"")))</f>
        <v>16.050000000000004</v>
      </c>
      <c r="N74" s="13">
        <f>IF('Données projet'!$A$36&gt;35,N73+M74-V73,IF(A74&lt;'Données projet'!$A$36,$K$205^A74,IF(A74='Données projet'!$A$36,'Données projet'!$B$36,N73+M74-V73)))</f>
        <v>465.78999999999991</v>
      </c>
      <c r="O74" s="13">
        <f>N74*VLOOKUP('Données projet'!$B$9,Paramètres!$A$1:$I$89,3,0)*VLOOKUP('Données projet'!$B$9,Paramètres!$A$1:$I$89,5,0)</f>
        <v>217.98971999999995</v>
      </c>
      <c r="P74" s="13">
        <f t="shared" si="87"/>
        <v>53.677728140063088</v>
      </c>
      <c r="Q74" s="20">
        <f t="shared" si="54"/>
        <v>473.15413884394314</v>
      </c>
      <c r="R74" s="59">
        <f t="shared" si="55"/>
        <v>740.02681992199109</v>
      </c>
      <c r="S74" s="59">
        <f ca="1">AVERAGE(OFFSET($R$3,0,0,'Données projet'!$E$9+1,1))-AVERAGE(OFFSET($H$3,0,0,'Données projet'!$E$9+1,1))</f>
        <v>387.50901594883317</v>
      </c>
      <c r="T74" s="59">
        <f t="shared" si="88"/>
        <v>361.3623790401972</v>
      </c>
      <c r="U74" s="15">
        <f>IF(ISNA(VLOOKUP(A74,'Données projet'!$A$35:$I$55,3,0)),0,VLOOKUP(A74,'Données projet'!$A$35:$I$55,3,0))</f>
        <v>5</v>
      </c>
      <c r="V74" s="15">
        <f>IF(ISNA(VLOOKUP(A74,'Données projet'!$A$35:$I$55,4,0)),0,VLOOKUP(A74,'Données projet'!$A$35:$I$55,4,0))</f>
        <v>90.8</v>
      </c>
      <c r="W74" s="16">
        <f>IF(ISNA(VLOOKUP(A74,'Données projet'!$A$35:$I$55,5,0)),0%,VLOOKUP(A74,'Données projet'!$A$35:$I$55,5,0)*VLOOKUP('Données projet'!$B$9,Paramètres!$A$1:$I$89,7,0))</f>
        <v>0.38500000000000001</v>
      </c>
      <c r="X74" s="16">
        <f>IF(ISNA(VLOOKUP(A74,'Données projet'!$A$35:$I$55,6,0)),0%,VLOOKUP(A74,'Données projet'!$A$35:$I$55,6,0)*VLOOKUP('Données projet'!$B$9,Paramètres!$A$1:$I$89,7,0))</f>
        <v>0.16500000000000001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80.533136870505004</v>
      </c>
      <c r="AA74" s="21">
        <f>EXP(-LN(2)/25)*AA73+(1-EXP(-LN(2)/25))/(LN(2)/25)*Calculateur!V74*Calculateur!X74*VLOOKUP('Données projet'!$B$9,Paramètres!$A$1:$I$89,3,0)*0.475*44/12</f>
        <v>44.20978801602822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124.74292488653322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9.782</v>
      </c>
      <c r="AI74" s="13">
        <f>IF('Données projet'!$A$62&gt;35,AI73+AH74-AQ73,IF(A74&lt;'Données projet'!$A$62,$AF$205^A74,IF(A74='Données projet'!$A$62,'Données projet'!$B$62,AI73+AH74-AQ73)))</f>
        <v>431.9620000000001</v>
      </c>
      <c r="AJ74" s="13">
        <f>AI74*VLOOKUP('Données projet'!$B$10,Paramètres!$A$1:$I$89,3,0)*VLOOKUP('Données projet'!$B$10,Paramètres!$A$1:$I$89,5,0)</f>
        <v>258.31327600000009</v>
      </c>
      <c r="AK74" s="13">
        <f t="shared" si="89"/>
        <v>62.362700481716175</v>
      </c>
      <c r="AL74" s="20">
        <f t="shared" si="58"/>
        <v>558.51065903898916</v>
      </c>
      <c r="AM74" s="59">
        <f t="shared" si="59"/>
        <v>825.38334011703705</v>
      </c>
      <c r="AN74" s="59">
        <f ca="1">AVERAGE(OFFSET($AM$3,0,0,'Données projet'!$E$10+1,1))-AVERAGE(OFFSET($H$3,0,0,'Données projet'!$E$10+1,1))</f>
        <v>373.47758082856359</v>
      </c>
      <c r="AO74" s="59">
        <f t="shared" si="90"/>
        <v>277.24895424120166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50.32269710984513</v>
      </c>
      <c r="AV74" s="21">
        <f>EXP(-LN(2)/25)*AV73+(1-EXP(-LN(2)/25))/(LN(2)/25)*Calculateur!AQ74*Calculateur!AS74*VLOOKUP('Données projet'!$B$10,Paramètres!$A$1:$I$89,3,0)*0.475*44/12</f>
        <v>32.435401421881579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82.758098531726716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8.8662500000000044</v>
      </c>
      <c r="BD74" s="12">
        <f>IF('Données projet'!$A$88&gt;35,BD73+BC74-BL73,IF(A74&lt;'Données projet'!$A$88,$BA$205^A74,IF(A74='Données projet'!$A$88,'Données projet'!$B$88,BD73+BC74-BL73)))</f>
        <v>259.38125000000014</v>
      </c>
      <c r="BE74" s="13">
        <f>BD74*VLOOKUP('Données projet'!$B$11,Paramètres!$A$1:$I$89,3,0)*VLOOKUP('Données projet'!$B$11,Paramètres!$A$1:$I$89,5,0)</f>
        <v>234.68815500000011</v>
      </c>
      <c r="BF74" s="13">
        <f t="shared" si="91"/>
        <v>57.295176729679312</v>
      </c>
      <c r="BG74" s="20">
        <f t="shared" si="61"/>
        <v>508.53763609585832</v>
      </c>
      <c r="BH74" s="59">
        <f t="shared" si="62"/>
        <v>775.41031717390626</v>
      </c>
      <c r="BI74" s="59">
        <f ca="1">AVERAGE(OFFSET($BH$3,0,0,'Données projet'!$E$11+1,1))-AVERAGE(OFFSET($H$3,0,0,'Données projet'!$E$11+1,1))</f>
        <v>627.65081154031589</v>
      </c>
      <c r="BJ74" s="59">
        <f t="shared" si="92"/>
        <v>288.78083487077618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22.315155110329943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22.315155110329943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8.8662500000000044</v>
      </c>
      <c r="BY74" s="12">
        <f>IF('Données projet'!$A$114&gt;35,BY73+BX74-CG73,IF(A74&lt;'Données projet'!$A$114,$BV$205^A74,IF(A74='Données projet'!$A$114,'Données projet'!$B$114,BY73+BX74-CG73)))</f>
        <v>259.38125000000014</v>
      </c>
      <c r="BZ74" s="13">
        <f>BY74*VLOOKUP('Données projet'!$B$12,Paramètres!$A$1:$I$89,3,0)*VLOOKUP('Données projet'!$B$12,Paramètres!$A$1:$I$89,5,0)</f>
        <v>263.01258750000017</v>
      </c>
      <c r="CA74" s="13">
        <f t="shared" si="93"/>
        <v>63.364108679793951</v>
      </c>
      <c r="CB74" s="20">
        <f t="shared" si="64"/>
        <v>568.43941251314141</v>
      </c>
      <c r="CC74" s="59">
        <f t="shared" si="65"/>
        <v>835.3120935911893</v>
      </c>
      <c r="CD74" s="59">
        <f ca="1">AVERAGE(OFFSET($CC$3,0,0,'Données projet'!$E$12+1,1))-AVERAGE(OFFSET($H$3,0,0,'Données projet'!$E$12+1,1))</f>
        <v>692.2706942067415</v>
      </c>
      <c r="CE74" s="59">
        <f t="shared" si="94"/>
        <v>316.17529091924803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25.008363485714593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25.008363485714593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8.8662500000000044</v>
      </c>
      <c r="CT74" s="12">
        <f>IF('Données projet'!$A$140&gt;35,CT73+CS74-DB73,IF(A74&lt;'Données projet'!$A$140,$CQ$205^A74,IF(A74='Données projet'!$A$140,'Données projet'!$B$140,CT73+CS74-DB73)))</f>
        <v>259.38125000000014</v>
      </c>
      <c r="CU74" s="17">
        <f>CT74*VLOOKUP('Données projet'!$B$13,Paramètres!$A$1:$I$89,3,0)*VLOOKUP('Données projet'!$B$13,Paramètres!$A$1:$I$89,5,0)</f>
        <v>295.38336750000019</v>
      </c>
      <c r="CV74" s="13">
        <f t="shared" si="95"/>
        <v>70.20776816356549</v>
      </c>
      <c r="CW74" s="20">
        <f t="shared" si="67"/>
        <v>636.73789461404351</v>
      </c>
      <c r="CX74" s="59">
        <f t="shared" si="68"/>
        <v>903.61057569209152</v>
      </c>
      <c r="CY74" s="59">
        <f ca="1">AVERAGE(OFFSET($CX$3,0,0,'Données projet'!$E$13+1,1))-AVERAGE(OFFSET($H$3,0,0,'Données projet'!$E$13+1,1))</f>
        <v>765.9523557587147</v>
      </c>
      <c r="CZ74" s="59">
        <f t="shared" si="96"/>
        <v>347.40395092312815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28.086315914725624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28.086315914725624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2.4358974358974366</v>
      </c>
      <c r="DO74" s="12">
        <f>IF('Données projet'!$A$166&gt;35,DO73+DN74-DW73,IF(A74&lt;'Données projet'!$A$166,$DL$205^A74,IF(A74='Données projet'!$A$166,'Données projet'!$B$166,DO73+DN74-DW73)))</f>
        <v>133.20512820512829</v>
      </c>
      <c r="DP74" s="17">
        <f>DO74*VLOOKUP('Données projet'!$B$14,Paramètres!$A$1:$I$89,3,0)*VLOOKUP('Données projet'!$B$14,Paramètres!$A$1:$I$89,5,0)</f>
        <v>116.36800000000009</v>
      </c>
      <c r="DQ74" s="13">
        <f t="shared" si="97"/>
        <v>30.826385665835112</v>
      </c>
      <c r="DR74" s="20">
        <f t="shared" si="70"/>
        <v>256.36355503466297</v>
      </c>
      <c r="DS74" s="59">
        <f t="shared" si="71"/>
        <v>523.23623611271091</v>
      </c>
      <c r="DT74" s="59">
        <f ca="1">AVERAGE(OFFSET($DS$3,0,0,'Données projet'!$E$14+1,1))-AVERAGE(OFFSET($H$3,0,0,'Données projet'!$E$14+1,1))</f>
        <v>253.82888243490106</v>
      </c>
      <c r="DU74" s="59">
        <f t="shared" si="98"/>
        <v>224.11983819941796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17.735194780728918</v>
      </c>
      <c r="EB74" s="21">
        <f>EXP(-LN(2)/25)*EB73+(1-EXP(-LN(2)/25))/(LN(2)/25)*Calculateur!DW74*Calculateur!DY74*VLOOKUP('Données projet'!$B$14,Paramètres!$A$1:$I$89,3,0)*0.475*44/12</f>
        <v>10.423314543444297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28.158509324173217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15.115000000000002</v>
      </c>
      <c r="N75" s="13">
        <f>IF('Données projet'!$A$36&gt;35,N74+M75-V74,IF(A75&lt;'Données projet'!$A$36,$K$205^A75,IF(A75='Données projet'!$A$36,'Données projet'!$B$36,N74+M75-V74)))</f>
        <v>390.1049999999999</v>
      </c>
      <c r="O75" s="13">
        <f>N75*VLOOKUP('Données projet'!$B$9,Paramètres!$A$1:$I$89,3,0)*VLOOKUP('Données projet'!$B$9,Paramètres!$A$1:$I$89,5,0)</f>
        <v>182.56913999999995</v>
      </c>
      <c r="P75" s="13">
        <f t="shared" si="87"/>
        <v>45.893300175788823</v>
      </c>
      <c r="Q75" s="20">
        <f t="shared" si="54"/>
        <v>397.90541663949875</v>
      </c>
      <c r="R75" s="59">
        <f t="shared" si="55"/>
        <v>665.23713087701981</v>
      </c>
      <c r="S75" s="59">
        <f ca="1">AVERAGE(OFFSET($R$3,0,0,'Données projet'!$E$9+1,1))-AVERAGE(OFFSET($H$3,0,0,'Données projet'!$E$9+1,1))</f>
        <v>387.50901594883317</v>
      </c>
      <c r="T75" s="59">
        <f t="shared" si="88"/>
        <v>361.3623790401972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78.953931176837656</v>
      </c>
      <c r="AA75" s="21">
        <f>EXP(-LN(2)/25)*AA74+(1-EXP(-LN(2)/25))/(LN(2)/25)*Calculateur!V75*Calculateur!X75*VLOOKUP('Données projet'!$B$9,Paramètres!$A$1:$I$89,3,0)*0.475*44/12</f>
        <v>43.000869037838221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121.95480021467588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9.782</v>
      </c>
      <c r="AI75" s="13">
        <f>IF('Données projet'!$A$62&gt;35,AI74+AH75-AQ74,IF(A75&lt;'Données projet'!$A$62,$AF$205^A75,IF(A75='Données projet'!$A$62,'Données projet'!$B$62,AI74+AH75-AQ74)))</f>
        <v>441.74400000000009</v>
      </c>
      <c r="AJ75" s="13">
        <f>AI75*VLOOKUP('Données projet'!$B$10,Paramètres!$A$1:$I$89,3,0)*VLOOKUP('Données projet'!$B$10,Paramètres!$A$1:$I$89,5,0)</f>
        <v>264.16291200000006</v>
      </c>
      <c r="AK75" s="13">
        <f t="shared" si="89"/>
        <v>63.608920560680907</v>
      </c>
      <c r="AL75" s="20">
        <f t="shared" si="58"/>
        <v>570.86927504318601</v>
      </c>
      <c r="AM75" s="59">
        <f t="shared" si="59"/>
        <v>838.20098928070706</v>
      </c>
      <c r="AN75" s="59">
        <f ca="1">AVERAGE(OFFSET($AM$3,0,0,'Données projet'!$E$10+1,1))-AVERAGE(OFFSET($H$3,0,0,'Données projet'!$E$10+1,1))</f>
        <v>373.47758082856359</v>
      </c>
      <c r="AO75" s="59">
        <f t="shared" si="90"/>
        <v>277.24895424120166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49.335899713335543</v>
      </c>
      <c r="AV75" s="21">
        <f>EXP(-LN(2)/25)*AV74+(1-EXP(-LN(2)/25))/(LN(2)/25)*Calculateur!AQ75*Calculateur!AS75*VLOOKUP('Données projet'!$B$10,Paramètres!$A$1:$I$89,3,0)*0.475*44/12</f>
        <v>31.548453664296598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80.884353377632138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8.8662500000000044</v>
      </c>
      <c r="BD75" s="12">
        <f>IF('Données projet'!$A$88&gt;35,BD74+BC75-BL74,IF(A75&lt;'Données projet'!$A$88,$BA$205^A75,IF(A75='Données projet'!$A$88,'Données projet'!$B$88,BD74+BC75-BL74)))</f>
        <v>268.24750000000012</v>
      </c>
      <c r="BE75" s="13">
        <f>BD75*VLOOKUP('Données projet'!$B$11,Paramètres!$A$1:$I$89,3,0)*VLOOKUP('Données projet'!$B$11,Paramètres!$A$1:$I$89,5,0)</f>
        <v>242.71033800000009</v>
      </c>
      <c r="BF75" s="13">
        <f t="shared" si="91"/>
        <v>59.022291232778812</v>
      </c>
      <c r="BG75" s="20">
        <f t="shared" si="61"/>
        <v>525.51766258042323</v>
      </c>
      <c r="BH75" s="59">
        <f t="shared" si="62"/>
        <v>792.8493768179444</v>
      </c>
      <c r="BI75" s="59">
        <f ca="1">AVERAGE(OFFSET($BH$3,0,0,'Données projet'!$E$11+1,1))-AVERAGE(OFFSET($H$3,0,0,'Données projet'!$E$11+1,1))</f>
        <v>627.65081154031589</v>
      </c>
      <c r="BJ75" s="59">
        <f t="shared" si="92"/>
        <v>288.78083487077618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21.877568529517024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21.877568529517024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8.8662500000000044</v>
      </c>
      <c r="BY75" s="12">
        <f>IF('Données projet'!$A$114&gt;35,BY74+BX75-CG74,IF(A75&lt;'Données projet'!$A$114,$BV$205^A75,IF(A75='Données projet'!$A$114,'Données projet'!$B$114,BY74+BX75-CG74)))</f>
        <v>268.24750000000012</v>
      </c>
      <c r="BZ75" s="13">
        <f>BY75*VLOOKUP('Données projet'!$B$12,Paramètres!$A$1:$I$89,3,0)*VLOOKUP('Données projet'!$B$12,Paramètres!$A$1:$I$89,5,0)</f>
        <v>272.00296500000013</v>
      </c>
      <c r="CA75" s="13">
        <f t="shared" si="93"/>
        <v>65.274165988687102</v>
      </c>
      <c r="CB75" s="20">
        <f t="shared" si="64"/>
        <v>587.42433647196356</v>
      </c>
      <c r="CC75" s="59">
        <f t="shared" si="65"/>
        <v>854.75605070948473</v>
      </c>
      <c r="CD75" s="59">
        <f ca="1">AVERAGE(OFFSET($CC$3,0,0,'Données projet'!$E$12+1,1))-AVERAGE(OFFSET($H$3,0,0,'Données projet'!$E$12+1,1))</f>
        <v>692.2706942067415</v>
      </c>
      <c r="CE75" s="59">
        <f t="shared" si="94"/>
        <v>316.17529091924803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24.517964731355288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24.517964731355288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8.8662500000000044</v>
      </c>
      <c r="CT75" s="12">
        <f>IF('Données projet'!$A$140&gt;35,CT74+CS75-DB74,IF(A75&lt;'Données projet'!$A$140,$CQ$205^A75,IF(A75='Données projet'!$A$140,'Données projet'!$B$140,CT74+CS75-DB74)))</f>
        <v>268.24750000000012</v>
      </c>
      <c r="CU75" s="17">
        <f>CT75*VLOOKUP('Données projet'!$B$13,Paramètres!$A$1:$I$89,3,0)*VLOOKUP('Données projet'!$B$13,Paramètres!$A$1:$I$89,5,0)</f>
        <v>305.48025300000012</v>
      </c>
      <c r="CV75" s="13">
        <f t="shared" si="95"/>
        <v>72.324121782608003</v>
      </c>
      <c r="CW75" s="20">
        <f t="shared" si="67"/>
        <v>658.00928607970911</v>
      </c>
      <c r="CX75" s="59">
        <f t="shared" si="68"/>
        <v>925.34100031723028</v>
      </c>
      <c r="CY75" s="59">
        <f ca="1">AVERAGE(OFFSET($CX$3,0,0,'Données projet'!$E$13+1,1))-AVERAGE(OFFSET($H$3,0,0,'Données projet'!$E$13+1,1))</f>
        <v>765.9523557587147</v>
      </c>
      <c r="CZ75" s="59">
        <f t="shared" si="96"/>
        <v>347.40395092312815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27.53556039059902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27.53556039059902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2.4358974358974366</v>
      </c>
      <c r="DO75" s="12">
        <f>IF('Données projet'!$A$166&gt;35,DO74+DN75-DW74,IF(A75&lt;'Données projet'!$A$166,$DL$205^A75,IF(A75='Données projet'!$A$166,'Données projet'!$B$166,DO74+DN75-DW74)))</f>
        <v>135.64102564102572</v>
      </c>
      <c r="DP75" s="17">
        <f>DO75*VLOOKUP('Données projet'!$B$14,Paramètres!$A$1:$I$89,3,0)*VLOOKUP('Données projet'!$B$14,Paramètres!$A$1:$I$89,5,0)</f>
        <v>118.49600000000009</v>
      </c>
      <c r="DQ75" s="13">
        <f t="shared" si="97"/>
        <v>31.323958915838162</v>
      </c>
      <c r="DR75" s="20">
        <f t="shared" si="70"/>
        <v>260.93642844508491</v>
      </c>
      <c r="DS75" s="59">
        <f t="shared" si="71"/>
        <v>528.26814268260603</v>
      </c>
      <c r="DT75" s="59">
        <f ca="1">AVERAGE(OFFSET($DS$3,0,0,'Données projet'!$E$14+1,1))-AVERAGE(OFFSET($H$3,0,0,'Données projet'!$E$14+1,1))</f>
        <v>253.82888243490106</v>
      </c>
      <c r="DU75" s="59">
        <f t="shared" si="98"/>
        <v>224.11983819941796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17.38741842847951</v>
      </c>
      <c r="EB75" s="21">
        <f>EXP(-LN(2)/25)*EB74+(1-EXP(-LN(2)/25))/(LN(2)/25)*Calculateur!DW75*Calculateur!DY75*VLOOKUP('Données projet'!$B$14,Paramètres!$A$1:$I$89,3,0)*0.475*44/12</f>
        <v>10.138288459115524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27.525706887595035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15.115000000000002</v>
      </c>
      <c r="N76" s="13">
        <f>IF('Données projet'!$A$36&gt;35,N75+M76-V75,IF(A76&lt;'Données projet'!$A$36,$K$205^A76,IF(A76='Données projet'!$A$36,'Données projet'!$B$36,N75+M76-V75)))</f>
        <v>405.21999999999991</v>
      </c>
      <c r="O76" s="13">
        <f>N76*VLOOKUP('Données projet'!$B$9,Paramètres!$A$1:$I$89,3,0)*VLOOKUP('Données projet'!$B$9,Paramètres!$A$1:$I$89,5,0)</f>
        <v>189.64295999999996</v>
      </c>
      <c r="P76" s="13">
        <f t="shared" si="87"/>
        <v>47.461007737470666</v>
      </c>
      <c r="Q76" s="20">
        <f t="shared" si="54"/>
        <v>412.95607714276122</v>
      </c>
      <c r="R76" s="59">
        <f t="shared" si="55"/>
        <v>680.738861340683</v>
      </c>
      <c r="S76" s="59">
        <f ca="1">AVERAGE(OFFSET($R$3,0,0,'Données projet'!$E$9+1,1))-AVERAGE(OFFSET($H$3,0,0,'Données projet'!$E$9+1,1))</f>
        <v>387.50901594883317</v>
      </c>
      <c r="T76" s="59">
        <f t="shared" si="88"/>
        <v>361.3623790401972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77.405692743602771</v>
      </c>
      <c r="AA76" s="21">
        <f>EXP(-LN(2)/25)*AA75+(1-EXP(-LN(2)/25))/(LN(2)/25)*Calculateur!V76*Calculateur!X76*VLOOKUP('Données projet'!$B$9,Paramètres!$A$1:$I$89,3,0)*0.475*44/12</f>
        <v>41.82500801268111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119.23070075628388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9.782</v>
      </c>
      <c r="AI76" s="13">
        <f>IF('Données projet'!$A$62&gt;35,AI75+AH76-AQ75,IF(A76&lt;'Données projet'!$A$62,$AF$205^A76,IF(A76='Données projet'!$A$62,'Données projet'!$B$62,AI75+AH76-AQ75)))</f>
        <v>451.52600000000007</v>
      </c>
      <c r="AJ76" s="13">
        <f>AI76*VLOOKUP('Données projet'!$B$10,Paramètres!$A$1:$I$89,3,0)*VLOOKUP('Données projet'!$B$10,Paramètres!$A$1:$I$89,5,0)</f>
        <v>270.01254800000004</v>
      </c>
      <c r="AK76" s="13">
        <f t="shared" si="89"/>
        <v>64.851932282926271</v>
      </c>
      <c r="AL76" s="20">
        <f t="shared" si="58"/>
        <v>583.22230315943</v>
      </c>
      <c r="AM76" s="59">
        <f t="shared" si="59"/>
        <v>851.00508735735184</v>
      </c>
      <c r="AN76" s="59">
        <f ca="1">AVERAGE(OFFSET($AM$3,0,0,'Données projet'!$E$10+1,1))-AVERAGE(OFFSET($H$3,0,0,'Données projet'!$E$10+1,1))</f>
        <v>373.47758082856359</v>
      </c>
      <c r="AO76" s="59">
        <f t="shared" si="90"/>
        <v>277.24895424120166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48.368452811884524</v>
      </c>
      <c r="AV76" s="21">
        <f>EXP(-LN(2)/25)*AV75+(1-EXP(-LN(2)/25))/(LN(2)/25)*Calculateur!AQ76*Calculateur!AS76*VLOOKUP('Données projet'!$B$10,Paramètres!$A$1:$I$89,3,0)*0.475*44/12</f>
        <v>30.685759539785334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79.054212351669861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8.8662500000000044</v>
      </c>
      <c r="BD76" s="12">
        <f>IF('Données projet'!$A$88&gt;35,BD75+BC76-BL75,IF(A76&lt;'Données projet'!$A$88,$BA$205^A76,IF(A76='Données projet'!$A$88,'Données projet'!$B$88,BD75+BC76-BL75)))</f>
        <v>277.1137500000001</v>
      </c>
      <c r="BE76" s="13">
        <f>BD76*VLOOKUP('Données projet'!$B$11,Paramètres!$A$1:$I$89,3,0)*VLOOKUP('Données projet'!$B$11,Paramètres!$A$1:$I$89,5,0)</f>
        <v>250.73252100000005</v>
      </c>
      <c r="BF76" s="13">
        <f t="shared" si="91"/>
        <v>60.74277247950485</v>
      </c>
      <c r="BG76" s="20">
        <f t="shared" si="61"/>
        <v>542.48613614347107</v>
      </c>
      <c r="BH76" s="59">
        <f t="shared" si="62"/>
        <v>810.26892034139291</v>
      </c>
      <c r="BI76" s="59">
        <f ca="1">AVERAGE(OFFSET($BH$3,0,0,'Données projet'!$E$11+1,1))-AVERAGE(OFFSET($H$3,0,0,'Données projet'!$E$11+1,1))</f>
        <v>627.65081154031589</v>
      </c>
      <c r="BJ76" s="59">
        <f t="shared" si="92"/>
        <v>288.78083487077618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21.448562754652389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21.448562754652389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8.8662500000000044</v>
      </c>
      <c r="BY76" s="12">
        <f>IF('Données projet'!$A$114&gt;35,BY75+BX76-CG75,IF(A76&lt;'Données projet'!$A$114,$BV$205^A76,IF(A76='Données projet'!$A$114,'Données projet'!$B$114,BY75+BX76-CG75)))</f>
        <v>277.1137500000001</v>
      </c>
      <c r="BZ76" s="13">
        <f>BY76*VLOOKUP('Données projet'!$B$12,Paramètres!$A$1:$I$89,3,0)*VLOOKUP('Données projet'!$B$12,Paramètres!$A$1:$I$89,5,0)</f>
        <v>280.9933425000001</v>
      </c>
      <c r="CA76" s="13">
        <f t="shared" si="93"/>
        <v>67.176887420430603</v>
      </c>
      <c r="CB76" s="20">
        <f t="shared" si="64"/>
        <v>606.39648377808339</v>
      </c>
      <c r="CC76" s="59">
        <f t="shared" si="65"/>
        <v>874.17926797600512</v>
      </c>
      <c r="CD76" s="59">
        <f ca="1">AVERAGE(OFFSET($CC$3,0,0,'Données projet'!$E$12+1,1))-AVERAGE(OFFSET($H$3,0,0,'Données projet'!$E$12+1,1))</f>
        <v>692.2706942067415</v>
      </c>
      <c r="CE76" s="59">
        <f t="shared" si="94"/>
        <v>316.17529091924803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24.037182397455265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24.037182397455265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8.8662500000000044</v>
      </c>
      <c r="CT76" s="12">
        <f>IF('Données projet'!$A$140&gt;35,CT75+CS76-DB75,IF(A76&lt;'Données projet'!$A$140,$CQ$205^A76,IF(A76='Données projet'!$A$140,'Données projet'!$B$140,CT75+CS76-DB75)))</f>
        <v>277.1137500000001</v>
      </c>
      <c r="CU76" s="17">
        <f>CT76*VLOOKUP('Données projet'!$B$13,Paramètres!$A$1:$I$89,3,0)*VLOOKUP('Données projet'!$B$13,Paramètres!$A$1:$I$89,5,0)</f>
        <v>315.5771385000001</v>
      </c>
      <c r="CV76" s="13">
        <f t="shared" si="95"/>
        <v>74.432347210898442</v>
      </c>
      <c r="CW76" s="20">
        <f t="shared" si="67"/>
        <v>679.26652094648159</v>
      </c>
      <c r="CX76" s="59">
        <f t="shared" si="68"/>
        <v>947.04930514440343</v>
      </c>
      <c r="CY76" s="59">
        <f ca="1">AVERAGE(OFFSET($CX$3,0,0,'Données projet'!$E$13+1,1))-AVERAGE(OFFSET($H$3,0,0,'Données projet'!$E$13+1,1))</f>
        <v>765.9523557587147</v>
      </c>
      <c r="CZ76" s="59">
        <f t="shared" si="96"/>
        <v>347.40395092312815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26.995604846372839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26.995604846372839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2.4358974358974366</v>
      </c>
      <c r="DO76" s="12">
        <f>IF('Données projet'!$A$166&gt;35,DO75+DN76-DW75,IF(A76&lt;'Données projet'!$A$166,$DL$205^A76,IF(A76='Données projet'!$A$166,'Données projet'!$B$166,DO75+DN76-DW75)))</f>
        <v>138.07692307692315</v>
      </c>
      <c r="DP76" s="17">
        <f>DO76*VLOOKUP('Données projet'!$B$14,Paramètres!$A$1:$I$89,3,0)*VLOOKUP('Données projet'!$B$14,Paramètres!$A$1:$I$89,5,0)</f>
        <v>120.62400000000008</v>
      </c>
      <c r="DQ76" s="13">
        <f t="shared" si="97"/>
        <v>31.820493086332782</v>
      </c>
      <c r="DR76" s="20">
        <f t="shared" si="70"/>
        <v>265.50749212536306</v>
      </c>
      <c r="DS76" s="59">
        <f t="shared" si="71"/>
        <v>533.29027632328484</v>
      </c>
      <c r="DT76" s="59">
        <f ca="1">AVERAGE(OFFSET($DS$3,0,0,'Données projet'!$E$14+1,1))-AVERAGE(OFFSET($H$3,0,0,'Données projet'!$E$14+1,1))</f>
        <v>253.82888243490106</v>
      </c>
      <c r="DU76" s="59">
        <f t="shared" si="98"/>
        <v>224.11983819941796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17.046461758375084</v>
      </c>
      <c r="EB76" s="21">
        <f>EXP(-LN(2)/25)*EB75+(1-EXP(-LN(2)/25))/(LN(2)/25)*Calculateur!DW76*Calculateur!DY76*VLOOKUP('Données projet'!$B$14,Paramètres!$A$1:$I$89,3,0)*0.475*44/12</f>
        <v>9.8610564280515902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26.907518186426675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15.115000000000002</v>
      </c>
      <c r="N77" s="13">
        <f>IF('Données projet'!$A$36&gt;35,N76+M77-V76,IF(A77&lt;'Données projet'!$A$36,$K$205^A77,IF(A77='Données projet'!$A$36,'Données projet'!$B$36,N76+M77-V76)))</f>
        <v>420.33499999999992</v>
      </c>
      <c r="O77" s="13">
        <f>N77*VLOOKUP('Données projet'!$B$9,Paramètres!$A$1:$I$89,3,0)*VLOOKUP('Données projet'!$B$9,Paramètres!$A$1:$I$89,5,0)</f>
        <v>196.71677999999994</v>
      </c>
      <c r="P77" s="13">
        <f t="shared" si="87"/>
        <v>49.021921710754086</v>
      </c>
      <c r="Q77" s="20">
        <f t="shared" si="54"/>
        <v>427.99490547956322</v>
      </c>
      <c r="R77" s="59">
        <f t="shared" si="55"/>
        <v>696.22093458251402</v>
      </c>
      <c r="S77" s="59">
        <f ca="1">AVERAGE(OFFSET($R$3,0,0,'Données projet'!$E$9+1,1))-AVERAGE(OFFSET($H$3,0,0,'Données projet'!$E$9+1,1))</f>
        <v>387.50901594883317</v>
      </c>
      <c r="T77" s="59">
        <f t="shared" si="88"/>
        <v>361.3623790401972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75.887814321711417</v>
      </c>
      <c r="AA77" s="21">
        <f>EXP(-LN(2)/25)*AA76+(1-EXP(-LN(2)/25))/(LN(2)/25)*Calculateur!V77*Calculateur!X77*VLOOKUP('Données projet'!$B$9,Paramètres!$A$1:$I$89,3,0)*0.475*44/12</f>
        <v>40.681300969092767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116.56911529080418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9.782</v>
      </c>
      <c r="AI77" s="13">
        <f>IF('Données projet'!$A$62&gt;35,AI76+AH77-AQ76,IF(A77&lt;'Données projet'!$A$62,$AF$205^A77,IF(A77='Données projet'!$A$62,'Données projet'!$B$62,AI76+AH77-AQ76)))</f>
        <v>461.30800000000005</v>
      </c>
      <c r="AJ77" s="13">
        <f>AI77*VLOOKUP('Données projet'!$B$10,Paramètres!$A$1:$I$89,3,0)*VLOOKUP('Données projet'!$B$10,Paramètres!$A$1:$I$89,5,0)</f>
        <v>275.86218400000007</v>
      </c>
      <c r="AK77" s="13">
        <f t="shared" si="89"/>
        <v>66.091813160377626</v>
      </c>
      <c r="AL77" s="20">
        <f t="shared" si="58"/>
        <v>595.5698783876577</v>
      </c>
      <c r="AM77" s="59">
        <f t="shared" si="59"/>
        <v>863.79590749060856</v>
      </c>
      <c r="AN77" s="59">
        <f ca="1">AVERAGE(OFFSET($AM$3,0,0,'Données projet'!$E$10+1,1))-AVERAGE(OFFSET($H$3,0,0,'Données projet'!$E$10+1,1))</f>
        <v>373.47758082856359</v>
      </c>
      <c r="AO77" s="59">
        <f t="shared" si="90"/>
        <v>277.24895424120166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47.419976954086621</v>
      </c>
      <c r="AV77" s="21">
        <f>EXP(-LN(2)/25)*AV76+(1-EXP(-LN(2)/25))/(LN(2)/25)*Calculateur!AQ77*Calculateur!AS77*VLOOKUP('Données projet'!$B$10,Paramètres!$A$1:$I$89,3,0)*0.475*44/12</f>
        <v>29.846655831475942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77.266632785562564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>
        <f>VLOOKUP(A77,'Données projet'!$A$87:$I$107,2,0)</f>
        <v>285.98</v>
      </c>
      <c r="BB77" s="12">
        <f>VLOOKUP(A77,'Données projet'!$A$87:$I$107,9,0)</f>
        <v>8.8662500000000044</v>
      </c>
      <c r="BC77" s="12">
        <f t="array" ref="BC77">INDEX(BB:BB,MIN(IF(ISNUMBER(BB77:BB273),ROW(BB77:BB273),"")))</f>
        <v>8.8662500000000044</v>
      </c>
      <c r="BD77" s="12">
        <f>IF('Données projet'!$A$88&gt;35,BD76+BC77-BL76,IF(A77&lt;'Données projet'!$A$88,$BA$205^A77,IF(A77='Données projet'!$A$88,'Données projet'!$B$88,BD76+BC77-BL76)))</f>
        <v>285.98000000000008</v>
      </c>
      <c r="BE77" s="13">
        <f>BD77*VLOOKUP('Données projet'!$B$11,Paramètres!$A$1:$I$89,3,0)*VLOOKUP('Données projet'!$B$11,Paramètres!$A$1:$I$89,5,0)</f>
        <v>258.75470400000006</v>
      </c>
      <c r="BF77" s="13">
        <f t="shared" si="91"/>
        <v>62.456857045748947</v>
      </c>
      <c r="BG77" s="20">
        <f t="shared" si="61"/>
        <v>559.4434688213463</v>
      </c>
      <c r="BH77" s="59">
        <f t="shared" si="62"/>
        <v>827.66949792429716</v>
      </c>
      <c r="BI77" s="59">
        <f ca="1">AVERAGE(OFFSET($BH$3,0,0,'Données projet'!$E$11+1,1))-AVERAGE(OFFSET($H$3,0,0,'Données projet'!$E$11+1,1))</f>
        <v>627.65081154031589</v>
      </c>
      <c r="BJ77" s="59">
        <f t="shared" si="92"/>
        <v>288.78083487077618</v>
      </c>
      <c r="BK77" s="15">
        <f>IF(ISNA(VLOOKUP(A77,'Données projet'!$A$87:$I$107,3,0)),0,VLOOKUP(A77,'Données projet'!$A$87:$I$107,3,0))</f>
        <v>5</v>
      </c>
      <c r="BL77" s="15">
        <f>IF(ISNA(VLOOKUP(A77,'Données projet'!$A$87:$I$107,4,0)),0,VLOOKUP(A77,'Données projet'!$A$87:$I$107,4,0))</f>
        <v>47.4</v>
      </c>
      <c r="BM77" s="16">
        <f>IF(ISNA(VLOOKUP(A77,'Données projet'!$A$87:$I$107,5,0)),0%,VLOOKUP(A77,'Données projet'!$A$87:$I$107,5,0)*VLOOKUP('Données projet'!$B$11,Paramètres!$A$1:$I$89,7,0))</f>
        <v>0.25800000000000001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33.259977338364926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33.259977338364926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285.98</v>
      </c>
      <c r="BW77" s="12">
        <f>VLOOKUP(A77,'Données projet'!$A$113:$I$133,9,0)</f>
        <v>8.8662500000000044</v>
      </c>
      <c r="BX77" s="12">
        <f t="array" ref="BX77">INDEX(BW:BW,MIN(IF(ISNUMBER(BW77:BW273),ROW(BW77:BW273),"")))</f>
        <v>8.8662500000000044</v>
      </c>
      <c r="BY77" s="12">
        <f>IF('Données projet'!$A$114&gt;35,BY76+BX77-CG76,IF(A77&lt;'Données projet'!$A$114,$BV$205^A77,IF(A77='Données projet'!$A$114,'Données projet'!$B$114,BY76+BX77-CG76)))</f>
        <v>285.98000000000008</v>
      </c>
      <c r="BZ77" s="13">
        <f>BY77*VLOOKUP('Données projet'!$B$12,Paramètres!$A$1:$I$89,3,0)*VLOOKUP('Données projet'!$B$12,Paramètres!$A$1:$I$89,5,0)</f>
        <v>289.98372000000012</v>
      </c>
      <c r="CA77" s="13">
        <f t="shared" si="93"/>
        <v>69.072534609971271</v>
      </c>
      <c r="CB77" s="20">
        <f t="shared" si="64"/>
        <v>625.35631011236683</v>
      </c>
      <c r="CC77" s="59">
        <f t="shared" si="65"/>
        <v>893.58233921531769</v>
      </c>
      <c r="CD77" s="59">
        <f ca="1">AVERAGE(OFFSET($CC$3,0,0,'Données projet'!$E$12+1,1))-AVERAGE(OFFSET($H$3,0,0,'Données projet'!$E$12+1,1))</f>
        <v>692.2706942067415</v>
      </c>
      <c r="CE77" s="59">
        <f t="shared" si="94"/>
        <v>316.17529091924803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0.25800000000000001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37.274112534374488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37.274112534374488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>
        <f>VLOOKUP(A77,'Données projet'!$A$139:$I$159,2,0)</f>
        <v>285.98</v>
      </c>
      <c r="CR77" s="12">
        <f>VLOOKUP(A77,'Données projet'!$A$139:$I$159,9,0)</f>
        <v>8.8662500000000044</v>
      </c>
      <c r="CS77" s="12">
        <f t="array" ref="CS77">INDEX(CR:CR,MIN(IF(ISNUMBER(CR77:CR273),ROW(CR77:CR273),"")))</f>
        <v>8.8662500000000044</v>
      </c>
      <c r="CT77" s="12">
        <f>IF('Données projet'!$A$140&gt;35,CT76+CS77-DB76,IF(A77&lt;'Données projet'!$A$140,$CQ$205^A77,IF(A77='Données projet'!$A$140,'Données projet'!$B$140,CT76+CS77-DB76)))</f>
        <v>285.98000000000008</v>
      </c>
      <c r="CU77" s="17">
        <f>CT77*VLOOKUP('Données projet'!$B$13,Paramètres!$A$1:$I$89,3,0)*VLOOKUP('Données projet'!$B$13,Paramètres!$A$1:$I$89,5,0)</f>
        <v>325.67402400000009</v>
      </c>
      <c r="CV77" s="13">
        <f t="shared" si="95"/>
        <v>76.532734341343797</v>
      </c>
      <c r="CW77" s="20">
        <f t="shared" si="67"/>
        <v>700.51010411117386</v>
      </c>
      <c r="CX77" s="59">
        <f t="shared" si="68"/>
        <v>968.73613321412472</v>
      </c>
      <c r="CY77" s="59">
        <f ca="1">AVERAGE(OFFSET($CX$3,0,0,'Données projet'!$E$13+1,1))-AVERAGE(OFFSET($H$3,0,0,'Données projet'!$E$13+1,1))</f>
        <v>765.9523557587147</v>
      </c>
      <c r="CZ77" s="59">
        <f t="shared" si="96"/>
        <v>347.40395092312815</v>
      </c>
      <c r="DA77" s="15">
        <f>IF(ISNA(VLOOKUP(A77,'Données projet'!$A$139:$I$159,3,0)),0,VLOOKUP(A77,'Données projet'!$A$139:$I$159,3,0))</f>
        <v>5</v>
      </c>
      <c r="DB77" s="15">
        <f>IF(ISNA(VLOOKUP(A77,'Données projet'!$A$139:$I$159,4,0)),0,VLOOKUP(A77,'Données projet'!$A$139:$I$159,4,0))</f>
        <v>47.4</v>
      </c>
      <c r="DC77" s="16">
        <f>IF(ISNA(VLOOKUP(A77,'Données projet'!$A$139:$I$159,5,0)),0%,VLOOKUP(A77,'Données projet'!$A$139:$I$159,5,0)*VLOOKUP('Données projet'!$B$13,Paramètres!$A$1:$I$89,7,0))</f>
        <v>0.25800000000000001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41.861695615528276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41.861695615528276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2.4358974358974366</v>
      </c>
      <c r="DO77" s="12">
        <f>IF('Données projet'!$A$166&gt;35,DO76+DN77-DW76,IF(A77&lt;'Données projet'!$A$166,$DL$205^A77,IF(A77='Données projet'!$A$166,'Données projet'!$B$166,DO76+DN77-DW76)))</f>
        <v>140.51282051282058</v>
      </c>
      <c r="DP77" s="17">
        <f>DO77*VLOOKUP('Données projet'!$B$14,Paramètres!$A$1:$I$89,3,0)*VLOOKUP('Données projet'!$B$14,Paramètres!$A$1:$I$89,5,0)</f>
        <v>122.75200000000008</v>
      </c>
      <c r="DQ77" s="13">
        <f t="shared" si="97"/>
        <v>32.316008623212333</v>
      </c>
      <c r="DR77" s="20">
        <f t="shared" si="70"/>
        <v>270.07678168542827</v>
      </c>
      <c r="DS77" s="59">
        <f t="shared" si="71"/>
        <v>538.30281078837913</v>
      </c>
      <c r="DT77" s="59">
        <f ca="1">AVERAGE(OFFSET($DS$3,0,0,'Données projet'!$E$14+1,1))-AVERAGE(OFFSET($H$3,0,0,'Données projet'!$E$14+1,1))</f>
        <v>253.82888243490106</v>
      </c>
      <c r="DU77" s="59">
        <f t="shared" si="98"/>
        <v>224.11983819941796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16.712191040608371</v>
      </c>
      <c r="EB77" s="21">
        <f>EXP(-LN(2)/25)*EB76+(1-EXP(-LN(2)/25))/(LN(2)/25)*Calculateur!DW77*Calculateur!DY77*VLOOKUP('Données projet'!$B$14,Paramètres!$A$1:$I$89,3,0)*0.475*44/12</f>
        <v>9.591405321456099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26.303596362064468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15.115000000000002</v>
      </c>
      <c r="N78" s="13">
        <f>IF('Données projet'!$A$36&gt;35,N77+M78-V77,IF(A78&lt;'Données projet'!$A$36,$K$205^A78,IF(A78='Données projet'!$A$36,'Données projet'!$B$36,N77+M78-V77)))</f>
        <v>435.44999999999993</v>
      </c>
      <c r="O78" s="13">
        <f>N78*VLOOKUP('Données projet'!$B$9,Paramètres!$A$1:$I$89,3,0)*VLOOKUP('Données projet'!$B$9,Paramètres!$A$1:$I$89,5,0)</f>
        <v>203.79059999999998</v>
      </c>
      <c r="P78" s="13">
        <f t="shared" si="87"/>
        <v>50.57631437420887</v>
      </c>
      <c r="Q78" s="20">
        <f t="shared" si="54"/>
        <v>443.02237586841375</v>
      </c>
      <c r="R78" s="59">
        <f t="shared" si="55"/>
        <v>711.68396056823849</v>
      </c>
      <c r="S78" s="59">
        <f ca="1">AVERAGE(OFFSET($R$3,0,0,'Données projet'!$E$9+1,1))-AVERAGE(OFFSET($H$3,0,0,'Données projet'!$E$9+1,1))</f>
        <v>387.50901594883317</v>
      </c>
      <c r="T78" s="59">
        <f t="shared" si="88"/>
        <v>361.3623790401972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74.399700569858936</v>
      </c>
      <c r="AA78" s="21">
        <f>EXP(-LN(2)/25)*AA77+(1-EXP(-LN(2)/25))/(LN(2)/25)*Calculateur!V78*Calculateur!X78*VLOOKUP('Données projet'!$B$9,Paramètres!$A$1:$I$89,3,0)*0.475*44/12</f>
        <v>39.568868654756287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113.96856922461522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9.782</v>
      </c>
      <c r="AI78" s="13">
        <f>IF('Données projet'!$A$62&gt;35,AI77+AH78-AQ77,IF(A78&lt;'Données projet'!$A$62,$AF$205^A78,IF(A78='Données projet'!$A$62,'Données projet'!$B$62,AI77+AH78-AQ77)))</f>
        <v>471.09000000000003</v>
      </c>
      <c r="AJ78" s="13">
        <f>AI78*VLOOKUP('Données projet'!$B$10,Paramètres!$A$1:$I$89,3,0)*VLOOKUP('Données projet'!$B$10,Paramètres!$A$1:$I$89,5,0)</f>
        <v>281.71182000000005</v>
      </c>
      <c r="AK78" s="13">
        <f t="shared" si="89"/>
        <v>67.328637229880215</v>
      </c>
      <c r="AL78" s="20">
        <f t="shared" si="58"/>
        <v>607.91212967537479</v>
      </c>
      <c r="AM78" s="59">
        <f t="shared" si="59"/>
        <v>876.57371437519964</v>
      </c>
      <c r="AN78" s="59">
        <f ca="1">AVERAGE(OFFSET($AM$3,0,0,'Données projet'!$E$10+1,1))-AVERAGE(OFFSET($H$3,0,0,'Données projet'!$E$10+1,1))</f>
        <v>373.47758082856359</v>
      </c>
      <c r="AO78" s="59">
        <f t="shared" si="90"/>
        <v>277.24895424120166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46.490100129346985</v>
      </c>
      <c r="AV78" s="21">
        <f>EXP(-LN(2)/25)*AV77+(1-EXP(-LN(2)/25))/(LN(2)/25)*Calculateur!AQ78*Calculateur!AS78*VLOOKUP('Données projet'!$B$10,Paramètres!$A$1:$I$89,3,0)*0.475*44/12</f>
        <v>29.03049745819682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75.520597587543804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8.6770000000000014</v>
      </c>
      <c r="BD78" s="12">
        <f>IF('Données projet'!$A$88&gt;35,BD77+BC78-BL77,IF(A78&lt;'Données projet'!$A$88,$BA$205^A78,IF(A78='Données projet'!$A$88,'Données projet'!$B$88,BD77+BC78-BL77)))</f>
        <v>247.25700000000009</v>
      </c>
      <c r="BE78" s="13">
        <f>BD78*VLOOKUP('Données projet'!$B$11,Paramètres!$A$1:$I$89,3,0)*VLOOKUP('Données projet'!$B$11,Paramètres!$A$1:$I$89,5,0)</f>
        <v>223.71813360000007</v>
      </c>
      <c r="BF78" s="13">
        <f t="shared" si="91"/>
        <v>54.92221376571495</v>
      </c>
      <c r="BG78" s="20">
        <f t="shared" si="61"/>
        <v>485.29860499528695</v>
      </c>
      <c r="BH78" s="59">
        <f t="shared" si="62"/>
        <v>753.96018969511169</v>
      </c>
      <c r="BI78" s="59">
        <f ca="1">AVERAGE(OFFSET($BH$3,0,0,'Données projet'!$E$11+1,1))-AVERAGE(OFFSET($H$3,0,0,'Données projet'!$E$11+1,1))</f>
        <v>627.65081154031589</v>
      </c>
      <c r="BJ78" s="59">
        <f t="shared" si="92"/>
        <v>288.78083487077618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32.607769469342635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32.607769469342635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8.6770000000000014</v>
      </c>
      <c r="BY78" s="12">
        <f>IF('Données projet'!$A$114&gt;35,BY77+BX78-CG77,IF(A78&lt;'Données projet'!$A$114,$BV$205^A78,IF(A78='Données projet'!$A$114,'Données projet'!$B$114,BY77+BX78-CG77)))</f>
        <v>247.25700000000009</v>
      </c>
      <c r="BZ78" s="13">
        <f>BY78*VLOOKUP('Données projet'!$B$12,Paramètres!$A$1:$I$89,3,0)*VLOOKUP('Données projet'!$B$12,Paramètres!$A$1:$I$89,5,0)</f>
        <v>250.7185980000001</v>
      </c>
      <c r="CA78" s="13">
        <f t="shared" si="93"/>
        <v>60.739792084155006</v>
      </c>
      <c r="CB78" s="20">
        <f t="shared" si="64"/>
        <v>542.45669606323679</v>
      </c>
      <c r="CC78" s="59">
        <f t="shared" si="65"/>
        <v>811.11828076306165</v>
      </c>
      <c r="CD78" s="59">
        <f ca="1">AVERAGE(OFFSET($CC$3,0,0,'Données projet'!$E$12+1,1))-AVERAGE(OFFSET($H$3,0,0,'Données projet'!$E$12+1,1))</f>
        <v>692.2706942067415</v>
      </c>
      <c r="CE78" s="59">
        <f t="shared" si="94"/>
        <v>316.17529091924803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36.543189922539156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36.543189922539156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8.6770000000000014</v>
      </c>
      <c r="CT78" s="12">
        <f>IF('Données projet'!$A$140&gt;35,CT77+CS78-DB77,IF(A78&lt;'Données projet'!$A$140,$CQ$205^A78,IF(A78='Données projet'!$A$140,'Données projet'!$B$140,CT77+CS78-DB77)))</f>
        <v>247.25700000000009</v>
      </c>
      <c r="CU78" s="17">
        <f>CT78*VLOOKUP('Données projet'!$B$13,Paramètres!$A$1:$I$89,3,0)*VLOOKUP('Données projet'!$B$13,Paramètres!$A$1:$I$89,5,0)</f>
        <v>281.5762716000001</v>
      </c>
      <c r="CV78" s="13">
        <f t="shared" si="95"/>
        <v>67.300011470174638</v>
      </c>
      <c r="CW78" s="20">
        <f t="shared" si="67"/>
        <v>607.6261930138877</v>
      </c>
      <c r="CX78" s="59">
        <f t="shared" si="68"/>
        <v>876.28777771371256</v>
      </c>
      <c r="CY78" s="59">
        <f ca="1">AVERAGE(OFFSET($CX$3,0,0,'Données projet'!$E$13+1,1))-AVERAGE(OFFSET($H$3,0,0,'Données projet'!$E$13+1,1))</f>
        <v>765.9523557587147</v>
      </c>
      <c r="CZ78" s="59">
        <f t="shared" si="96"/>
        <v>347.40395092312815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41.040813297620907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41.040813297620907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>
        <f>VLOOKUP(A78,'Données projet'!$A$165:$I$185,2,0)</f>
        <v>142.94871794871796</v>
      </c>
      <c r="DM78" s="12">
        <f>VLOOKUP(A78,'Données projet'!$A$165:$I$185,9,0)</f>
        <v>2.4358974358974366</v>
      </c>
      <c r="DN78" s="12">
        <f t="array" ref="DN78">INDEX(DM:DM,MIN(IF(ISNUMBER(DM78:DM274),ROW(DM78:DM274),"")))</f>
        <v>2.4358974358974366</v>
      </c>
      <c r="DO78" s="12">
        <f>IF('Données projet'!$A$166&gt;35,DO77+DN78-DW77,IF(A78&lt;'Données projet'!$A$166,$DL$205^A78,IF(A78='Données projet'!$A$166,'Données projet'!$B$166,DO77+DN78-DW77)))</f>
        <v>142.94871794871801</v>
      </c>
      <c r="DP78" s="17">
        <f>DO78*VLOOKUP('Données projet'!$B$14,Paramètres!$A$1:$I$89,3,0)*VLOOKUP('Données projet'!$B$14,Paramètres!$A$1:$I$89,5,0)</f>
        <v>124.88000000000008</v>
      </c>
      <c r="DQ78" s="13">
        <f t="shared" si="97"/>
        <v>32.810525222866467</v>
      </c>
      <c r="DR78" s="20">
        <f t="shared" si="70"/>
        <v>274.64433142982591</v>
      </c>
      <c r="DS78" s="59">
        <f t="shared" si="71"/>
        <v>543.30591612965077</v>
      </c>
      <c r="DT78" s="59">
        <f ca="1">AVERAGE(OFFSET($DS$3,0,0,'Données projet'!$E$14+1,1))-AVERAGE(OFFSET($H$3,0,0,'Données projet'!$E$14+1,1))</f>
        <v>253.82888243490106</v>
      </c>
      <c r="DU78" s="59">
        <f t="shared" si="98"/>
        <v>224.11983819941796</v>
      </c>
      <c r="DV78" s="15">
        <f>IF(ISNA(VLOOKUP(A78,'Données projet'!$A$165:$I$185,3,0)),0,VLOOKUP(A78,'Données projet'!$A$165:$I$185,3,0))</f>
        <v>14</v>
      </c>
      <c r="DW78" s="15">
        <f>IF(ISNA(VLOOKUP(A78,'Données projet'!$A$165:$I$185,4,0)),0,VLOOKUP(A78,'Données projet'!$A$165:$I$185,4,0))</f>
        <v>8.9743589743589745</v>
      </c>
      <c r="DX78" s="16">
        <f>IF(ISNA(VLOOKUP(A78,'Données projet'!$A$165:$I$185,5,0)),0%,VLOOKUP(A78,'Données projet'!$A$165:$I$185,5,0)*VLOOKUP('Données projet'!$B$14,Paramètres!$A$1:$I$89,7,0))</f>
        <v>0.25800000000000001</v>
      </c>
      <c r="DY78" s="16">
        <f>IF(ISNA(VLOOKUP(A78,'Données projet'!$A$165:$I$185,6,0)),0%,VLOOKUP(A78,'Données projet'!$A$165:$I$185,6,0)*VLOOKUP('Données projet'!$B$14,Paramètres!$A$1:$I$89,7,0))</f>
        <v>0.129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18.620532213820944</v>
      </c>
      <c r="EB78" s="21">
        <f>EXP(-LN(2)/25)*EB77+(1-EXP(-LN(2)/25))/(LN(2)/25)*Calculateur!DW78*Calculateur!DY78*VLOOKUP('Données projet'!$B$14,Paramètres!$A$1:$I$89,3,0)*0.475*44/12</f>
        <v>10.442754257297752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29.063286471118694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15.115000000000002</v>
      </c>
      <c r="N79" s="13">
        <f>IF('Données projet'!$A$36&gt;35,N78+M79-V78,IF(A79&lt;'Données projet'!$A$36,$K$205^A79,IF(A79='Données projet'!$A$36,'Données projet'!$B$36,N78+M79-V78)))</f>
        <v>450.56499999999994</v>
      </c>
      <c r="O79" s="13">
        <f>N79*VLOOKUP('Données projet'!$B$9,Paramètres!$A$1:$I$89,3,0)*VLOOKUP('Données projet'!$B$9,Paramètres!$A$1:$I$89,5,0)</f>
        <v>210.86441999999997</v>
      </c>
      <c r="P79" s="13">
        <f t="shared" si="87"/>
        <v>52.12443803219238</v>
      </c>
      <c r="Q79" s="20">
        <f t="shared" si="54"/>
        <v>458.03892773940169</v>
      </c>
      <c r="R79" s="59">
        <f t="shared" si="55"/>
        <v>727.12851212025112</v>
      </c>
      <c r="S79" s="59">
        <f ca="1">AVERAGE(OFFSET($R$3,0,0,'Données projet'!$E$9+1,1))-AVERAGE(OFFSET($H$3,0,0,'Données projet'!$E$9+1,1))</f>
        <v>387.50901594883317</v>
      </c>
      <c r="T79" s="59">
        <f t="shared" si="88"/>
        <v>361.3623790401972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72.940767821020515</v>
      </c>
      <c r="AA79" s="21">
        <f>EXP(-LN(2)/25)*AA78+(1-EXP(-LN(2)/25))/(LN(2)/25)*Calculateur!V79*Calculateur!X79*VLOOKUP('Données projet'!$B$9,Paramètres!$A$1:$I$89,3,0)*0.475*44/12</f>
        <v>38.486855860555607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111.42762368157612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9.782</v>
      </c>
      <c r="AI79" s="13">
        <f>IF('Données projet'!$A$62&gt;35,AI78+AH79-AQ78,IF(A79&lt;'Données projet'!$A$62,$AF$205^A79,IF(A79='Données projet'!$A$62,'Données projet'!$B$62,AI78+AH79-AQ78)))</f>
        <v>480.87200000000001</v>
      </c>
      <c r="AJ79" s="13">
        <f>AI79*VLOOKUP('Données projet'!$B$10,Paramètres!$A$1:$I$89,3,0)*VLOOKUP('Données projet'!$B$10,Paramètres!$A$1:$I$89,5,0)</f>
        <v>287.56145600000002</v>
      </c>
      <c r="AK79" s="13">
        <f t="shared" si="89"/>
        <v>68.562475277867222</v>
      </c>
      <c r="AL79" s="20">
        <f t="shared" si="58"/>
        <v>620.24918030895208</v>
      </c>
      <c r="AM79" s="59">
        <f t="shared" si="59"/>
        <v>889.33876468980156</v>
      </c>
      <c r="AN79" s="59">
        <f ca="1">AVERAGE(OFFSET($AM$3,0,0,'Données projet'!$E$10+1,1))-AVERAGE(OFFSET($H$3,0,0,'Données projet'!$E$10+1,1))</f>
        <v>373.47758082856359</v>
      </c>
      <c r="AO79" s="59">
        <f t="shared" si="90"/>
        <v>277.24895424120166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45.57845762197163</v>
      </c>
      <c r="AV79" s="21">
        <f>EXP(-LN(2)/25)*AV78+(1-EXP(-LN(2)/25))/(LN(2)/25)*Calculateur!AQ79*Calculateur!AS79*VLOOKUP('Données projet'!$B$10,Paramètres!$A$1:$I$89,3,0)*0.475*44/12</f>
        <v>28.236656978554915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73.815114600526542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8.6770000000000014</v>
      </c>
      <c r="BD79" s="12">
        <f>IF('Données projet'!$A$88&gt;35,BD78+BC79-BL78,IF(A79&lt;'Données projet'!$A$88,$BA$205^A79,IF(A79='Données projet'!$A$88,'Données projet'!$B$88,BD78+BC79-BL78)))</f>
        <v>255.93400000000008</v>
      </c>
      <c r="BE79" s="13">
        <f>BD79*VLOOKUP('Données projet'!$B$11,Paramètres!$A$1:$I$89,3,0)*VLOOKUP('Données projet'!$B$11,Paramètres!$A$1:$I$89,5,0)</f>
        <v>231.56908320000005</v>
      </c>
      <c r="BF79" s="13">
        <f t="shared" si="91"/>
        <v>56.621819638037671</v>
      </c>
      <c r="BG79" s="20">
        <f t="shared" si="61"/>
        <v>501.93248910958238</v>
      </c>
      <c r="BH79" s="59">
        <f t="shared" si="62"/>
        <v>771.02207349043181</v>
      </c>
      <c r="BI79" s="59">
        <f ca="1">AVERAGE(OFFSET($BH$3,0,0,'Données projet'!$E$11+1,1))-AVERAGE(OFFSET($H$3,0,0,'Données projet'!$E$11+1,1))</f>
        <v>627.65081154031589</v>
      </c>
      <c r="BJ79" s="59">
        <f t="shared" si="92"/>
        <v>288.78083487077618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31.968350998824349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31.968350998824349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8.6770000000000014</v>
      </c>
      <c r="BY79" s="12">
        <f>IF('Données projet'!$A$114&gt;35,BY78+BX79-CG78,IF(A79&lt;'Données projet'!$A$114,$BV$205^A79,IF(A79='Données projet'!$A$114,'Données projet'!$B$114,BY78+BX79-CG78)))</f>
        <v>255.93400000000008</v>
      </c>
      <c r="BZ79" s="13">
        <f>BY79*VLOOKUP('Données projet'!$B$12,Paramètres!$A$1:$I$89,3,0)*VLOOKUP('Données projet'!$B$12,Paramètres!$A$1:$I$89,5,0)</f>
        <v>259.51707600000009</v>
      </c>
      <c r="CA79" s="13">
        <f t="shared" si="93"/>
        <v>62.619426939193161</v>
      </c>
      <c r="CB79" s="20">
        <f t="shared" si="64"/>
        <v>561.05440928576149</v>
      </c>
      <c r="CC79" s="59">
        <f t="shared" si="65"/>
        <v>830.14399366661087</v>
      </c>
      <c r="CD79" s="59">
        <f ca="1">AVERAGE(OFFSET($CC$3,0,0,'Données projet'!$E$12+1,1))-AVERAGE(OFFSET($H$3,0,0,'Données projet'!$E$12+1,1))</f>
        <v>692.2706942067415</v>
      </c>
      <c r="CE79" s="59">
        <f t="shared" si="94"/>
        <v>316.17529091924803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35.826600257303149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35.826600257303149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8.6770000000000014</v>
      </c>
      <c r="CT79" s="12">
        <f>IF('Données projet'!$A$140&gt;35,CT78+CS79-DB78,IF(A79&lt;'Données projet'!$A$140,$CQ$205^A79,IF(A79='Données projet'!$A$140,'Données projet'!$B$140,CT78+CS79-DB78)))</f>
        <v>255.93400000000008</v>
      </c>
      <c r="CU79" s="17">
        <f>CT79*VLOOKUP('Données projet'!$B$13,Paramètres!$A$1:$I$89,3,0)*VLOOKUP('Données projet'!$B$13,Paramètres!$A$1:$I$89,5,0)</f>
        <v>291.45763920000007</v>
      </c>
      <c r="CV79" s="13">
        <f t="shared" si="95"/>
        <v>69.382656849146869</v>
      </c>
      <c r="CW79" s="20">
        <f t="shared" si="67"/>
        <v>628.46351561893096</v>
      </c>
      <c r="CX79" s="59">
        <f t="shared" si="68"/>
        <v>897.55309999978044</v>
      </c>
      <c r="CY79" s="59">
        <f ca="1">AVERAGE(OFFSET($CX$3,0,0,'Données projet'!$E$13+1,1))-AVERAGE(OFFSET($H$3,0,0,'Données projet'!$E$13+1,1))</f>
        <v>765.9523557587147</v>
      </c>
      <c r="CZ79" s="59">
        <f t="shared" si="96"/>
        <v>347.40395092312815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40.236027981278923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40.236027981278923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2.3076923076923093</v>
      </c>
      <c r="DO79" s="12">
        <f>IF('Données projet'!$A$166&gt;35,DO78+DN79-DW78,IF(A79&lt;'Données projet'!$A$166,$DL$205^A79,IF(A79='Données projet'!$A$166,'Données projet'!$B$166,DO78+DN79-DW78)))</f>
        <v>136.28205128205136</v>
      </c>
      <c r="DP79" s="17">
        <f>DO79*VLOOKUP('Données projet'!$B$14,Paramètres!$A$1:$I$89,3,0)*VLOOKUP('Données projet'!$B$14,Paramètres!$A$1:$I$89,5,0)</f>
        <v>119.05600000000008</v>
      </c>
      <c r="DQ79" s="13">
        <f t="shared" si="97"/>
        <v>31.454725696254322</v>
      </c>
      <c r="DR79" s="20">
        <f t="shared" si="70"/>
        <v>262.13951392097641</v>
      </c>
      <c r="DS79" s="59">
        <f t="shared" si="71"/>
        <v>531.22909830182584</v>
      </c>
      <c r="DT79" s="59">
        <f ca="1">AVERAGE(OFFSET($DS$3,0,0,'Données projet'!$E$14+1,1))-AVERAGE(OFFSET($H$3,0,0,'Données projet'!$E$14+1,1))</f>
        <v>253.82888243490106</v>
      </c>
      <c r="DU79" s="59">
        <f t="shared" si="98"/>
        <v>224.11983819941796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18.255394934511116</v>
      </c>
      <c r="EB79" s="21">
        <f>EXP(-LN(2)/25)*EB78+(1-EXP(-LN(2)/25))/(LN(2)/25)*Calculateur!DW79*Calculateur!DY79*VLOOKUP('Données projet'!$B$14,Paramètres!$A$1:$I$89,3,0)*0.475*44/12</f>
        <v>10.157196592971365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28.412591527482483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15.115000000000002</v>
      </c>
      <c r="N80" s="13">
        <f>IF('Données projet'!$A$36&gt;35,N79+M80-V79,IF(A80&lt;'Données projet'!$A$36,$K$205^A80,IF(A80='Données projet'!$A$36,'Données projet'!$B$36,N79+M80-V79)))</f>
        <v>465.67999999999995</v>
      </c>
      <c r="O80" s="13">
        <f>N80*VLOOKUP('Données projet'!$B$9,Paramètres!$A$1:$I$89,3,0)*VLOOKUP('Données projet'!$B$9,Paramètres!$A$1:$I$89,5,0)</f>
        <v>217.93823999999998</v>
      </c>
      <c r="P80" s="13">
        <f t="shared" si="87"/>
        <v>53.666527100584652</v>
      </c>
      <c r="Q80" s="20">
        <f t="shared" si="54"/>
        <v>473.0449693668516</v>
      </c>
      <c r="R80" s="59">
        <f t="shared" si="55"/>
        <v>742.55512859112389</v>
      </c>
      <c r="S80" s="59">
        <f ca="1">AVERAGE(OFFSET($R$3,0,0,'Données projet'!$E$9+1,1))-AVERAGE(OFFSET($H$3,0,0,'Données projet'!$E$9+1,1))</f>
        <v>387.50901594883317</v>
      </c>
      <c r="T80" s="59">
        <f t="shared" si="88"/>
        <v>361.3623790401972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71.5104438535257</v>
      </c>
      <c r="AA80" s="21">
        <f>EXP(-LN(2)/25)*AA79+(1-EXP(-LN(2)/25))/(LN(2)/25)*Calculateur!V80*Calculateur!X80*VLOOKUP('Données projet'!$B$9,Paramètres!$A$1:$I$89,3,0)*0.475*44/12</f>
        <v>37.434430763112928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108.94487461663863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9.782</v>
      </c>
      <c r="AI80" s="13">
        <f>IF('Données projet'!$A$62&gt;35,AI79+AH80-AQ79,IF(A80&lt;'Données projet'!$A$62,$AF$205^A80,IF(A80='Données projet'!$A$62,'Données projet'!$B$62,AI79+AH80-AQ79)))</f>
        <v>490.654</v>
      </c>
      <c r="AJ80" s="13">
        <f>AI80*VLOOKUP('Données projet'!$B$10,Paramètres!$A$1:$I$89,3,0)*VLOOKUP('Données projet'!$B$10,Paramètres!$A$1:$I$89,5,0)</f>
        <v>293.411092</v>
      </c>
      <c r="AK80" s="13">
        <f t="shared" si="89"/>
        <v>69.79339504623151</v>
      </c>
      <c r="AL80" s="20">
        <f t="shared" si="58"/>
        <v>632.58114827218651</v>
      </c>
      <c r="AM80" s="59">
        <f t="shared" si="59"/>
        <v>902.09130749645874</v>
      </c>
      <c r="AN80" s="59">
        <f ca="1">AVERAGE(OFFSET($AM$3,0,0,'Données projet'!$E$10+1,1))-AVERAGE(OFFSET($H$3,0,0,'Données projet'!$E$10+1,1))</f>
        <v>373.47758082856359</v>
      </c>
      <c r="AO80" s="59">
        <f t="shared" si="90"/>
        <v>277.24895424120166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44.684691868118882</v>
      </c>
      <c r="AV80" s="21">
        <f>EXP(-LN(2)/25)*AV79+(1-EXP(-LN(2)/25))/(LN(2)/25)*Calculateur!AQ80*Calculateur!AS80*VLOOKUP('Données projet'!$B$10,Paramètres!$A$1:$I$89,3,0)*0.475*44/12</f>
        <v>27.464524108575077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72.149215976693966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8.6770000000000014</v>
      </c>
      <c r="BD80" s="12">
        <f>IF('Données projet'!$A$88&gt;35,BD79+BC80-BL79,IF(A80&lt;'Données projet'!$A$88,$BA$205^A80,IF(A80='Données projet'!$A$88,'Données projet'!$B$88,BD79+BC80-BL79)))</f>
        <v>264.6110000000001</v>
      </c>
      <c r="BE80" s="13">
        <f>BD80*VLOOKUP('Données projet'!$B$11,Paramètres!$A$1:$I$89,3,0)*VLOOKUP('Données projet'!$B$11,Paramètres!$A$1:$I$89,5,0)</f>
        <v>239.42003280000009</v>
      </c>
      <c r="BF80" s="13">
        <f t="shared" si="91"/>
        <v>58.314730148380967</v>
      </c>
      <c r="BG80" s="20">
        <f t="shared" si="61"/>
        <v>518.55471213509702</v>
      </c>
      <c r="BH80" s="59">
        <f t="shared" si="62"/>
        <v>788.06487135936936</v>
      </c>
      <c r="BI80" s="59">
        <f ca="1">AVERAGE(OFFSET($BH$3,0,0,'Données projet'!$E$11+1,1))-AVERAGE(OFFSET($H$3,0,0,'Données projet'!$E$11+1,1))</f>
        <v>627.65081154031589</v>
      </c>
      <c r="BJ80" s="59">
        <f t="shared" si="92"/>
        <v>288.78083487077618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31.341471134506168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31.341471134506168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8.6770000000000014</v>
      </c>
      <c r="BY80" s="12">
        <f>IF('Données projet'!$A$114&gt;35,BY79+BX80-CG79,IF(A80&lt;'Données projet'!$A$114,$BV$205^A80,IF(A80='Données projet'!$A$114,'Données projet'!$B$114,BY79+BX80-CG79)))</f>
        <v>264.6110000000001</v>
      </c>
      <c r="BZ80" s="13">
        <f>BY80*VLOOKUP('Données projet'!$B$12,Paramètres!$A$1:$I$89,3,0)*VLOOKUP('Données projet'!$B$12,Paramètres!$A$1:$I$89,5,0)</f>
        <v>268.31555400000013</v>
      </c>
      <c r="CA80" s="13">
        <f t="shared" si="93"/>
        <v>64.491657233004062</v>
      </c>
      <c r="CB80" s="20">
        <f t="shared" si="64"/>
        <v>579.63922623081567</v>
      </c>
      <c r="CC80" s="59">
        <f t="shared" si="65"/>
        <v>849.1493854550879</v>
      </c>
      <c r="CD80" s="59">
        <f ca="1">AVERAGE(OFFSET($CC$3,0,0,'Données projet'!$E$12+1,1))-AVERAGE(OFFSET($H$3,0,0,'Données projet'!$E$12+1,1))</f>
        <v>692.2706942067415</v>
      </c>
      <c r="CE80" s="59">
        <f t="shared" si="94"/>
        <v>316.17529091924803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35.124062478325875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35.124062478325875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8.6770000000000014</v>
      </c>
      <c r="CT80" s="12">
        <f>IF('Données projet'!$A$140&gt;35,CT79+CS80-DB79,IF(A80&lt;'Données projet'!$A$140,$CQ$205^A80,IF(A80='Données projet'!$A$140,'Données projet'!$B$140,CT79+CS80-DB79)))</f>
        <v>264.6110000000001</v>
      </c>
      <c r="CU80" s="17">
        <f>CT80*VLOOKUP('Données projet'!$B$13,Paramètres!$A$1:$I$89,3,0)*VLOOKUP('Données projet'!$B$13,Paramètres!$A$1:$I$89,5,0)</f>
        <v>301.33900680000011</v>
      </c>
      <c r="CV80" s="13">
        <f t="shared" si="95"/>
        <v>71.45709793504507</v>
      </c>
      <c r="CW80" s="20">
        <f t="shared" si="67"/>
        <v>649.2865490802036</v>
      </c>
      <c r="CX80" s="59">
        <f t="shared" si="68"/>
        <v>918.79670830447594</v>
      </c>
      <c r="CY80" s="59">
        <f ca="1">AVERAGE(OFFSET($CX$3,0,0,'Données projet'!$E$13+1,1))-AVERAGE(OFFSET($H$3,0,0,'Données projet'!$E$13+1,1))</f>
        <v>765.9523557587147</v>
      </c>
      <c r="CZ80" s="59">
        <f t="shared" si="96"/>
        <v>347.40395092312815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39.447024014119833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39.447024014119833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2.3076923076923093</v>
      </c>
      <c r="DO80" s="12">
        <f>IF('Données projet'!$A$166&gt;35,DO79+DN80-DW79,IF(A80&lt;'Données projet'!$A$166,$DL$205^A80,IF(A80='Données projet'!$A$166,'Données projet'!$B$166,DO79+DN80-DW79)))</f>
        <v>138.58974358974368</v>
      </c>
      <c r="DP80" s="17">
        <f>DO80*VLOOKUP('Données projet'!$B$14,Paramètres!$A$1:$I$89,3,0)*VLOOKUP('Données projet'!$B$14,Paramètres!$A$1:$I$89,5,0)</f>
        <v>121.07200000000009</v>
      </c>
      <c r="DQ80" s="13">
        <f t="shared" si="97"/>
        <v>31.92489612627956</v>
      </c>
      <c r="DR80" s="20">
        <f t="shared" si="70"/>
        <v>266.46959408660371</v>
      </c>
      <c r="DS80" s="59">
        <f t="shared" si="71"/>
        <v>535.97975331087605</v>
      </c>
      <c r="DT80" s="59">
        <f ca="1">AVERAGE(OFFSET($DS$3,0,0,'Données projet'!$E$14+1,1))-AVERAGE(OFFSET($H$3,0,0,'Données projet'!$E$14+1,1))</f>
        <v>253.82888243490106</v>
      </c>
      <c r="DU80" s="59">
        <f t="shared" si="98"/>
        <v>224.11983819941796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17.897417774536805</v>
      </c>
      <c r="EB80" s="21">
        <f>EXP(-LN(2)/25)*EB79+(1-EXP(-LN(2)/25))/(LN(2)/25)*Calculateur!DW80*Calculateur!DY80*VLOOKUP('Données projet'!$B$14,Paramètres!$A$1:$I$89,3,0)*0.475*44/12</f>
        <v>9.8794475179928085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27.776865292529614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15.115000000000002</v>
      </c>
      <c r="N81" s="13">
        <f>IF('Données projet'!$A$36&gt;35,N80+M81-V80,IF(A81&lt;'Données projet'!$A$36,$K$205^A81,IF(A81='Données projet'!$A$36,'Données projet'!$B$36,N80+M81-V80)))</f>
        <v>480.79499999999996</v>
      </c>
      <c r="O81" s="13">
        <f>N81*VLOOKUP('Données projet'!$B$9,Paramètres!$A$1:$I$89,3,0)*VLOOKUP('Données projet'!$B$9,Paramètres!$A$1:$I$89,5,0)</f>
        <v>225.01205999999999</v>
      </c>
      <c r="P81" s="13">
        <f t="shared" si="87"/>
        <v>55.202799914121982</v>
      </c>
      <c r="Q81" s="20">
        <f t="shared" si="54"/>
        <v>488.04088101709573</v>
      </c>
      <c r="R81" s="59">
        <f t="shared" si="55"/>
        <v>757.9643190515219</v>
      </c>
      <c r="S81" s="59">
        <f ca="1">AVERAGE(OFFSET($R$3,0,0,'Données projet'!$E$9+1,1))-AVERAGE(OFFSET($H$3,0,0,'Données projet'!$E$9+1,1))</f>
        <v>387.50901594883317</v>
      </c>
      <c r="T81" s="59">
        <f t="shared" si="88"/>
        <v>361.3623790401972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70.108167666621981</v>
      </c>
      <c r="AA81" s="21">
        <f>EXP(-LN(2)/25)*AA80+(1-EXP(-LN(2)/25))/(LN(2)/25)*Calculateur!V81*Calculateur!X81*VLOOKUP('Données projet'!$B$9,Paramètres!$A$1:$I$89,3,0)*0.475*44/12</f>
        <v>36.410784285304452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106.51895195192643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9.782</v>
      </c>
      <c r="AI81" s="13">
        <f>IF('Données projet'!$A$62&gt;35,AI80+AH81-AQ80,IF(A81&lt;'Données projet'!$A$62,$AF$205^A81,IF(A81='Données projet'!$A$62,'Données projet'!$B$62,AI80+AH81-AQ80)))</f>
        <v>500.43599999999998</v>
      </c>
      <c r="AJ81" s="13">
        <f>AI81*VLOOKUP('Données projet'!$B$10,Paramètres!$A$1:$I$89,3,0)*VLOOKUP('Données projet'!$B$10,Paramètres!$A$1:$I$89,5,0)</f>
        <v>299.26072800000003</v>
      </c>
      <c r="AK81" s="13">
        <f t="shared" si="89"/>
        <v>71.021461421315166</v>
      </c>
      <c r="AL81" s="20">
        <f t="shared" si="58"/>
        <v>644.90814657545729</v>
      </c>
      <c r="AM81" s="59">
        <f t="shared" si="59"/>
        <v>914.83158460988352</v>
      </c>
      <c r="AN81" s="59">
        <f ca="1">AVERAGE(OFFSET($AM$3,0,0,'Données projet'!$E$10+1,1))-AVERAGE(OFFSET($H$3,0,0,'Données projet'!$E$10+1,1))</f>
        <v>373.47758082856359</v>
      </c>
      <c r="AO81" s="59">
        <f t="shared" si="90"/>
        <v>277.24895424120166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43.808452315555904</v>
      </c>
      <c r="AV81" s="21">
        <f>EXP(-LN(2)/25)*AV80+(1-EXP(-LN(2)/25))/(LN(2)/25)*Calculateur!AQ81*Calculateur!AS81*VLOOKUP('Données projet'!$B$10,Paramètres!$A$1:$I$89,3,0)*0.475*44/12</f>
        <v>26.71350525252954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70.52195756808544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8.6770000000000014</v>
      </c>
      <c r="BD81" s="12">
        <f>IF('Données projet'!$A$88&gt;35,BD80+BC81-BL80,IF(A81&lt;'Données projet'!$A$88,$BA$205^A81,IF(A81='Données projet'!$A$88,'Données projet'!$B$88,BD80+BC81-BL80)))</f>
        <v>273.28800000000012</v>
      </c>
      <c r="BE81" s="13">
        <f>BD81*VLOOKUP('Données projet'!$B$11,Paramètres!$A$1:$I$89,3,0)*VLOOKUP('Données projet'!$B$11,Paramètres!$A$1:$I$89,5,0)</f>
        <v>247.27098240000012</v>
      </c>
      <c r="BF81" s="13">
        <f t="shared" si="91"/>
        <v>60.001190025553029</v>
      </c>
      <c r="BG81" s="20">
        <f t="shared" si="61"/>
        <v>535.16570030783839</v>
      </c>
      <c r="BH81" s="59">
        <f t="shared" si="62"/>
        <v>805.08913834226462</v>
      </c>
      <c r="BI81" s="59">
        <f ca="1">AVERAGE(OFFSET($BH$3,0,0,'Données projet'!$E$11+1,1))-AVERAGE(OFFSET($H$3,0,0,'Données projet'!$E$11+1,1))</f>
        <v>627.65081154031589</v>
      </c>
      <c r="BJ81" s="59">
        <f t="shared" si="92"/>
        <v>288.78083487077618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30.726884001968305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30.726884001968305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8.6770000000000014</v>
      </c>
      <c r="BY81" s="12">
        <f>IF('Données projet'!$A$114&gt;35,BY80+BX81-CG80,IF(A81&lt;'Données projet'!$A$114,$BV$205^A81,IF(A81='Données projet'!$A$114,'Données projet'!$B$114,BY80+BX81-CG80)))</f>
        <v>273.28800000000012</v>
      </c>
      <c r="BZ81" s="13">
        <f>BY81*VLOOKUP('Données projet'!$B$12,Paramètres!$A$1:$I$89,3,0)*VLOOKUP('Données projet'!$B$12,Paramètres!$A$1:$I$89,5,0)</f>
        <v>277.11403200000018</v>
      </c>
      <c r="CA81" s="13">
        <f t="shared" si="93"/>
        <v>66.356753617040368</v>
      </c>
      <c r="CB81" s="20">
        <f t="shared" si="64"/>
        <v>598.21161828301217</v>
      </c>
      <c r="CC81" s="59">
        <f t="shared" si="65"/>
        <v>868.1350563174384</v>
      </c>
      <c r="CD81" s="59">
        <f ca="1">AVERAGE(OFFSET($CC$3,0,0,'Données projet'!$E$12+1,1))-AVERAGE(OFFSET($H$3,0,0,'Données projet'!$E$12+1,1))</f>
        <v>692.2706942067415</v>
      </c>
      <c r="CE81" s="59">
        <f t="shared" si="94"/>
        <v>316.17529091924803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34.435301036688614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34.435301036688614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8.6770000000000014</v>
      </c>
      <c r="CT81" s="12">
        <f>IF('Données projet'!$A$140&gt;35,CT80+CS81-DB80,IF(A81&lt;'Données projet'!$A$140,$CQ$205^A81,IF(A81='Données projet'!$A$140,'Données projet'!$B$140,CT80+CS81-DB80)))</f>
        <v>273.28800000000012</v>
      </c>
      <c r="CU81" s="17">
        <f>CT81*VLOOKUP('Données projet'!$B$13,Paramètres!$A$1:$I$89,3,0)*VLOOKUP('Données projet'!$B$13,Paramètres!$A$1:$I$89,5,0)</f>
        <v>311.22037440000014</v>
      </c>
      <c r="CV81" s="13">
        <f t="shared" si="95"/>
        <v>73.52363461111257</v>
      </c>
      <c r="CW81" s="20">
        <f t="shared" si="67"/>
        <v>670.09581569435466</v>
      </c>
      <c r="CX81" s="59">
        <f t="shared" si="68"/>
        <v>940.01925372878088</v>
      </c>
      <c r="CY81" s="59">
        <f ca="1">AVERAGE(OFFSET($CX$3,0,0,'Données projet'!$E$13+1,1))-AVERAGE(OFFSET($H$3,0,0,'Données projet'!$E$13+1,1))</f>
        <v>765.9523557587147</v>
      </c>
      <c r="CZ81" s="59">
        <f t="shared" si="96"/>
        <v>347.40395092312815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38.673491933511833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38.673491933511833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2.3076923076923093</v>
      </c>
      <c r="DO81" s="12">
        <f>IF('Données projet'!$A$166&gt;35,DO80+DN81-DW80,IF(A81&lt;'Données projet'!$A$166,$DL$205^A81,IF(A81='Données projet'!$A$166,'Données projet'!$B$166,DO80+DN81-DW80)))</f>
        <v>140.897435897436</v>
      </c>
      <c r="DP81" s="17">
        <f>DO81*VLOOKUP('Données projet'!$B$14,Paramètres!$A$1:$I$89,3,0)*VLOOKUP('Données projet'!$B$14,Paramètres!$A$1:$I$89,5,0)</f>
        <v>123.08800000000011</v>
      </c>
      <c r="DQ81" s="13">
        <f t="shared" si="97"/>
        <v>32.394156107533959</v>
      </c>
      <c r="DR81" s="20">
        <f t="shared" si="70"/>
        <v>270.79808855395521</v>
      </c>
      <c r="DS81" s="59">
        <f t="shared" si="71"/>
        <v>540.72152658838149</v>
      </c>
      <c r="DT81" s="59">
        <f ca="1">AVERAGE(OFFSET($DS$3,0,0,'Données projet'!$E$14+1,1))-AVERAGE(OFFSET($H$3,0,0,'Données projet'!$E$14+1,1))</f>
        <v>253.82888243490106</v>
      </c>
      <c r="DU81" s="59">
        <f t="shared" si="98"/>
        <v>224.11983819941796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17.546460328325082</v>
      </c>
      <c r="EB81" s="21">
        <f>EXP(-LN(2)/25)*EB80+(1-EXP(-LN(2)/25))/(LN(2)/25)*Calculateur!DW81*Calculateur!DY81*VLOOKUP('Données projet'!$B$14,Paramètres!$A$1:$I$89,3,0)*0.475*44/12</f>
        <v>9.6092935060757299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27.155753834400812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>
        <f>VLOOKUP(A82,'Données projet'!$A$35:$I$55,2,0)</f>
        <v>495.91</v>
      </c>
      <c r="L82" s="12">
        <f>VLOOKUP(A82,'Données projet'!$A$35:$I$55,9,0)</f>
        <v>15.115000000000002</v>
      </c>
      <c r="M82" s="12">
        <f t="array" ref="M82">INDEX(L:L,MIN(IF(ISNUMBER(L82:L278),ROW(L82:L278),"")))</f>
        <v>15.115000000000002</v>
      </c>
      <c r="N82" s="13">
        <f>IF('Données projet'!$A$36&gt;35,N81+M82-V81,IF(A82&lt;'Données projet'!$A$36,$K$205^A82,IF(A82='Données projet'!$A$36,'Données projet'!$B$36,N81+M82-V81)))</f>
        <v>495.90999999999997</v>
      </c>
      <c r="O82" s="13">
        <f>N82*VLOOKUP('Données projet'!$B$9,Paramètres!$A$1:$I$89,3,0)*VLOOKUP('Données projet'!$B$9,Paramètres!$A$1:$I$89,5,0)</f>
        <v>232.08587999999997</v>
      </c>
      <c r="P82" s="13">
        <f t="shared" si="87"/>
        <v>56.733460300074178</v>
      </c>
      <c r="Q82" s="20">
        <f t="shared" si="54"/>
        <v>503.02701768929575</v>
      </c>
      <c r="R82" s="59">
        <f t="shared" si="55"/>
        <v>773.3565650704727</v>
      </c>
      <c r="S82" s="59">
        <f ca="1">AVERAGE(OFFSET($R$3,0,0,'Données projet'!$E$9+1,1))-AVERAGE(OFFSET($H$3,0,0,'Données projet'!$E$9+1,1))</f>
        <v>387.50901594883317</v>
      </c>
      <c r="T82" s="59">
        <f t="shared" si="88"/>
        <v>361.3623790401972</v>
      </c>
      <c r="U82" s="15">
        <f>IF(ISNA(VLOOKUP(A82,'Données projet'!$A$35:$I$55,3,0)),0,VLOOKUP(A82,'Données projet'!$A$35:$I$55,3,0))</f>
        <v>6</v>
      </c>
      <c r="V82" s="15">
        <f>IF(ISNA(VLOOKUP(A82,'Données projet'!$A$35:$I$55,4,0)),0,VLOOKUP(A82,'Données projet'!$A$35:$I$55,4,0))</f>
        <v>87.99</v>
      </c>
      <c r="W82" s="16">
        <f>IF(ISNA(VLOOKUP(A82,'Données projet'!$A$35:$I$55,5,0)),0%,VLOOKUP(A82,'Données projet'!$A$35:$I$55,5,0)*VLOOKUP('Données projet'!$B$9,Paramètres!$A$1:$I$89,7,0))</f>
        <v>0.38500000000000001</v>
      </c>
      <c r="X82" s="16">
        <f>IF(ISNA(VLOOKUP(A82,'Données projet'!$A$35:$I$55,6,0)),0%,VLOOKUP(A82,'Données projet'!$A$35:$I$55,6,0)*VLOOKUP('Données projet'!$B$9,Paramètres!$A$1:$I$89,7,0))</f>
        <v>0.16500000000000001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89.764792811740094</v>
      </c>
      <c r="AA82" s="21">
        <f>EXP(-LN(2)/25)*AA81+(1-EXP(-LN(2)/25))/(LN(2)/25)*Calculateur!V82*Calculateur!X82*VLOOKUP('Données projet'!$B$9,Paramètres!$A$1:$I$89,3,0)*0.475*44/12</f>
        <v>44.393098717945527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134.15789152968563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9.782</v>
      </c>
      <c r="AI82" s="13">
        <f>IF('Données projet'!$A$62&gt;35,AI81+AH82-AQ81,IF(A82&lt;'Données projet'!$A$62,$AF$205^A82,IF(A82='Données projet'!$A$62,'Données projet'!$B$62,AI81+AH82-AQ81)))</f>
        <v>510.21799999999996</v>
      </c>
      <c r="AJ82" s="13">
        <f>AI82*VLOOKUP('Données projet'!$B$10,Paramètres!$A$1:$I$89,3,0)*VLOOKUP('Données projet'!$B$10,Paramètres!$A$1:$I$89,5,0)</f>
        <v>305.110364</v>
      </c>
      <c r="AK82" s="13">
        <f t="shared" si="89"/>
        <v>72.246736607705117</v>
      </c>
      <c r="AL82" s="20">
        <f t="shared" si="58"/>
        <v>657.23028355841973</v>
      </c>
      <c r="AM82" s="59">
        <f t="shared" si="59"/>
        <v>927.55983093959662</v>
      </c>
      <c r="AN82" s="59">
        <f ca="1">AVERAGE(OFFSET($AM$3,0,0,'Données projet'!$E$10+1,1))-AVERAGE(OFFSET($H$3,0,0,'Données projet'!$E$10+1,1))</f>
        <v>373.47758082856359</v>
      </c>
      <c r="AO82" s="59">
        <f t="shared" si="90"/>
        <v>277.24895424120166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42.949395286165334</v>
      </c>
      <c r="AV82" s="21">
        <f>EXP(-LN(2)/25)*AV81+(1-EXP(-LN(2)/25))/(LN(2)/25)*Calculateur!AQ82*Calculateur!AS82*VLOOKUP('Données projet'!$B$10,Paramètres!$A$1:$I$89,3,0)*0.475*44/12</f>
        <v>25.983023046596934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68.932418332762268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8.6770000000000014</v>
      </c>
      <c r="BD82" s="12">
        <f>IF('Données projet'!$A$88&gt;35,BD81+BC82-BL81,IF(A82&lt;'Données projet'!$A$88,$BA$205^A82,IF(A82='Données projet'!$A$88,'Données projet'!$B$88,BD81+BC82-BL81)))</f>
        <v>281.96500000000015</v>
      </c>
      <c r="BE82" s="13">
        <f>BD82*VLOOKUP('Données projet'!$B$11,Paramètres!$A$1:$I$89,3,0)*VLOOKUP('Données projet'!$B$11,Paramètres!$A$1:$I$89,5,0)</f>
        <v>255.1219320000001</v>
      </c>
      <c r="BF82" s="13">
        <f t="shared" si="91"/>
        <v>61.681427575411924</v>
      </c>
      <c r="BG82" s="20">
        <f t="shared" si="61"/>
        <v>551.76585126050918</v>
      </c>
      <c r="BH82" s="59">
        <f t="shared" si="62"/>
        <v>822.09539864168619</v>
      </c>
      <c r="BI82" s="59">
        <f ca="1">AVERAGE(OFFSET($BH$3,0,0,'Données projet'!$E$11+1,1))-AVERAGE(OFFSET($H$3,0,0,'Données projet'!$E$11+1,1))</f>
        <v>627.65081154031589</v>
      </c>
      <c r="BJ82" s="59">
        <f t="shared" si="92"/>
        <v>288.78083487077618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30.124348548238373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30.124348548238373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8.6770000000000014</v>
      </c>
      <c r="BY82" s="12">
        <f>IF('Données projet'!$A$114&gt;35,BY81+BX82-CG81,IF(A82&lt;'Données projet'!$A$114,$BV$205^A82,IF(A82='Données projet'!$A$114,'Données projet'!$B$114,BY81+BX82-CG81)))</f>
        <v>281.96500000000015</v>
      </c>
      <c r="BZ82" s="13">
        <f>BY82*VLOOKUP('Données projet'!$B$12,Paramètres!$A$1:$I$89,3,0)*VLOOKUP('Données projet'!$B$12,Paramètres!$A$1:$I$89,5,0)</f>
        <v>285.91251000000017</v>
      </c>
      <c r="CA82" s="13">
        <f t="shared" si="93"/>
        <v>68.214968580220258</v>
      </c>
      <c r="CB82" s="20">
        <f t="shared" si="64"/>
        <v>616.77202519388391</v>
      </c>
      <c r="CC82" s="59">
        <f t="shared" si="65"/>
        <v>887.1015725750608</v>
      </c>
      <c r="CD82" s="59">
        <f ca="1">AVERAGE(OFFSET($CC$3,0,0,'Données projet'!$E$12+1,1))-AVERAGE(OFFSET($H$3,0,0,'Données projet'!$E$12+1,1))</f>
        <v>692.2706942067415</v>
      </c>
      <c r="CE82" s="59">
        <f t="shared" si="94"/>
        <v>316.17529091924803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33.760045786818864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33.760045786818864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8.6770000000000014</v>
      </c>
      <c r="CT82" s="12">
        <f>IF('Données projet'!$A$140&gt;35,CT81+CS82-DB81,IF(A82&lt;'Données projet'!$A$140,$CQ$205^A82,IF(A82='Données projet'!$A$140,'Données projet'!$B$140,CT81+CS82-DB81)))</f>
        <v>281.96500000000015</v>
      </c>
      <c r="CU82" s="17">
        <f>CT82*VLOOKUP('Données projet'!$B$13,Paramètres!$A$1:$I$89,3,0)*VLOOKUP('Données projet'!$B$13,Paramètres!$A$1:$I$89,5,0)</f>
        <v>321.10174200000017</v>
      </c>
      <c r="CV82" s="13">
        <f t="shared" si="95"/>
        <v>75.582546636408821</v>
      </c>
      <c r="CW82" s="20">
        <f t="shared" si="67"/>
        <v>690.89180270841234</v>
      </c>
      <c r="CX82" s="59">
        <f t="shared" si="68"/>
        <v>961.22135008958935</v>
      </c>
      <c r="CY82" s="59">
        <f ca="1">AVERAGE(OFFSET($CX$3,0,0,'Données projet'!$E$13+1,1))-AVERAGE(OFFSET($H$3,0,0,'Données projet'!$E$13+1,1))</f>
        <v>765.9523557587147</v>
      </c>
      <c r="CZ82" s="59">
        <f t="shared" si="96"/>
        <v>347.40395092312815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37.915128345196578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37.915128345196578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2.3076923076923093</v>
      </c>
      <c r="DO82" s="12">
        <f>IF('Données projet'!$A$166&gt;35,DO81+DN82-DW81,IF(A82&lt;'Données projet'!$A$166,$DL$205^A82,IF(A82='Données projet'!$A$166,'Données projet'!$B$166,DO81+DN82-DW81)))</f>
        <v>143.20512820512832</v>
      </c>
      <c r="DP82" s="17">
        <f>DO82*VLOOKUP('Données projet'!$B$14,Paramètres!$A$1:$I$89,3,0)*VLOOKUP('Données projet'!$B$14,Paramètres!$A$1:$I$89,5,0)</f>
        <v>125.10400000000013</v>
      </c>
      <c r="DQ82" s="13">
        <f t="shared" si="97"/>
        <v>32.862522273200391</v>
      </c>
      <c r="DR82" s="20">
        <f t="shared" si="70"/>
        <v>275.12502629249087</v>
      </c>
      <c r="DS82" s="59">
        <f t="shared" si="71"/>
        <v>545.45457367366782</v>
      </c>
      <c r="DT82" s="59">
        <f ca="1">AVERAGE(OFFSET($DS$3,0,0,'Données projet'!$E$14+1,1))-AVERAGE(OFFSET($H$3,0,0,'Données projet'!$E$14+1,1))</f>
        <v>253.82888243490106</v>
      </c>
      <c r="DU82" s="59">
        <f t="shared" si="98"/>
        <v>224.11983819941796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17.202384943570664</v>
      </c>
      <c r="EB82" s="21">
        <f>EXP(-LN(2)/25)*EB81+(1-EXP(-LN(2)/25))/(LN(2)/25)*Calculateur!DW82*Calculateur!DY82*VLOOKUP('Données projet'!$B$14,Paramètres!$A$1:$I$89,3,0)*0.475*44/12</f>
        <v>9.3465268698213055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26.548911813391967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14.212499999999999</v>
      </c>
      <c r="N83" s="13">
        <f>IF('Données projet'!$A$36&gt;35,N82+M83-V82,IF(A83&lt;'Données projet'!$A$36,$K$205^A83,IF(A83='Données projet'!$A$36,'Données projet'!$B$36,N82+M83-V82)))</f>
        <v>422.13249999999994</v>
      </c>
      <c r="O83" s="13">
        <f>N83*VLOOKUP('Données projet'!$B$9,Paramètres!$A$1:$I$89,3,0)*VLOOKUP('Données projet'!$B$9,Paramètres!$A$1:$I$89,5,0)</f>
        <v>197.55800999999997</v>
      </c>
      <c r="P83" s="13">
        <f t="shared" si="87"/>
        <v>49.207109119088621</v>
      </c>
      <c r="Q83" s="20">
        <f t="shared" si="54"/>
        <v>429.78258246574592</v>
      </c>
      <c r="R83" s="59">
        <f t="shared" si="55"/>
        <v>700.51119410443198</v>
      </c>
      <c r="S83" s="59">
        <f ca="1">AVERAGE(OFFSET($R$3,0,0,'Données projet'!$E$9+1,1))-AVERAGE(OFFSET($H$3,0,0,'Données projet'!$E$9+1,1))</f>
        <v>387.50901594883317</v>
      </c>
      <c r="T83" s="59">
        <f t="shared" si="88"/>
        <v>361.3623790401972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88.004559975819262</v>
      </c>
      <c r="AA83" s="21">
        <f>EXP(-LN(2)/25)*AA82+(1-EXP(-LN(2)/25))/(LN(2)/25)*Calculateur!V83*Calculateur!X83*VLOOKUP('Données projet'!$B$9,Paramètres!$A$1:$I$89,3,0)*0.475*44/12</f>
        <v>43.17916709897171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131.18372707479097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520</v>
      </c>
      <c r="AG83" s="12">
        <f>VLOOKUP(A83,'Données projet'!$A$61:$I$81,9,0)</f>
        <v>9.782</v>
      </c>
      <c r="AH83" s="12">
        <f t="array" ref="AH83">INDEX(AG:AG,MIN(IF(ISNUMBER(AG83:AG279),ROW(AG83:AG279),"")))</f>
        <v>9.782</v>
      </c>
      <c r="AI83" s="13">
        <f>IF('Données projet'!$A$62&gt;35,AI82+AH83-AQ82,IF(A83&lt;'Données projet'!$A$62,$AF$205^A83,IF(A83='Données projet'!$A$62,'Données projet'!$B$62,AI82+AH83-AQ82)))</f>
        <v>520</v>
      </c>
      <c r="AJ83" s="13">
        <f>AI83*VLOOKUP('Données projet'!$B$10,Paramètres!$A$1:$I$89,3,0)*VLOOKUP('Données projet'!$B$10,Paramètres!$A$1:$I$89,5,0)</f>
        <v>310.96000000000004</v>
      </c>
      <c r="AK83" s="13">
        <f t="shared" si="89"/>
        <v>73.469280288324128</v>
      </c>
      <c r="AL83" s="20">
        <f t="shared" si="58"/>
        <v>669.54766316883126</v>
      </c>
      <c r="AM83" s="59">
        <f t="shared" si="59"/>
        <v>940.27627480751744</v>
      </c>
      <c r="AN83" s="59">
        <f ca="1">AVERAGE(OFFSET($AM$3,0,0,'Données projet'!$E$10+1,1))-AVERAGE(OFFSET($H$3,0,0,'Données projet'!$E$10+1,1))</f>
        <v>373.47758082856359</v>
      </c>
      <c r="AO83" s="59">
        <f t="shared" si="90"/>
        <v>277.24895424120166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520</v>
      </c>
      <c r="AR83" s="16">
        <f>IF(ISNA(VLOOKUP(A83,'Données projet'!$A$61:$I$81,5,0)),0%,VLOOKUP(A83,'Données projet'!$A$61:$I$81,5,0)*VLOOKUP('Données projet'!$B$10,Paramètres!$A$1:$I$89,7,0))</f>
        <v>0.315</v>
      </c>
      <c r="AS83" s="16">
        <f>IF(ISNA(VLOOKUP(A83,'Données projet'!$A$61:$I$81,6,0)),0%,VLOOKUP(A83,'Données projet'!$A$61:$I$81,6,0)*VLOOKUP('Données projet'!$B$10,Paramètres!$A$1:$I$89,7,0))</f>
        <v>0.13500000000000001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172.04735600614413</v>
      </c>
      <c r="AV83" s="21">
        <f>EXP(-LN(2)/25)*AV82+(1-EXP(-LN(2)/25))/(LN(2)/25)*Calculateur!AQ83*Calculateur!AS83*VLOOKUP('Données projet'!$B$10,Paramètres!$A$1:$I$89,3,0)*0.475*44/12</f>
        <v>80.741893713326476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252.7892497194706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8.6770000000000014</v>
      </c>
      <c r="BD83" s="12">
        <f>IF('Données projet'!$A$88&gt;35,BD82+BC83-BL82,IF(A83&lt;'Données projet'!$A$88,$BA$205^A83,IF(A83='Données projet'!$A$88,'Données projet'!$B$88,BD82+BC83-BL82)))</f>
        <v>290.64200000000017</v>
      </c>
      <c r="BE83" s="13">
        <f>BD83*VLOOKUP('Données projet'!$B$11,Paramètres!$A$1:$I$89,3,0)*VLOOKUP('Données projet'!$B$11,Paramètres!$A$1:$I$89,5,0)</f>
        <v>262.97288160000016</v>
      </c>
      <c r="BF83" s="13">
        <f t="shared" si="91"/>
        <v>63.355656254051972</v>
      </c>
      <c r="BG83" s="20">
        <f t="shared" si="61"/>
        <v>568.35553676247412</v>
      </c>
      <c r="BH83" s="59">
        <f t="shared" si="62"/>
        <v>839.08414840116029</v>
      </c>
      <c r="BI83" s="59">
        <f ca="1">AVERAGE(OFFSET($BH$3,0,0,'Données projet'!$E$11+1,1))-AVERAGE(OFFSET($H$3,0,0,'Données projet'!$E$11+1,1))</f>
        <v>627.65081154031589</v>
      </c>
      <c r="BJ83" s="59">
        <f t="shared" si="92"/>
        <v>288.78083487077618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29.533628447245746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29.533628447245746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8.6770000000000014</v>
      </c>
      <c r="BY83" s="12">
        <f>IF('Données projet'!$A$114&gt;35,BY82+BX83-CG82,IF(A83&lt;'Données projet'!$A$114,$BV$205^A83,IF(A83='Données projet'!$A$114,'Données projet'!$B$114,BY82+BX83-CG82)))</f>
        <v>290.64200000000017</v>
      </c>
      <c r="BZ83" s="13">
        <f>BY83*VLOOKUP('Données projet'!$B$12,Paramètres!$A$1:$I$89,3,0)*VLOOKUP('Données projet'!$B$12,Paramètres!$A$1:$I$89,5,0)</f>
        <v>294.71098800000021</v>
      </c>
      <c r="CA83" s="13">
        <f t="shared" si="93"/>
        <v>70.066538188752801</v>
      </c>
      <c r="CB83" s="20">
        <f t="shared" si="64"/>
        <v>635.3208581120781</v>
      </c>
      <c r="CC83" s="59">
        <f t="shared" si="65"/>
        <v>906.04946975076427</v>
      </c>
      <c r="CD83" s="59">
        <f ca="1">AVERAGE(OFFSET($CC$3,0,0,'Données projet'!$E$12+1,1))-AVERAGE(OFFSET($H$3,0,0,'Données projet'!$E$12+1,1))</f>
        <v>692.2706942067415</v>
      </c>
      <c r="CE83" s="59">
        <f t="shared" si="94"/>
        <v>316.17529091924803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33.098031880534023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33.098031880534023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8.6770000000000014</v>
      </c>
      <c r="CT83" s="12">
        <f>IF('Données projet'!$A$140&gt;35,CT82+CS83-DB82,IF(A83&lt;'Données projet'!$A$140,$CQ$205^A83,IF(A83='Données projet'!$A$140,'Données projet'!$B$140,CT82+CS83-DB82)))</f>
        <v>290.64200000000017</v>
      </c>
      <c r="CU83" s="17">
        <f>CT83*VLOOKUP('Données projet'!$B$13,Paramètres!$A$1:$I$89,3,0)*VLOOKUP('Données projet'!$B$13,Paramètres!$A$1:$I$89,5,0)</f>
        <v>330.98310960000015</v>
      </c>
      <c r="CV83" s="13">
        <f t="shared" si="95"/>
        <v>77.634095573544187</v>
      </c>
      <c r="CW83" s="20">
        <f t="shared" si="67"/>
        <v>711.6749656772563</v>
      </c>
      <c r="CX83" s="59">
        <f t="shared" si="68"/>
        <v>982.40357731594236</v>
      </c>
      <c r="CY83" s="59">
        <f ca="1">AVERAGE(OFFSET($CX$3,0,0,'Données projet'!$E$13+1,1))-AVERAGE(OFFSET($H$3,0,0,'Données projet'!$E$13+1,1))</f>
        <v>765.9523557587147</v>
      </c>
      <c r="CZ83" s="59">
        <f t="shared" si="96"/>
        <v>347.40395092312815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37.171635804292066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37.171635804292066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145.51282051282053</v>
      </c>
      <c r="DM83" s="12">
        <f>VLOOKUP(A83,'Données projet'!$A$165:$I$185,9,0)</f>
        <v>2.3076923076923093</v>
      </c>
      <c r="DN83" s="12">
        <f t="array" ref="DN83">INDEX(DM:DM,MIN(IF(ISNUMBER(DM83:DM279),ROW(DM83:DM279),"")))</f>
        <v>2.3076923076923093</v>
      </c>
      <c r="DO83" s="12">
        <f>IF('Données projet'!$A$166&gt;35,DO82+DN83-DW82,IF(A83&lt;'Données projet'!$A$166,$DL$205^A83,IF(A83='Données projet'!$A$166,'Données projet'!$B$166,DO82+DN83-DW82)))</f>
        <v>145.51282051282064</v>
      </c>
      <c r="DP83" s="17">
        <f>DO83*VLOOKUP('Données projet'!$B$14,Paramètres!$A$1:$I$89,3,0)*VLOOKUP('Données projet'!$B$14,Paramètres!$A$1:$I$89,5,0)</f>
        <v>127.12000000000012</v>
      </c>
      <c r="DQ83" s="13">
        <f t="shared" si="97"/>
        <v>33.330010689646656</v>
      </c>
      <c r="DR83" s="20">
        <f t="shared" si="70"/>
        <v>279.45043528446814</v>
      </c>
      <c r="DS83" s="59">
        <f t="shared" si="71"/>
        <v>550.17904692315426</v>
      </c>
      <c r="DT83" s="59">
        <f ca="1">AVERAGE(OFFSET($DS$3,0,0,'Données projet'!$E$14+1,1))-AVERAGE(OFFSET($H$3,0,0,'Données projet'!$E$14+1,1))</f>
        <v>253.82888243490106</v>
      </c>
      <c r="DU83" s="59">
        <f t="shared" si="98"/>
        <v>224.11983819941796</v>
      </c>
      <c r="DV83" s="15">
        <f>IF(ISNA(VLOOKUP(A83,'Données projet'!$A$165:$I$185,3,0)),0,VLOOKUP(A83,'Données projet'!$A$165:$I$185,3,0))</f>
        <v>15</v>
      </c>
      <c r="DW83" s="15">
        <f>IF(ISNA(VLOOKUP(A83,'Données projet'!$A$165:$I$185,4,0)),0,VLOOKUP(A83,'Données projet'!$A$165:$I$185,4,0))</f>
        <v>8.3333333333333339</v>
      </c>
      <c r="DX83" s="16">
        <f>IF(ISNA(VLOOKUP(A83,'Données projet'!$A$165:$I$185,5,0)),0%,VLOOKUP(A83,'Données projet'!$A$165:$I$185,5,0)*VLOOKUP('Données projet'!$B$14,Paramètres!$A$1:$I$89,7,0))</f>
        <v>0.25800000000000001</v>
      </c>
      <c r="DY83" s="16">
        <f>IF(ISNA(VLOOKUP(A83,'Données projet'!$A$165:$I$185,6,0)),0%,VLOOKUP(A83,'Données projet'!$A$165:$I$185,6,0)*VLOOKUP('Données projet'!$B$14,Paramètres!$A$1:$I$89,7,0))</f>
        <v>0.129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18.941395352899988</v>
      </c>
      <c r="EB83" s="21">
        <f>EXP(-LN(2)/25)*EB82+(1-EXP(-LN(2)/25))/(LN(2)/25)*Calculateur!DW83*Calculateur!DY83*VLOOKUP('Données projet'!$B$14,Paramètres!$A$1:$I$89,3,0)*0.475*44/12</f>
        <v>10.125027275604298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29.066422628504284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14.212499999999999</v>
      </c>
      <c r="N84" s="13">
        <f>IF('Données projet'!$A$36&gt;35,N83+M84-V83,IF(A84&lt;'Données projet'!$A$36,$K$205^A84,IF(A84='Données projet'!$A$36,'Données projet'!$B$36,N83+M84-V83)))</f>
        <v>436.34499999999991</v>
      </c>
      <c r="O84" s="13">
        <f>N84*VLOOKUP('Données projet'!$B$9,Paramètres!$A$1:$I$89,3,0)*VLOOKUP('Données projet'!$B$9,Paramètres!$A$1:$I$89,5,0)</f>
        <v>204.20945999999995</v>
      </c>
      <c r="P84" s="13">
        <f t="shared" si="87"/>
        <v>50.668155185492893</v>
      </c>
      <c r="Q84" s="20">
        <f t="shared" si="54"/>
        <v>443.91184644806668</v>
      </c>
      <c r="R84" s="59">
        <f t="shared" si="55"/>
        <v>715.03259947156812</v>
      </c>
      <c r="S84" s="59">
        <f ca="1">AVERAGE(OFFSET($R$3,0,0,'Données projet'!$E$9+1,1))-AVERAGE(OFFSET($H$3,0,0,'Données projet'!$E$9+1,1))</f>
        <v>387.50901594883317</v>
      </c>
      <c r="T84" s="59">
        <f t="shared" si="88"/>
        <v>361.3623790401972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86.278844232174819</v>
      </c>
      <c r="AA84" s="21">
        <f>EXP(-LN(2)/25)*AA83+(1-EXP(-LN(2)/25))/(LN(2)/25)*Calculateur!V84*Calculateur!X84*VLOOKUP('Données projet'!$B$9,Paramètres!$A$1:$I$89,3,0)*0.475*44/12</f>
        <v>41.998430503956619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128.27727473613143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373.47758082856359</v>
      </c>
      <c r="AO84" s="59">
        <f t="shared" si="90"/>
        <v>277.24895424120166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168.673612293389</v>
      </c>
      <c r="AV84" s="21">
        <f>EXP(-LN(2)/25)*AV83+(1-EXP(-LN(2)/25))/(LN(2)/25)*Calculateur!AQ84*Calculateur!AS84*VLOOKUP('Données projet'!$B$10,Paramètres!$A$1:$I$89,3,0)*0.475*44/12</f>
        <v>78.534002383703907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247.20761467709292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8.6770000000000014</v>
      </c>
      <c r="BD84" s="12">
        <f>IF('Données projet'!$A$88&gt;35,BD83+BC84-BL83,IF(A84&lt;'Données projet'!$A$88,$BA$205^A84,IF(A84='Données projet'!$A$88,'Données projet'!$B$88,BD83+BC84-BL83)))</f>
        <v>299.31900000000019</v>
      </c>
      <c r="BE84" s="13">
        <f>BD84*VLOOKUP('Données projet'!$B$11,Paramètres!$A$1:$I$89,3,0)*VLOOKUP('Données projet'!$B$11,Paramètres!$A$1:$I$89,5,0)</f>
        <v>270.8238312000002</v>
      </c>
      <c r="BF84" s="13">
        <f t="shared" si="91"/>
        <v>65.024076047844915</v>
      </c>
      <c r="BG84" s="20">
        <f t="shared" si="61"/>
        <v>584.93510512333023</v>
      </c>
      <c r="BH84" s="59">
        <f t="shared" si="62"/>
        <v>856.05585814683172</v>
      </c>
      <c r="BI84" s="59">
        <f ca="1">AVERAGE(OFFSET($BH$3,0,0,'Données projet'!$E$11+1,1))-AVERAGE(OFFSET($H$3,0,0,'Données projet'!$E$11+1,1))</f>
        <v>627.65081154031589</v>
      </c>
      <c r="BJ84" s="59">
        <f t="shared" si="92"/>
        <v>288.78083487077618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28.9544920071299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28.9544920071299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8.6770000000000014</v>
      </c>
      <c r="BY84" s="12">
        <f>IF('Données projet'!$A$114&gt;35,BY83+BX84-CG83,IF(A84&lt;'Données projet'!$A$114,$BV$205^A84,IF(A84='Données projet'!$A$114,'Données projet'!$B$114,BY83+BX84-CG83)))</f>
        <v>299.31900000000019</v>
      </c>
      <c r="BZ84" s="13">
        <f>BY84*VLOOKUP('Données projet'!$B$12,Paramètres!$A$1:$I$89,3,0)*VLOOKUP('Données projet'!$B$12,Paramètres!$A$1:$I$89,5,0)</f>
        <v>303.5094660000002</v>
      </c>
      <c r="CA84" s="13">
        <f t="shared" si="93"/>
        <v>71.911683612358004</v>
      </c>
      <c r="CB84" s="20">
        <f t="shared" si="64"/>
        <v>653.85850224152387</v>
      </c>
      <c r="CC84" s="59">
        <f t="shared" si="65"/>
        <v>924.97925526502536</v>
      </c>
      <c r="CD84" s="59">
        <f ca="1">AVERAGE(OFFSET($CC$3,0,0,'Données projet'!$E$12+1,1))-AVERAGE(OFFSET($H$3,0,0,'Données projet'!$E$12+1,1))</f>
        <v>692.2706942067415</v>
      </c>
      <c r="CE84" s="59">
        <f t="shared" si="94"/>
        <v>316.17529091924803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32.448999663162816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32.448999663162816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8.6770000000000014</v>
      </c>
      <c r="CT84" s="12">
        <f>IF('Données projet'!$A$140&gt;35,CT83+CS84-DB83,IF(A84&lt;'Données projet'!$A$140,$CQ$205^A84,IF(A84='Données projet'!$A$140,'Données projet'!$B$140,CT83+CS84-DB83)))</f>
        <v>299.31900000000019</v>
      </c>
      <c r="CU84" s="17">
        <f>CT84*VLOOKUP('Données projet'!$B$13,Paramètres!$A$1:$I$89,3,0)*VLOOKUP('Données projet'!$B$13,Paramètres!$A$1:$I$89,5,0)</f>
        <v>340.86447720000024</v>
      </c>
      <c r="CV84" s="13">
        <f t="shared" si="95"/>
        <v>79.678526479740199</v>
      </c>
      <c r="CW84" s="20">
        <f t="shared" si="67"/>
        <v>732.44573140888122</v>
      </c>
      <c r="CX84" s="59">
        <f t="shared" si="68"/>
        <v>1003.5664844323826</v>
      </c>
      <c r="CY84" s="59">
        <f ca="1">AVERAGE(OFFSET($CX$3,0,0,'Données projet'!$E$13+1,1))-AVERAGE(OFFSET($H$3,0,0,'Données projet'!$E$13+1,1))</f>
        <v>765.9523557587147</v>
      </c>
      <c r="CZ84" s="59">
        <f t="shared" si="96"/>
        <v>347.40395092312815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36.442722698629019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36.442722698629019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2.0512820512820498</v>
      </c>
      <c r="DO84" s="12">
        <f>IF('Données projet'!$A$166&gt;35,DO83+DN84-DW83,IF(A84&lt;'Données projet'!$A$166,$DL$205^A84,IF(A84='Données projet'!$A$166,'Données projet'!$B$166,DO83+DN84-DW83)))</f>
        <v>139.23076923076934</v>
      </c>
      <c r="DP84" s="17">
        <f>DO84*VLOOKUP('Données projet'!$B$14,Paramètres!$A$1:$I$89,3,0)*VLOOKUP('Données projet'!$B$14,Paramètres!$A$1:$I$89,5,0)</f>
        <v>121.6320000000001</v>
      </c>
      <c r="DQ84" s="13">
        <f t="shared" si="97"/>
        <v>32.055336725596518</v>
      </c>
      <c r="DR84" s="20">
        <f t="shared" si="70"/>
        <v>267.6721114637474</v>
      </c>
      <c r="DS84" s="59">
        <f t="shared" si="71"/>
        <v>538.79286448724883</v>
      </c>
      <c r="DT84" s="59">
        <f ca="1">AVERAGE(OFFSET($DS$3,0,0,'Données projet'!$E$14+1,1))-AVERAGE(OFFSET($H$3,0,0,'Données projet'!$E$14+1,1))</f>
        <v>253.82888243490106</v>
      </c>
      <c r="DU84" s="59">
        <f t="shared" si="98"/>
        <v>224.11983819941796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18.569966143140011</v>
      </c>
      <c r="EB84" s="21">
        <f>EXP(-LN(2)/25)*EB83+(1-EXP(-LN(2)/25))/(LN(2)/25)*Calculateur!DW84*Calculateur!DY84*VLOOKUP('Données projet'!$B$14,Paramètres!$A$1:$I$89,3,0)*0.475*44/12</f>
        <v>9.8481578723008543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28.418124015440867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14.212499999999999</v>
      </c>
      <c r="N85" s="13">
        <f>IF('Données projet'!$A$36&gt;35,N84+M85-V84,IF(A85&lt;'Données projet'!$A$36,$K$205^A85,IF(A85='Données projet'!$A$36,'Données projet'!$B$36,N84+M85-V84)))</f>
        <v>450.55749999999989</v>
      </c>
      <c r="O85" s="13">
        <f>N85*VLOOKUP('Données projet'!$B$9,Paramètres!$A$1:$I$89,3,0)*VLOOKUP('Données projet'!$B$9,Paramètres!$A$1:$I$89,5,0)</f>
        <v>210.86090999999996</v>
      </c>
      <c r="P85" s="13">
        <f t="shared" si="87"/>
        <v>52.123671374805603</v>
      </c>
      <c r="Q85" s="20">
        <f t="shared" si="54"/>
        <v>458.03147922778635</v>
      </c>
      <c r="R85" s="59">
        <f t="shared" si="55"/>
        <v>729.53757085977338</v>
      </c>
      <c r="S85" s="59">
        <f ca="1">AVERAGE(OFFSET($R$3,0,0,'Données projet'!$E$9+1,1))-AVERAGE(OFFSET($H$3,0,0,'Données projet'!$E$9+1,1))</f>
        <v>387.50901594883317</v>
      </c>
      <c r="T85" s="59">
        <f t="shared" si="88"/>
        <v>361.3623790401972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84.586968721680577</v>
      </c>
      <c r="AA85" s="21">
        <f>EXP(-LN(2)/25)*AA84+(1-EXP(-LN(2)/25))/(LN(2)/25)*Calculateur!V85*Calculateur!X85*VLOOKUP('Données projet'!$B$9,Paramètres!$A$1:$I$89,3,0)*0.475*44/12</f>
        <v>40.849981213224453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125.43694993490503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373.47758082856359</v>
      </c>
      <c r="AO85" s="59">
        <f t="shared" si="90"/>
        <v>277.24895424120166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165.36602563706052</v>
      </c>
      <c r="AV85" s="21">
        <f>EXP(-LN(2)/25)*AV84+(1-EXP(-LN(2)/25))/(LN(2)/25)*Calculateur!AQ85*Calculateur!AS85*VLOOKUP('Données projet'!$B$10,Paramètres!$A$1:$I$89,3,0)*0.475*44/12</f>
        <v>76.386485958597831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241.75251159565835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8.6770000000000014</v>
      </c>
      <c r="BD85" s="12">
        <f>IF('Données projet'!$A$88&gt;35,BD84+BC85-BL84,IF(A85&lt;'Données projet'!$A$88,$BA$205^A85,IF(A85='Données projet'!$A$88,'Données projet'!$B$88,BD84+BC85-BL84)))</f>
        <v>307.99600000000021</v>
      </c>
      <c r="BE85" s="13">
        <f>BD85*VLOOKUP('Données projet'!$B$11,Paramètres!$A$1:$I$89,3,0)*VLOOKUP('Données projet'!$B$11,Paramètres!$A$1:$I$89,5,0)</f>
        <v>278.67478080000018</v>
      </c>
      <c r="BF85" s="13">
        <f t="shared" si="91"/>
        <v>66.686874688958113</v>
      </c>
      <c r="BG85" s="20">
        <f t="shared" si="61"/>
        <v>601.50488330993562</v>
      </c>
      <c r="BH85" s="59">
        <f t="shared" si="62"/>
        <v>873.01097494192265</v>
      </c>
      <c r="BI85" s="59">
        <f ca="1">AVERAGE(OFFSET($BH$3,0,0,'Données projet'!$E$11+1,1))-AVERAGE(OFFSET($H$3,0,0,'Données projet'!$E$11+1,1))</f>
        <v>627.65081154031589</v>
      </c>
      <c r="BJ85" s="59">
        <f t="shared" si="92"/>
        <v>288.78083487077618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28.386712079366379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28.386712079366379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8.6770000000000014</v>
      </c>
      <c r="BY85" s="12">
        <f>IF('Données projet'!$A$114&gt;35,BY84+BX85-CG84,IF(A85&lt;'Données projet'!$A$114,$BV$205^A85,IF(A85='Données projet'!$A$114,'Données projet'!$B$114,BY84+BX85-CG84)))</f>
        <v>307.99600000000021</v>
      </c>
      <c r="BZ85" s="13">
        <f>BY85*VLOOKUP('Données projet'!$B$12,Paramètres!$A$1:$I$89,3,0)*VLOOKUP('Données projet'!$B$12,Paramètres!$A$1:$I$89,5,0)</f>
        <v>312.30794400000019</v>
      </c>
      <c r="CA85" s="13">
        <f t="shared" si="93"/>
        <v>73.750612468537497</v>
      </c>
      <c r="CB85" s="20">
        <f t="shared" si="64"/>
        <v>672.38531918270314</v>
      </c>
      <c r="CC85" s="59">
        <f t="shared" si="65"/>
        <v>943.89141081469018</v>
      </c>
      <c r="CD85" s="59">
        <f ca="1">AVERAGE(OFFSET($CC$3,0,0,'Données projet'!$E$12+1,1))-AVERAGE(OFFSET($H$3,0,0,'Données projet'!$E$12+1,1))</f>
        <v>692.2706942067415</v>
      </c>
      <c r="CE85" s="59">
        <f t="shared" si="94"/>
        <v>316.17529091924803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31.812694571703695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31.812694571703695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8.6770000000000014</v>
      </c>
      <c r="CT85" s="12">
        <f>IF('Données projet'!$A$140&gt;35,CT84+CS85-DB84,IF(A85&lt;'Données projet'!$A$140,$CQ$205^A85,IF(A85='Données projet'!$A$140,'Données projet'!$B$140,CT84+CS85-DB84)))</f>
        <v>307.99600000000021</v>
      </c>
      <c r="CU85" s="17">
        <f>CT85*VLOOKUP('Données projet'!$B$13,Paramètres!$A$1:$I$89,3,0)*VLOOKUP('Données projet'!$B$13,Paramètres!$A$1:$I$89,5,0)</f>
        <v>350.74584480000027</v>
      </c>
      <c r="CV85" s="13">
        <f t="shared" si="95"/>
        <v>81.716069396288958</v>
      </c>
      <c r="CW85" s="20">
        <f t="shared" si="67"/>
        <v>753.20450055853701</v>
      </c>
      <c r="CX85" s="59">
        <f t="shared" si="68"/>
        <v>1024.710592190524</v>
      </c>
      <c r="CY85" s="59">
        <f ca="1">AVERAGE(OFFSET($CX$3,0,0,'Données projet'!$E$13+1,1))-AVERAGE(OFFSET($H$3,0,0,'Données projet'!$E$13+1,1))</f>
        <v>765.9523557587147</v>
      </c>
      <c r="CZ85" s="59">
        <f t="shared" si="96"/>
        <v>347.40395092312815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35.728103134374933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35.728103134374933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2.0512820512820498</v>
      </c>
      <c r="DO85" s="12">
        <f>IF('Données projet'!$A$166&gt;35,DO84+DN85-DW84,IF(A85&lt;'Données projet'!$A$166,$DL$205^A85,IF(A85='Données projet'!$A$166,'Données projet'!$B$166,DO84+DN85-DW84)))</f>
        <v>141.28205128205138</v>
      </c>
      <c r="DP85" s="17">
        <f>DO85*VLOOKUP('Données projet'!$B$14,Paramètres!$A$1:$I$89,3,0)*VLOOKUP('Données projet'!$B$14,Paramètres!$A$1:$I$89,5,0)</f>
        <v>123.42400000000009</v>
      </c>
      <c r="DQ85" s="13">
        <f t="shared" si="97"/>
        <v>32.472278764919849</v>
      </c>
      <c r="DR85" s="20">
        <f t="shared" si="70"/>
        <v>271.51935218223554</v>
      </c>
      <c r="DS85" s="59">
        <f t="shared" si="71"/>
        <v>543.02544381422263</v>
      </c>
      <c r="DT85" s="59">
        <f ca="1">AVERAGE(OFFSET($DS$3,0,0,'Données projet'!$E$14+1,1))-AVERAGE(OFFSET($H$3,0,0,'Données projet'!$E$14+1,1))</f>
        <v>253.82888243490106</v>
      </c>
      <c r="DU85" s="59">
        <f t="shared" si="98"/>
        <v>224.11983819941796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18.205820433633978</v>
      </c>
      <c r="EB85" s="21">
        <f>EXP(-LN(2)/25)*EB84+(1-EXP(-LN(2)/25))/(LN(2)/25)*Calculateur!DW85*Calculateur!DY85*VLOOKUP('Données projet'!$B$14,Paramètres!$A$1:$I$89,3,0)*0.475*44/12</f>
        <v>9.5788594773906723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27.78467991102465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14.212499999999999</v>
      </c>
      <c r="N86" s="13">
        <f>IF('Données projet'!$A$36&gt;35,N85+M86-V85,IF(A86&lt;'Données projet'!$A$36,$K$205^A86,IF(A86='Données projet'!$A$36,'Données projet'!$B$36,N85+M86-V85)))</f>
        <v>464.76999999999987</v>
      </c>
      <c r="O86" s="13">
        <f>N86*VLOOKUP('Données projet'!$B$9,Paramètres!$A$1:$I$89,3,0)*VLOOKUP('Données projet'!$B$9,Paramètres!$A$1:$I$89,5,0)</f>
        <v>217.51235999999994</v>
      </c>
      <c r="P86" s="13">
        <f t="shared" si="87"/>
        <v>53.573852135564842</v>
      </c>
      <c r="Q86" s="20">
        <f t="shared" si="54"/>
        <v>472.141819469442</v>
      </c>
      <c r="R86" s="59">
        <f t="shared" si="55"/>
        <v>744.02656494654548</v>
      </c>
      <c r="S86" s="59">
        <f ca="1">AVERAGE(OFFSET($R$3,0,0,'Données projet'!$E$9+1,1))-AVERAGE(OFFSET($H$3,0,0,'Données projet'!$E$9+1,1))</f>
        <v>387.50901594883317</v>
      </c>
      <c r="T86" s="59">
        <f t="shared" si="88"/>
        <v>361.3623790401972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82.928269858004967</v>
      </c>
      <c r="AA86" s="21">
        <f>EXP(-LN(2)/25)*AA85+(1-EXP(-LN(2)/25))/(LN(2)/25)*Calculateur!V86*Calculateur!X86*VLOOKUP('Données projet'!$B$9,Paramètres!$A$1:$I$89,3,0)*0.475*44/12</f>
        <v>39.73293632874168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122.66120618674665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373.47758082856359</v>
      </c>
      <c r="AO86" s="59">
        <f t="shared" si="90"/>
        <v>277.24895424120166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162.12329873763397</v>
      </c>
      <c r="AV86" s="21">
        <f>EXP(-LN(2)/25)*AV85+(1-EXP(-LN(2)/25))/(LN(2)/25)*Calculateur!AQ86*Calculateur!AS86*VLOOKUP('Données projet'!$B$10,Paramètres!$A$1:$I$89,3,0)*0.475*44/12</f>
        <v>74.297693483069267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236.42099222070323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8.6770000000000014</v>
      </c>
      <c r="BD86" s="12">
        <f>IF('Données projet'!$A$88&gt;35,BD85+BC86-BL85,IF(A86&lt;'Données projet'!$A$88,$BA$205^A86,IF(A86='Données projet'!$A$88,'Données projet'!$B$88,BD85+BC86-BL85)))</f>
        <v>316.67300000000023</v>
      </c>
      <c r="BE86" s="13">
        <f>BD86*VLOOKUP('Données projet'!$B$11,Paramètres!$A$1:$I$89,3,0)*VLOOKUP('Données projet'!$B$11,Paramètres!$A$1:$I$89,5,0)</f>
        <v>286.52573040000021</v>
      </c>
      <c r="BF86" s="13">
        <f t="shared" si="91"/>
        <v>68.344228730046424</v>
      </c>
      <c r="BG86" s="20">
        <f t="shared" si="61"/>
        <v>618.06517881816455</v>
      </c>
      <c r="BH86" s="59">
        <f t="shared" si="62"/>
        <v>889.94992429526803</v>
      </c>
      <c r="BI86" s="59">
        <f ca="1">AVERAGE(OFFSET($BH$3,0,0,'Données projet'!$E$11+1,1))-AVERAGE(OFFSET($H$3,0,0,'Données projet'!$E$11+1,1))</f>
        <v>627.65081154031589</v>
      </c>
      <c r="BJ86" s="59">
        <f t="shared" si="92"/>
        <v>288.78083487077618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27.830065969674738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27.830065969674738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8.6770000000000014</v>
      </c>
      <c r="BY86" s="12">
        <f>IF('Données projet'!$A$114&gt;35,BY85+BX86-CG85,IF(A86&lt;'Données projet'!$A$114,$BV$205^A86,IF(A86='Données projet'!$A$114,'Données projet'!$B$114,BY85+BX86-CG85)))</f>
        <v>316.67300000000023</v>
      </c>
      <c r="BZ86" s="13">
        <f>BY86*VLOOKUP('Données projet'!$B$12,Paramètres!$A$1:$I$89,3,0)*VLOOKUP('Données projet'!$B$12,Paramètres!$A$1:$I$89,5,0)</f>
        <v>321.10642200000024</v>
      </c>
      <c r="CA86" s="13">
        <f t="shared" si="93"/>
        <v>75.58352001110228</v>
      </c>
      <c r="CB86" s="20">
        <f t="shared" si="64"/>
        <v>690.90164900267018</v>
      </c>
      <c r="CC86" s="59">
        <f t="shared" si="65"/>
        <v>962.78639447977366</v>
      </c>
      <c r="CD86" s="59">
        <f ca="1">AVERAGE(OFFSET($CC$3,0,0,'Données projet'!$E$12+1,1))-AVERAGE(OFFSET($H$3,0,0,'Données projet'!$E$12+1,1))</f>
        <v>692.2706942067415</v>
      </c>
      <c r="CE86" s="59">
        <f t="shared" si="94"/>
        <v>316.17529091924803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31.188867034980305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31.188867034980305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8.6770000000000014</v>
      </c>
      <c r="CT86" s="12">
        <f>IF('Données projet'!$A$140&gt;35,CT85+CS86-DB85,IF(A86&lt;'Données projet'!$A$140,$CQ$205^A86,IF(A86='Données projet'!$A$140,'Données projet'!$B$140,CT85+CS86-DB85)))</f>
        <v>316.67300000000023</v>
      </c>
      <c r="CU86" s="17">
        <f>CT86*VLOOKUP('Données projet'!$B$13,Paramètres!$A$1:$I$89,3,0)*VLOOKUP('Données projet'!$B$13,Paramètres!$A$1:$I$89,5,0)</f>
        <v>360.6272124000003</v>
      </c>
      <c r="CV86" s="13">
        <f t="shared" si="95"/>
        <v>83.746940665447596</v>
      </c>
      <c r="CW86" s="20">
        <f t="shared" si="67"/>
        <v>773.95164992232174</v>
      </c>
      <c r="CX86" s="59">
        <f t="shared" si="68"/>
        <v>1045.8363953994253</v>
      </c>
      <c r="CY86" s="59">
        <f ca="1">AVERAGE(OFFSET($CX$3,0,0,'Données projet'!$E$13+1,1))-AVERAGE(OFFSET($H$3,0,0,'Données projet'!$E$13+1,1))</f>
        <v>765.9523557587147</v>
      </c>
      <c r="CZ86" s="59">
        <f t="shared" si="96"/>
        <v>347.40395092312815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35.027496823900975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35.027496823900975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2.0512820512820498</v>
      </c>
      <c r="DO86" s="12">
        <f>IF('Données projet'!$A$166&gt;35,DO85+DN86-DW85,IF(A86&lt;'Données projet'!$A$166,$DL$205^A86,IF(A86='Données projet'!$A$166,'Données projet'!$B$166,DO85+DN86-DW85)))</f>
        <v>143.33333333333343</v>
      </c>
      <c r="DP86" s="17">
        <f>DO86*VLOOKUP('Données projet'!$B$14,Paramètres!$A$1:$I$89,3,0)*VLOOKUP('Données projet'!$B$14,Paramètres!$A$1:$I$89,5,0)</f>
        <v>125.21600000000009</v>
      </c>
      <c r="DQ86" s="13">
        <f t="shared" si="97"/>
        <v>32.888516733565673</v>
      </c>
      <c r="DR86" s="20">
        <f t="shared" si="70"/>
        <v>275.36536664429372</v>
      </c>
      <c r="DS86" s="59">
        <f t="shared" si="71"/>
        <v>547.25011212139725</v>
      </c>
      <c r="DT86" s="59">
        <f ca="1">AVERAGE(OFFSET($DS$3,0,0,'Données projet'!$E$14+1,1))-AVERAGE(OFFSET($H$3,0,0,'Données projet'!$E$14+1,1))</f>
        <v>253.82888243490106</v>
      </c>
      <c r="DU86" s="59">
        <f t="shared" si="98"/>
        <v>224.11983819941796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17.848815399384407</v>
      </c>
      <c r="EB86" s="21">
        <f>EXP(-LN(2)/25)*EB85+(1-EXP(-LN(2)/25))/(LN(2)/25)*Calculateur!DW86*Calculateur!DY86*VLOOKUP('Données projet'!$B$14,Paramètres!$A$1:$I$89,3,0)*0.475*44/12</f>
        <v>9.3169250612510979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27.165740460635504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14.212499999999999</v>
      </c>
      <c r="N87" s="13">
        <f>IF('Données projet'!$A$36&gt;35,N86+M87-V86,IF(A87&lt;'Données projet'!$A$36,$K$205^A87,IF(A87='Données projet'!$A$36,'Données projet'!$B$36,N86+M87-V86)))</f>
        <v>478.98249999999985</v>
      </c>
      <c r="O87" s="13">
        <f>N87*VLOOKUP('Données projet'!$B$9,Paramètres!$A$1:$I$89,3,0)*VLOOKUP('Données projet'!$B$9,Paramètres!$A$1:$I$89,5,0)</f>
        <v>224.16380999999993</v>
      </c>
      <c r="P87" s="13">
        <f t="shared" si="87"/>
        <v>55.018879348273053</v>
      </c>
      <c r="Q87" s="20">
        <f t="shared" si="54"/>
        <v>486.24318394824201</v>
      </c>
      <c r="R87" s="59">
        <f t="shared" si="55"/>
        <v>758.50001447279237</v>
      </c>
      <c r="S87" s="59">
        <f ca="1">AVERAGE(OFFSET($R$3,0,0,'Données projet'!$E$9+1,1))-AVERAGE(OFFSET($H$3,0,0,'Données projet'!$E$9+1,1))</f>
        <v>387.50901594883317</v>
      </c>
      <c r="T87" s="59">
        <f t="shared" si="88"/>
        <v>361.3623790401972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81.302097067339616</v>
      </c>
      <c r="AA87" s="21">
        <f>EXP(-LN(2)/25)*AA86+(1-EXP(-LN(2)/25))/(LN(2)/25)*Calculateur!V87*Calculateur!X87*VLOOKUP('Données projet'!$B$9,Paramètres!$A$1:$I$89,3,0)*0.475*44/12</f>
        <v>38.646437095367929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119.94853416270755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373.47758082856359</v>
      </c>
      <c r="AO87" s="59">
        <f t="shared" si="90"/>
        <v>277.24895424120166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158.94415973483709</v>
      </c>
      <c r="AV87" s="21">
        <f>EXP(-LN(2)/25)*AV86+(1-EXP(-LN(2)/25))/(LN(2)/25)*Calculateur!AQ87*Calculateur!AS87*VLOOKUP('Données projet'!$B$10,Paramètres!$A$1:$I$89,3,0)*0.475*44/12</f>
        <v>72.266019147628853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231.21017888246593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>
        <f>VLOOKUP(A87,'Données projet'!$A$87:$I$107,2,0)</f>
        <v>325.35000000000002</v>
      </c>
      <c r="BB87" s="12">
        <f>VLOOKUP(A87,'Données projet'!$A$87:$I$107,9,0)</f>
        <v>8.6770000000000014</v>
      </c>
      <c r="BC87" s="12">
        <f t="array" ref="BC87">INDEX(BB:BB,MIN(IF(ISNUMBER(BB87:BB283),ROW(BB87:BB283),"")))</f>
        <v>8.6770000000000014</v>
      </c>
      <c r="BD87" s="12">
        <f>IF('Données projet'!$A$88&gt;35,BD86+BC87-BL86,IF(A87&lt;'Données projet'!$A$88,$BA$205^A87,IF(A87='Données projet'!$A$88,'Données projet'!$B$88,BD86+BC87-BL86)))</f>
        <v>325.35000000000025</v>
      </c>
      <c r="BE87" s="13">
        <f>BD87*VLOOKUP('Données projet'!$B$11,Paramètres!$A$1:$I$89,3,0)*VLOOKUP('Données projet'!$B$11,Paramètres!$A$1:$I$89,5,0)</f>
        <v>294.37668000000025</v>
      </c>
      <c r="BF87" s="13">
        <f t="shared" si="91"/>
        <v>69.99630449784344</v>
      </c>
      <c r="BG87" s="20">
        <f t="shared" si="61"/>
        <v>634.61628133374438</v>
      </c>
      <c r="BH87" s="59">
        <f t="shared" si="62"/>
        <v>906.87311185829469</v>
      </c>
      <c r="BI87" s="59">
        <f ca="1">AVERAGE(OFFSET($BH$3,0,0,'Données projet'!$E$11+1,1))-AVERAGE(OFFSET($H$3,0,0,'Données projet'!$E$11+1,1))</f>
        <v>627.65081154031589</v>
      </c>
      <c r="BJ87" s="59">
        <f t="shared" si="92"/>
        <v>288.78083487077618</v>
      </c>
      <c r="BK87" s="15">
        <f>IF(ISNA(VLOOKUP(A87,'Données projet'!$A$87:$I$107,3,0)),0,VLOOKUP(A87,'Données projet'!$A$87:$I$107,3,0))</f>
        <v>6</v>
      </c>
      <c r="BL87" s="15">
        <f>IF(ISNA(VLOOKUP(A87,'Données projet'!$A$87:$I$107,4,0)),0,VLOOKUP(A87,'Données projet'!$A$87:$I$107,4,0))</f>
        <v>61.47</v>
      </c>
      <c r="BM87" s="16">
        <f>IF(ISNA(VLOOKUP(A87,'Données projet'!$A$87:$I$107,5,0)),0%,VLOOKUP(A87,'Données projet'!$A$87:$I$107,5,0)*VLOOKUP('Données projet'!$B$11,Paramètres!$A$1:$I$89,7,0))</f>
        <v>0.25800000000000001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43.147236627276406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43.147236627276406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325.35000000000002</v>
      </c>
      <c r="BW87" s="12">
        <f>VLOOKUP(A87,'Données projet'!$A$113:$I$133,9,0)</f>
        <v>8.6770000000000014</v>
      </c>
      <c r="BX87" s="12">
        <f t="array" ref="BX87">INDEX(BW:BW,MIN(IF(ISNUMBER(BW87:BW283),ROW(BW87:BW283),"")))</f>
        <v>8.6770000000000014</v>
      </c>
      <c r="BY87" s="12">
        <f>IF('Données projet'!$A$114&gt;35,BY86+BX87-CG86,IF(A87&lt;'Données projet'!$A$114,$BV$205^A87,IF(A87='Données projet'!$A$114,'Données projet'!$B$114,BY86+BX87-CG86)))</f>
        <v>325.35000000000025</v>
      </c>
      <c r="BZ87" s="13">
        <f>BY87*VLOOKUP('Données projet'!$B$12,Paramètres!$A$1:$I$89,3,0)*VLOOKUP('Données projet'!$B$12,Paramètres!$A$1:$I$89,5,0)</f>
        <v>329.90490000000028</v>
      </c>
      <c r="CA87" s="13">
        <f t="shared" si="93"/>
        <v>77.410590184772218</v>
      </c>
      <c r="CB87" s="20">
        <f t="shared" si="64"/>
        <v>709.40781207181215</v>
      </c>
      <c r="CC87" s="59">
        <f t="shared" si="65"/>
        <v>981.66464259636246</v>
      </c>
      <c r="CD87" s="59">
        <f ca="1">AVERAGE(OFFSET($CC$3,0,0,'Données projet'!$E$12+1,1))-AVERAGE(OFFSET($H$3,0,0,'Données projet'!$E$12+1,1))</f>
        <v>692.2706942067415</v>
      </c>
      <c r="CE87" s="59">
        <f t="shared" si="94"/>
        <v>316.17529091924803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0.25800000000000001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48.354661737464937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48.354661737464937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>
        <f>VLOOKUP(A87,'Données projet'!$A$139:$I$159,2,0)</f>
        <v>325.35000000000002</v>
      </c>
      <c r="CR87" s="12">
        <f>VLOOKUP(A87,'Données projet'!$A$139:$I$159,9,0)</f>
        <v>8.6770000000000014</v>
      </c>
      <c r="CS87" s="12">
        <f t="array" ref="CS87">INDEX(CR:CR,MIN(IF(ISNUMBER(CR87:CR283),ROW(CR87:CR283),"")))</f>
        <v>8.6770000000000014</v>
      </c>
      <c r="CT87" s="12">
        <f>IF('Données projet'!$A$140&gt;35,CT86+CS87-DB86,IF(A87&lt;'Données projet'!$A$140,$CQ$205^A87,IF(A87='Données projet'!$A$140,'Données projet'!$B$140,CT86+CS87-DB86)))</f>
        <v>325.35000000000025</v>
      </c>
      <c r="CU87" s="17">
        <f>CT87*VLOOKUP('Données projet'!$B$13,Paramètres!$A$1:$I$89,3,0)*VLOOKUP('Données projet'!$B$13,Paramètres!$A$1:$I$89,5,0)</f>
        <v>370.50858000000028</v>
      </c>
      <c r="CV87" s="13">
        <f t="shared" si="95"/>
        <v>85.771344098940361</v>
      </c>
      <c r="CW87" s="20">
        <f t="shared" si="67"/>
        <v>794.68753447232154</v>
      </c>
      <c r="CX87" s="59">
        <f t="shared" si="68"/>
        <v>1066.9443649968719</v>
      </c>
      <c r="CY87" s="59">
        <f ca="1">AVERAGE(OFFSET($CX$3,0,0,'Données projet'!$E$13+1,1))-AVERAGE(OFFSET($H$3,0,0,'Données projet'!$E$13+1,1))</f>
        <v>765.9523557587147</v>
      </c>
      <c r="CZ87" s="59">
        <f t="shared" si="96"/>
        <v>347.40395092312815</v>
      </c>
      <c r="DA87" s="15">
        <f>IF(ISNA(VLOOKUP(A87,'Données projet'!$A$139:$I$159,3,0)),0,VLOOKUP(A87,'Données projet'!$A$139:$I$159,3,0))</f>
        <v>6</v>
      </c>
      <c r="DB87" s="15">
        <f>IF(ISNA(VLOOKUP(A87,'Données projet'!$A$139:$I$159,4,0)),0,VLOOKUP(A87,'Données projet'!$A$139:$I$159,4,0))</f>
        <v>61.47</v>
      </c>
      <c r="DC87" s="16">
        <f>IF(ISNA(VLOOKUP(A87,'Données projet'!$A$139:$I$159,5,0)),0%,VLOOKUP(A87,'Données projet'!$A$139:$I$159,5,0)*VLOOKUP('Données projet'!$B$13,Paramètres!$A$1:$I$89,7,0))</f>
        <v>0.25800000000000001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54.306004720537558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54.306004720537558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2.0512820512820498</v>
      </c>
      <c r="DO87" s="12">
        <f>IF('Données projet'!$A$166&gt;35,DO86+DN87-DW86,IF(A87&lt;'Données projet'!$A$166,$DL$205^A87,IF(A87='Données projet'!$A$166,'Données projet'!$B$166,DO86+DN87-DW86)))</f>
        <v>145.38461538461547</v>
      </c>
      <c r="DP87" s="17">
        <f>DO87*VLOOKUP('Données projet'!$B$14,Paramètres!$A$1:$I$89,3,0)*VLOOKUP('Données projet'!$B$14,Paramètres!$A$1:$I$89,5,0)</f>
        <v>127.00800000000008</v>
      </c>
      <c r="DQ87" s="13">
        <f t="shared" si="97"/>
        <v>33.304061871951063</v>
      </c>
      <c r="DR87" s="20">
        <f t="shared" si="70"/>
        <v>279.2101744269815</v>
      </c>
      <c r="DS87" s="59">
        <f t="shared" si="71"/>
        <v>551.46700495153186</v>
      </c>
      <c r="DT87" s="59">
        <f ca="1">AVERAGE(OFFSET($DS$3,0,0,'Données projet'!$E$14+1,1))-AVERAGE(OFFSET($H$3,0,0,'Données projet'!$E$14+1,1))</f>
        <v>253.82888243490106</v>
      </c>
      <c r="DU87" s="59">
        <f t="shared" si="98"/>
        <v>224.11983819941796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17.498811016104899</v>
      </c>
      <c r="EB87" s="21">
        <f>EXP(-LN(2)/25)*EB86+(1-EXP(-LN(2)/25))/(LN(2)/25)*Calculateur!DW87*Calculateur!DY87*VLOOKUP('Données projet'!$B$14,Paramètres!$A$1:$I$89,3,0)*0.475*44/12</f>
        <v>9.0621532554953923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26.560964271600291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14.212499999999999</v>
      </c>
      <c r="N88" s="13">
        <f>IF('Données projet'!$A$36&gt;35,N87+M88-V87,IF(A88&lt;'Données projet'!$A$36,$K$205^A88,IF(A88='Données projet'!$A$36,'Données projet'!$B$36,N87+M88-V87)))</f>
        <v>493.19499999999982</v>
      </c>
      <c r="O88" s="13">
        <f>N88*VLOOKUP('Données projet'!$B$9,Paramètres!$A$1:$I$89,3,0)*VLOOKUP('Données projet'!$B$9,Paramètres!$A$1:$I$89,5,0)</f>
        <v>230.81525999999991</v>
      </c>
      <c r="P88" s="13">
        <f t="shared" si="87"/>
        <v>56.458923486259444</v>
      </c>
      <c r="Q88" s="20">
        <f t="shared" si="54"/>
        <v>500.33586957190164</v>
      </c>
      <c r="R88" s="59">
        <f t="shared" si="55"/>
        <v>772.95833030018321</v>
      </c>
      <c r="S88" s="59">
        <f ca="1">AVERAGE(OFFSET($R$3,0,0,'Données projet'!$E$9+1,1))-AVERAGE(OFFSET($H$3,0,0,'Données projet'!$E$9+1,1))</f>
        <v>387.50901594883317</v>
      </c>
      <c r="T88" s="59">
        <f t="shared" si="88"/>
        <v>361.3623790401972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79.70781253323176</v>
      </c>
      <c r="AA88" s="21">
        <f>EXP(-LN(2)/25)*AA87+(1-EXP(-LN(2)/25))/(LN(2)/25)*Calculateur!V88*Calculateur!X88*VLOOKUP('Données projet'!$B$9,Paramètres!$A$1:$I$89,3,0)*0.475*44/12</f>
        <v>37.589648240667294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117.29746077389905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373.47758082856359</v>
      </c>
      <c r="AO88" s="59">
        <f t="shared" si="90"/>
        <v>277.24895424120166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155.8273617088017</v>
      </c>
      <c r="AV88" s="21">
        <f>EXP(-LN(2)/25)*AV87+(1-EXP(-LN(2)/25))/(LN(2)/25)*Calculateur!AQ88*Calculateur!AS88*VLOOKUP('Données projet'!$B$10,Paramètres!$A$1:$I$89,3,0)*0.475*44/12</f>
        <v>70.289901053732166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226.11726276253387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8.2910000000000021</v>
      </c>
      <c r="BD88" s="12">
        <f>IF('Données projet'!$A$88&gt;35,BD87+BC88-BL87,IF(A88&lt;'Données projet'!$A$88,$BA$205^A88,IF(A88='Données projet'!$A$88,'Données projet'!$B$88,BD87+BC88-BL87)))</f>
        <v>272.17100000000028</v>
      </c>
      <c r="BE88" s="13">
        <f>BD88*VLOOKUP('Données projet'!$B$11,Paramètres!$A$1:$I$89,3,0)*VLOOKUP('Données projet'!$B$11,Paramètres!$A$1:$I$89,5,0)</f>
        <v>246.26032080000024</v>
      </c>
      <c r="BF88" s="13">
        <f t="shared" si="91"/>
        <v>59.784443753506842</v>
      </c>
      <c r="BG88" s="20">
        <f t="shared" si="61"/>
        <v>533.02796493069138</v>
      </c>
      <c r="BH88" s="59">
        <f t="shared" si="62"/>
        <v>805.65042565897284</v>
      </c>
      <c r="BI88" s="59">
        <f ca="1">AVERAGE(OFFSET($BH$3,0,0,'Données projet'!$E$11+1,1))-AVERAGE(OFFSET($H$3,0,0,'Données projet'!$E$11+1,1))</f>
        <v>627.65081154031589</v>
      </c>
      <c r="BJ88" s="59">
        <f t="shared" si="92"/>
        <v>288.78083487077618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42.301145634231247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42.301145634231247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8.2910000000000021</v>
      </c>
      <c r="BY88" s="12">
        <f>IF('Données projet'!$A$114&gt;35,BY87+BX88-CG87,IF(A88&lt;'Données projet'!$A$114,$BV$205^A88,IF(A88='Données projet'!$A$114,'Données projet'!$B$114,BY87+BX88-CG87)))</f>
        <v>272.17100000000028</v>
      </c>
      <c r="BZ88" s="13">
        <f>BY88*VLOOKUP('Données projet'!$B$12,Paramètres!$A$1:$I$89,3,0)*VLOOKUP('Données projet'!$B$12,Paramètres!$A$1:$I$89,5,0)</f>
        <v>275.98139400000031</v>
      </c>
      <c r="CA88" s="13">
        <f t="shared" si="93"/>
        <v>66.117048721763197</v>
      </c>
      <c r="CB88" s="20">
        <f t="shared" si="64"/>
        <v>595.82145440707143</v>
      </c>
      <c r="CC88" s="59">
        <f t="shared" si="65"/>
        <v>868.44391513535288</v>
      </c>
      <c r="CD88" s="59">
        <f ca="1">AVERAGE(OFFSET($CC$3,0,0,'Données projet'!$E$12+1,1))-AVERAGE(OFFSET($H$3,0,0,'Données projet'!$E$12+1,1))</f>
        <v>692.2706942067415</v>
      </c>
      <c r="CE88" s="59">
        <f t="shared" si="94"/>
        <v>316.17529091924803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47.406456314224677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47.406456314224677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8.2910000000000021</v>
      </c>
      <c r="CT88" s="12">
        <f>IF('Données projet'!$A$140&gt;35,CT87+CS88-DB87,IF(A88&lt;'Données projet'!$A$140,$CQ$205^A88,IF(A88='Données projet'!$A$140,'Données projet'!$B$140,CT87+CS88-DB87)))</f>
        <v>272.17100000000028</v>
      </c>
      <c r="CU88" s="17">
        <f>CT88*VLOOKUP('Données projet'!$B$13,Paramètres!$A$1:$I$89,3,0)*VLOOKUP('Données projet'!$B$13,Paramètres!$A$1:$I$89,5,0)</f>
        <v>309.94833480000034</v>
      </c>
      <c r="CV88" s="13">
        <f t="shared" si="95"/>
        <v>73.258040317025163</v>
      </c>
      <c r="CW88" s="20">
        <f t="shared" si="67"/>
        <v>667.41776999548608</v>
      </c>
      <c r="CX88" s="59">
        <f t="shared" si="68"/>
        <v>940.04023072376754</v>
      </c>
      <c r="CY88" s="59">
        <f ca="1">AVERAGE(OFFSET($CX$3,0,0,'Données projet'!$E$13+1,1))-AVERAGE(OFFSET($H$3,0,0,'Données projet'!$E$13+1,1))</f>
        <v>765.9523557587147</v>
      </c>
      <c r="CZ88" s="59">
        <f t="shared" si="96"/>
        <v>347.40395092312815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53.241097091360032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53.241097091360032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>
        <f>VLOOKUP(A88,'Données projet'!$A$165:$I$185,2,0)</f>
        <v>147.43589743589743</v>
      </c>
      <c r="DM88" s="12">
        <f>VLOOKUP(A88,'Données projet'!$A$165:$I$185,9,0)</f>
        <v>2.0512820512820498</v>
      </c>
      <c r="DN88" s="12">
        <f t="array" ref="DN88">INDEX(DM:DM,MIN(IF(ISNUMBER(DM88:DM284),ROW(DM88:DM284),"")))</f>
        <v>2.0512820512820498</v>
      </c>
      <c r="DO88" s="12">
        <f>IF('Données projet'!$A$166&gt;35,DO87+DN88-DW87,IF(A88&lt;'Données projet'!$A$166,$DL$205^A88,IF(A88='Données projet'!$A$166,'Données projet'!$B$166,DO87+DN88-DW87)))</f>
        <v>147.43589743589752</v>
      </c>
      <c r="DP88" s="17">
        <f>DO88*VLOOKUP('Données projet'!$B$14,Paramètres!$A$1:$I$89,3,0)*VLOOKUP('Données projet'!$B$14,Paramètres!$A$1:$I$89,5,0)</f>
        <v>128.80000000000007</v>
      </c>
      <c r="DQ88" s="13">
        <f t="shared" si="97"/>
        <v>33.718925085085118</v>
      </c>
      <c r="DR88" s="20">
        <f t="shared" si="70"/>
        <v>283.05379452318999</v>
      </c>
      <c r="DS88" s="59">
        <f t="shared" si="71"/>
        <v>555.6762552514715</v>
      </c>
      <c r="DT88" s="59">
        <f ca="1">AVERAGE(OFFSET($DS$3,0,0,'Données projet'!$E$14+1,1))-AVERAGE(OFFSET($H$3,0,0,'Données projet'!$E$14+1,1))</f>
        <v>253.82888243490106</v>
      </c>
      <c r="DU88" s="59">
        <f t="shared" si="98"/>
        <v>224.11983819941796</v>
      </c>
      <c r="DV88" s="15">
        <f>IF(ISNA(VLOOKUP(A88,'Données projet'!$A$165:$I$185,3,0)),0,VLOOKUP(A88,'Données projet'!$A$165:$I$185,3,0))</f>
        <v>16</v>
      </c>
      <c r="DW88" s="15">
        <f>IF(ISNA(VLOOKUP(A88,'Données projet'!$A$165:$I$185,4,0)),0,VLOOKUP(A88,'Données projet'!$A$165:$I$185,4,0))</f>
        <v>7.6923076923076916</v>
      </c>
      <c r="DX88" s="16">
        <f>IF(ISNA(VLOOKUP(A88,'Données projet'!$A$165:$I$185,5,0)),0%,VLOOKUP(A88,'Données projet'!$A$165:$I$185,5,0)*VLOOKUP('Données projet'!$B$14,Paramètres!$A$1:$I$89,7,0))</f>
        <v>0.25800000000000001</v>
      </c>
      <c r="DY88" s="16">
        <f>IF(ISNA(VLOOKUP(A88,'Données projet'!$A$165:$I$185,6,0)),0%,VLOOKUP(A88,'Données projet'!$A$165:$I$185,6,0)*VLOOKUP('Données projet'!$B$14,Paramètres!$A$1:$I$89,7,0))</f>
        <v>0.129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19.072290330518953</v>
      </c>
      <c r="EB88" s="21">
        <f>EXP(-LN(2)/25)*EB87+(1-EXP(-LN(2)/25))/(LN(2)/25)*Calculateur!DW88*Calculateur!DY88*VLOOKUP('Données projet'!$B$14,Paramètres!$A$1:$I$89,3,0)*0.475*44/12</f>
        <v>9.7688851285204752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28.841175459039427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14.212499999999999</v>
      </c>
      <c r="N89" s="13">
        <f>IF('Données projet'!$A$36&gt;35,N88+M89-V88,IF(A89&lt;'Données projet'!$A$36,$K$205^A89,IF(A89='Données projet'!$A$36,'Données projet'!$B$36,N88+M89-V88)))</f>
        <v>507.4074999999998</v>
      </c>
      <c r="O89" s="13">
        <f>N89*VLOOKUP('Données projet'!$B$9,Paramètres!$A$1:$I$89,3,0)*VLOOKUP('Données projet'!$B$9,Paramètres!$A$1:$I$89,5,0)</f>
        <v>237.46670999999992</v>
      </c>
      <c r="P89" s="13">
        <f t="shared" si="87"/>
        <v>57.89414463897004</v>
      </c>
      <c r="Q89" s="20">
        <f t="shared" si="54"/>
        <v>514.42015516287267</v>
      </c>
      <c r="R89" s="59">
        <f t="shared" si="55"/>
        <v>787.40190322827743</v>
      </c>
      <c r="S89" s="59">
        <f ca="1">AVERAGE(OFFSET($R$3,0,0,'Données projet'!$E$9+1,1))-AVERAGE(OFFSET($H$3,0,0,'Données projet'!$E$9+1,1))</f>
        <v>387.50901594883317</v>
      </c>
      <c r="T89" s="59">
        <f t="shared" si="88"/>
        <v>361.3623790401972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78.144790946420201</v>
      </c>
      <c r="AA89" s="21">
        <f>EXP(-LN(2)/25)*AA88+(1-EXP(-LN(2)/25))/(LN(2)/25)*Calculateur!V89*Calculateur!X89*VLOOKUP('Données projet'!$B$9,Paramètres!$A$1:$I$89,3,0)*0.475*44/12</f>
        <v>36.561757332772558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114.70654827919276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373.47758082856359</v>
      </c>
      <c r="AO89" s="59">
        <f t="shared" si="90"/>
        <v>277.24895424120166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152.77168219099781</v>
      </c>
      <c r="AV89" s="21">
        <f>EXP(-LN(2)/25)*AV88+(1-EXP(-LN(2)/25))/(LN(2)/25)*Calculateur!AQ89*Calculateur!AS89*VLOOKUP('Données projet'!$B$10,Paramètres!$A$1:$I$89,3,0)*0.475*44/12</f>
        <v>68.367820013032613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221.13950220403041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8.2910000000000021</v>
      </c>
      <c r="BD89" s="12">
        <f>IF('Données projet'!$A$88&gt;35,BD88+BC89-BL88,IF(A89&lt;'Données projet'!$A$88,$BA$205^A89,IF(A89='Données projet'!$A$88,'Données projet'!$B$88,BD88+BC89-BL88)))</f>
        <v>280.46200000000027</v>
      </c>
      <c r="BE89" s="13">
        <f>BD89*VLOOKUP('Données projet'!$B$11,Paramètres!$A$1:$I$89,3,0)*VLOOKUP('Données projet'!$B$11,Paramètres!$A$1:$I$89,5,0)</f>
        <v>253.76201760000023</v>
      </c>
      <c r="BF89" s="13">
        <f t="shared" si="91"/>
        <v>61.390818695638195</v>
      </c>
      <c r="BG89" s="20">
        <f t="shared" si="61"/>
        <v>548.89118988157031</v>
      </c>
      <c r="BH89" s="59">
        <f t="shared" si="62"/>
        <v>821.87293794697507</v>
      </c>
      <c r="BI89" s="59">
        <f ca="1">AVERAGE(OFFSET($BH$3,0,0,'Données projet'!$E$11+1,1))-AVERAGE(OFFSET($H$3,0,0,'Données projet'!$E$11+1,1))</f>
        <v>627.65081154031589</v>
      </c>
      <c r="BJ89" s="59">
        <f t="shared" si="92"/>
        <v>288.78083487077618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41.471645969495157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41.471645969495157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8.2910000000000021</v>
      </c>
      <c r="BY89" s="12">
        <f>IF('Données projet'!$A$114&gt;35,BY88+BX89-CG88,IF(A89&lt;'Données projet'!$A$114,$BV$205^A89,IF(A89='Données projet'!$A$114,'Données projet'!$B$114,BY88+BX89-CG88)))</f>
        <v>280.46200000000027</v>
      </c>
      <c r="BZ89" s="13">
        <f>BY89*VLOOKUP('Données projet'!$B$12,Paramètres!$A$1:$I$89,3,0)*VLOOKUP('Données projet'!$B$12,Paramètres!$A$1:$I$89,5,0)</f>
        <v>284.38846800000033</v>
      </c>
      <c r="CA89" s="13">
        <f t="shared" si="93"/>
        <v>67.893577257383939</v>
      </c>
      <c r="CB89" s="20">
        <f t="shared" si="64"/>
        <v>613.55789548994426</v>
      </c>
      <c r="CC89" s="59">
        <f t="shared" si="65"/>
        <v>886.5396435553489</v>
      </c>
      <c r="CD89" s="59">
        <f ca="1">AVERAGE(OFFSET($CC$3,0,0,'Données projet'!$E$12+1,1))-AVERAGE(OFFSET($H$3,0,0,'Données projet'!$E$12+1,1))</f>
        <v>692.2706942067415</v>
      </c>
      <c r="CE89" s="59">
        <f t="shared" si="94"/>
        <v>316.17529091924803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46.476844620985958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46.476844620985958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8.2910000000000021</v>
      </c>
      <c r="CT89" s="12">
        <f>IF('Données projet'!$A$140&gt;35,CT88+CS89-DB88,IF(A89&lt;'Données projet'!$A$140,$CQ$205^A89,IF(A89='Données projet'!$A$140,'Données projet'!$B$140,CT88+CS89-DB88)))</f>
        <v>280.46200000000027</v>
      </c>
      <c r="CU89" s="17">
        <f>CT89*VLOOKUP('Données projet'!$B$13,Paramètres!$A$1:$I$89,3,0)*VLOOKUP('Données projet'!$B$13,Paramètres!$A$1:$I$89,5,0)</f>
        <v>319.39012560000032</v>
      </c>
      <c r="CV89" s="13">
        <f t="shared" si="95"/>
        <v>75.226443347755307</v>
      </c>
      <c r="CW89" s="20">
        <f t="shared" si="67"/>
        <v>687.29052425067437</v>
      </c>
      <c r="CX89" s="59">
        <f t="shared" si="68"/>
        <v>960.27227231607912</v>
      </c>
      <c r="CY89" s="59">
        <f ca="1">AVERAGE(OFFSET($CX$3,0,0,'Données projet'!$E$13+1,1))-AVERAGE(OFFSET($H$3,0,0,'Données projet'!$E$13+1,1))</f>
        <v>765.9523557587147</v>
      </c>
      <c r="CZ89" s="59">
        <f t="shared" si="96"/>
        <v>347.40395092312815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52.197071651261162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52.197071651261162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1.9230769230769169</v>
      </c>
      <c r="DO89" s="12">
        <f>IF('Données projet'!$A$166&gt;35,DO88+DN89-DW88,IF(A89&lt;'Données projet'!$A$166,$DL$205^A89,IF(A89='Données projet'!$A$166,'Données projet'!$B$166,DO88+DN89-DW88)))</f>
        <v>141.66666666666674</v>
      </c>
      <c r="DP89" s="17">
        <f>DO89*VLOOKUP('Données projet'!$B$14,Paramètres!$A$1:$I$89,3,0)*VLOOKUP('Données projet'!$B$14,Paramètres!$A$1:$I$89,5,0)</f>
        <v>123.76000000000009</v>
      </c>
      <c r="DQ89" s="13">
        <f t="shared" si="97"/>
        <v>32.550376670812263</v>
      </c>
      <c r="DR89" s="20">
        <f t="shared" si="70"/>
        <v>272.2405727016648</v>
      </c>
      <c r="DS89" s="59">
        <f t="shared" si="71"/>
        <v>545.2223207670695</v>
      </c>
      <c r="DT89" s="59">
        <f ca="1">AVERAGE(OFFSET($DS$3,0,0,'Données projet'!$E$14+1,1))-AVERAGE(OFFSET($H$3,0,0,'Données projet'!$E$14+1,1))</f>
        <v>253.82888243490106</v>
      </c>
      <c r="DU89" s="59">
        <f t="shared" si="98"/>
        <v>224.11983819941796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18.69829435008592</v>
      </c>
      <c r="EB89" s="21">
        <f>EXP(-LN(2)/25)*EB88+(1-EXP(-LN(2)/25))/(LN(2)/25)*Calculateur!DW89*Calculateur!DY89*VLOOKUP('Données projet'!$B$14,Paramètres!$A$1:$I$89,3,0)*0.475*44/12</f>
        <v>9.5017544509577405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28.200048801043661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>
        <f>VLOOKUP(A90,'Données projet'!$A$35:$I$55,2,0)</f>
        <v>521.62</v>
      </c>
      <c r="L90" s="12">
        <f>VLOOKUP(A90,'Données projet'!$A$35:$I$55,9,0)</f>
        <v>14.212499999999999</v>
      </c>
      <c r="M90" s="12">
        <f t="array" ref="M90">INDEX(L:L,MIN(IF(ISNUMBER(L90:L286),ROW(L90:L286),"")))</f>
        <v>14.212499999999999</v>
      </c>
      <c r="N90" s="13">
        <f>IF('Données projet'!$A$36&gt;35,N89+M90-V89,IF(A90&lt;'Données projet'!$A$36,$K$205^A90,IF(A90='Données projet'!$A$36,'Données projet'!$B$36,N89+M90-V89)))</f>
        <v>521.61999999999978</v>
      </c>
      <c r="O90" s="13">
        <f>N90*VLOOKUP('Données projet'!$B$9,Paramètres!$A$1:$I$89,3,0)*VLOOKUP('Données projet'!$B$9,Paramètres!$A$1:$I$89,5,0)</f>
        <v>244.11815999999988</v>
      </c>
      <c r="P90" s="13">
        <f t="shared" si="87"/>
        <v>59.324693417385667</v>
      </c>
      <c r="Q90" s="20">
        <f t="shared" si="54"/>
        <v>528.49630303527977</v>
      </c>
      <c r="R90" s="59">
        <f t="shared" si="55"/>
        <v>801.8311056057546</v>
      </c>
      <c r="S90" s="59">
        <f ca="1">AVERAGE(OFFSET($R$3,0,0,'Données projet'!$E$9+1,1))-AVERAGE(OFFSET($H$3,0,0,'Données projet'!$E$9+1,1))</f>
        <v>387.50901594883317</v>
      </c>
      <c r="T90" s="59">
        <f t="shared" si="88"/>
        <v>361.3623790401972</v>
      </c>
      <c r="U90" s="15">
        <f>IF(ISNA(VLOOKUP(A90,'Données projet'!$A$35:$I$55,3,0)),0,VLOOKUP(A90,'Données projet'!$A$35:$I$55,3,0))</f>
        <v>7</v>
      </c>
      <c r="V90" s="15">
        <f>IF(ISNA(VLOOKUP(A90,'Données projet'!$A$35:$I$55,4,0)),0,VLOOKUP(A90,'Données projet'!$A$35:$I$55,4,0))</f>
        <v>88.62</v>
      </c>
      <c r="W90" s="16">
        <f>IF(ISNA(VLOOKUP(A90,'Données projet'!$A$35:$I$55,5,0)),0%,VLOOKUP(A90,'Données projet'!$A$35:$I$55,5,0)*VLOOKUP('Données projet'!$B$9,Paramètres!$A$1:$I$89,7,0))</f>
        <v>0.38500000000000001</v>
      </c>
      <c r="X90" s="16">
        <f>IF(ISNA(VLOOKUP(A90,'Données projet'!$A$35:$I$55,6,0)),0%,VLOOKUP(A90,'Données projet'!$A$35:$I$55,6,0)*VLOOKUP('Données projet'!$B$9,Paramètres!$A$1:$I$89,7,0))</f>
        <v>0.16500000000000001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97.79440565253374</v>
      </c>
      <c r="AA90" s="21">
        <f>EXP(-LN(2)/25)*AA89+(1-EXP(-LN(2)/25))/(LN(2)/25)*Calculateur!V90*Calculateur!X90*VLOOKUP('Données projet'!$B$9,Paramètres!$A$1:$I$89,3,0)*0.475*44/12</f>
        <v>44.604224802190686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142.39863045472441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373.47758082856359</v>
      </c>
      <c r="AO90" s="59">
        <f t="shared" si="90"/>
        <v>277.24895424120166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149.77592268475757</v>
      </c>
      <c r="AV90" s="21">
        <f>EXP(-LN(2)/25)*AV89+(1-EXP(-LN(2)/25))/(LN(2)/25)*Calculateur!AQ90*Calculateur!AS90*VLOOKUP('Données projet'!$B$10,Paramètres!$A$1:$I$89,3,0)*0.475*44/12</f>
        <v>66.498298379468835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216.27422106422642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8.2910000000000021</v>
      </c>
      <c r="BD90" s="12">
        <f>IF('Données projet'!$A$88&gt;35,BD89+BC90-BL89,IF(A90&lt;'Données projet'!$A$88,$BA$205^A90,IF(A90='Données projet'!$A$88,'Données projet'!$B$88,BD89+BC90-BL89)))</f>
        <v>288.75300000000027</v>
      </c>
      <c r="BE90" s="13">
        <f>BD90*VLOOKUP('Données projet'!$B$11,Paramètres!$A$1:$I$89,3,0)*VLOOKUP('Données projet'!$B$11,Paramètres!$A$1:$I$89,5,0)</f>
        <v>261.26371440000025</v>
      </c>
      <c r="BF90" s="13">
        <f t="shared" si="91"/>
        <v>62.991674736313257</v>
      </c>
      <c r="BG90" s="20">
        <f t="shared" si="61"/>
        <v>564.74480274574603</v>
      </c>
      <c r="BH90" s="59">
        <f t="shared" si="62"/>
        <v>838.07960531622086</v>
      </c>
      <c r="BI90" s="59">
        <f ca="1">AVERAGE(OFFSET($BH$3,0,0,'Données projet'!$E$11+1,1))-AVERAGE(OFFSET($H$3,0,0,'Données projet'!$E$11+1,1))</f>
        <v>627.65081154031589</v>
      </c>
      <c r="BJ90" s="59">
        <f t="shared" si="92"/>
        <v>288.78083487077618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40.658412287239706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40.658412287239706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8.2910000000000021</v>
      </c>
      <c r="BY90" s="12">
        <f>IF('Données projet'!$A$114&gt;35,BY89+BX90-CG89,IF(A90&lt;'Données projet'!$A$114,$BV$205^A90,IF(A90='Données projet'!$A$114,'Données projet'!$B$114,BY89+BX90-CG89)))</f>
        <v>288.75300000000027</v>
      </c>
      <c r="BZ90" s="13">
        <f>BY90*VLOOKUP('Données projet'!$B$12,Paramètres!$A$1:$I$89,3,0)*VLOOKUP('Données projet'!$B$12,Paramètres!$A$1:$I$89,5,0)</f>
        <v>292.7955420000003</v>
      </c>
      <c r="CA90" s="13">
        <f t="shared" si="93"/>
        <v>69.664002307656872</v>
      </c>
      <c r="CB90" s="20">
        <f t="shared" si="64"/>
        <v>631.2837063358362</v>
      </c>
      <c r="CC90" s="59">
        <f t="shared" si="65"/>
        <v>904.61850890631104</v>
      </c>
      <c r="CD90" s="59">
        <f ca="1">AVERAGE(OFFSET($CC$3,0,0,'Données projet'!$E$12+1,1))-AVERAGE(OFFSET($H$3,0,0,'Données projet'!$E$12+1,1))</f>
        <v>692.2706942067415</v>
      </c>
      <c r="CE90" s="59">
        <f t="shared" si="94"/>
        <v>316.17529091924803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45.565462046044502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45.565462046044502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8.2910000000000021</v>
      </c>
      <c r="CT90" s="12">
        <f>IF('Données projet'!$A$140&gt;35,CT89+CS90-DB89,IF(A90&lt;'Données projet'!$A$140,$CQ$205^A90,IF(A90='Données projet'!$A$140,'Données projet'!$B$140,CT89+CS90-DB89)))</f>
        <v>288.75300000000027</v>
      </c>
      <c r="CU90" s="17">
        <f>CT90*VLOOKUP('Données projet'!$B$13,Paramètres!$A$1:$I$89,3,0)*VLOOKUP('Données projet'!$B$13,Paramètres!$A$1:$I$89,5,0)</f>
        <v>328.8319164000003</v>
      </c>
      <c r="CV90" s="13">
        <f t="shared" si="95"/>
        <v>77.18808368437962</v>
      </c>
      <c r="CW90" s="20">
        <f t="shared" si="67"/>
        <v>707.15150014696167</v>
      </c>
      <c r="CX90" s="59">
        <f t="shared" si="68"/>
        <v>980.4863027174365</v>
      </c>
      <c r="CY90" s="59">
        <f ca="1">AVERAGE(OFFSET($CX$3,0,0,'Données projet'!$E$13+1,1))-AVERAGE(OFFSET($H$3,0,0,'Données projet'!$E$13+1,1))</f>
        <v>765.9523557587147</v>
      </c>
      <c r="CZ90" s="59">
        <f t="shared" si="96"/>
        <v>347.40395092312815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51.173518913249985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51.173518913249985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1.9230769230769169</v>
      </c>
      <c r="DO90" s="12">
        <f>IF('Données projet'!$A$166&gt;35,DO89+DN90-DW89,IF(A90&lt;'Données projet'!$A$166,$DL$205^A90,IF(A90='Données projet'!$A$166,'Données projet'!$B$166,DO89+DN90-DW89)))</f>
        <v>143.58974358974365</v>
      </c>
      <c r="DP90" s="17">
        <f>DO90*VLOOKUP('Données projet'!$B$14,Paramètres!$A$1:$I$89,3,0)*VLOOKUP('Données projet'!$B$14,Paramètres!$A$1:$I$89,5,0)</f>
        <v>125.44000000000007</v>
      </c>
      <c r="DQ90" s="13">
        <f t="shared" si="97"/>
        <v>32.940497538217585</v>
      </c>
      <c r="DR90" s="20">
        <f t="shared" si="70"/>
        <v>275.8460332123957</v>
      </c>
      <c r="DS90" s="59">
        <f t="shared" si="71"/>
        <v>549.18083578287053</v>
      </c>
      <c r="DT90" s="59">
        <f ca="1">AVERAGE(OFFSET($DS$3,0,0,'Données projet'!$E$14+1,1))-AVERAGE(OFFSET($H$3,0,0,'Données projet'!$E$14+1,1))</f>
        <v>253.82888243490106</v>
      </c>
      <c r="DU90" s="59">
        <f t="shared" si="98"/>
        <v>224.11983819941796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18.331632202714154</v>
      </c>
      <c r="EB90" s="21">
        <f>EXP(-LN(2)/25)*EB89+(1-EXP(-LN(2)/25))/(LN(2)/25)*Calculateur!DW90*Calculateur!DY90*VLOOKUP('Données projet'!$B$14,Paramètres!$A$1:$I$89,3,0)*0.475*44/12</f>
        <v>9.2419284758207514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27.573560678534903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13.159999999999997</v>
      </c>
      <c r="N91" s="13">
        <f>IF('Données projet'!$A$36&gt;35,N90+M91-V90,IF(A91&lt;'Données projet'!$A$36,$K$205^A91,IF(A91='Données projet'!$A$36,'Données projet'!$B$36,N90+M91-V90)))</f>
        <v>446.15999999999974</v>
      </c>
      <c r="O91" s="13">
        <f>N91*VLOOKUP('Données projet'!$B$9,Paramètres!$A$1:$I$89,3,0)*VLOOKUP('Données projet'!$B$9,Paramètres!$A$1:$I$89,5,0)</f>
        <v>208.80287999999987</v>
      </c>
      <c r="P91" s="13">
        <f t="shared" si="87"/>
        <v>51.67389788236224</v>
      </c>
      <c r="Q91" s="20">
        <f t="shared" si="54"/>
        <v>453.66372147844731</v>
      </c>
      <c r="R91" s="59">
        <f t="shared" si="55"/>
        <v>727.34545384764101</v>
      </c>
      <c r="S91" s="59">
        <f ca="1">AVERAGE(OFFSET($R$3,0,0,'Données projet'!$E$9+1,1))-AVERAGE(OFFSET($H$3,0,0,'Données projet'!$E$9+1,1))</f>
        <v>387.50901594883317</v>
      </c>
      <c r="T91" s="59">
        <f t="shared" si="88"/>
        <v>361.3623790401972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95.876717006385178</v>
      </c>
      <c r="AA91" s="21">
        <f>EXP(-LN(2)/25)*AA90+(1-EXP(-LN(2)/25))/(LN(2)/25)*Calculateur!V91*Calculateur!X91*VLOOKUP('Données projet'!$B$9,Paramètres!$A$1:$I$89,3,0)*0.475*44/12</f>
        <v>43.384519929340541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139.26123693572572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373.47758082856359</v>
      </c>
      <c r="AO91" s="59">
        <f t="shared" si="90"/>
        <v>277.24895424120166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146.83890819520184</v>
      </c>
      <c r="AV91" s="21">
        <f>EXP(-LN(2)/25)*AV90+(1-EXP(-LN(2)/25))/(LN(2)/25)*Calculateur!AQ91*Calculateur!AS91*VLOOKUP('Données projet'!$B$10,Paramètres!$A$1:$I$89,3,0)*0.475*44/12</f>
        <v>64.679898913288739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211.51880710849059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8.2910000000000021</v>
      </c>
      <c r="BD91" s="12">
        <f>IF('Données projet'!$A$88&gt;35,BD90+BC91-BL90,IF(A91&lt;'Données projet'!$A$88,$BA$205^A91,IF(A91='Données projet'!$A$88,'Données projet'!$B$88,BD90+BC91-BL90)))</f>
        <v>297.04400000000027</v>
      </c>
      <c r="BE91" s="13">
        <f>BD91*VLOOKUP('Données projet'!$B$11,Paramètres!$A$1:$I$89,3,0)*VLOOKUP('Données projet'!$B$11,Paramètres!$A$1:$I$89,5,0)</f>
        <v>268.76541120000024</v>
      </c>
      <c r="BF91" s="13">
        <f t="shared" si="91"/>
        <v>64.587188539623412</v>
      </c>
      <c r="BG91" s="20">
        <f t="shared" si="61"/>
        <v>580.58911121317794</v>
      </c>
      <c r="BH91" s="59">
        <f t="shared" si="62"/>
        <v>854.27084358237164</v>
      </c>
      <c r="BI91" s="59">
        <f ca="1">AVERAGE(OFFSET($BH$3,0,0,'Données projet'!$E$11+1,1))-AVERAGE(OFFSET($H$3,0,0,'Données projet'!$E$11+1,1))</f>
        <v>627.65081154031589</v>
      </c>
      <c r="BJ91" s="59">
        <f t="shared" si="92"/>
        <v>288.78083487077618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39.861125621469718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39.861125621469718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8.2910000000000021</v>
      </c>
      <c r="BY91" s="12">
        <f>IF('Données projet'!$A$114&gt;35,BY90+BX91-CG90,IF(A91&lt;'Données projet'!$A$114,$BV$205^A91,IF(A91='Données projet'!$A$114,'Données projet'!$B$114,BY90+BX91-CG90)))</f>
        <v>297.04400000000027</v>
      </c>
      <c r="BZ91" s="13">
        <f>BY91*VLOOKUP('Données projet'!$B$12,Paramètres!$A$1:$I$89,3,0)*VLOOKUP('Données projet'!$B$12,Paramètres!$A$1:$I$89,5,0)</f>
        <v>301.20261600000032</v>
      </c>
      <c r="CA91" s="13">
        <f t="shared" si="93"/>
        <v>71.428519249633297</v>
      </c>
      <c r="CB91" s="20">
        <f t="shared" si="64"/>
        <v>648.99922722644521</v>
      </c>
      <c r="CC91" s="59">
        <f t="shared" si="65"/>
        <v>922.68095959563891</v>
      </c>
      <c r="CD91" s="59">
        <f ca="1">AVERAGE(OFFSET($CC$3,0,0,'Données projet'!$E$12+1,1))-AVERAGE(OFFSET($H$3,0,0,'Données projet'!$E$12+1,1))</f>
        <v>692.2706942067415</v>
      </c>
      <c r="CE91" s="59">
        <f t="shared" si="94"/>
        <v>316.17529091924803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44.671951127509168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44.671951127509168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8.2910000000000021</v>
      </c>
      <c r="CT91" s="12">
        <f>IF('Données projet'!$A$140&gt;35,CT90+CS91-DB90,IF(A91&lt;'Données projet'!$A$140,$CQ$205^A91,IF(A91='Données projet'!$A$140,'Données projet'!$B$140,CT90+CS91-DB90)))</f>
        <v>297.04400000000027</v>
      </c>
      <c r="CU91" s="17">
        <f>CT91*VLOOKUP('Données projet'!$B$13,Paramètres!$A$1:$I$89,3,0)*VLOOKUP('Données projet'!$B$13,Paramètres!$A$1:$I$89,5,0)</f>
        <v>338.27370720000033</v>
      </c>
      <c r="CV91" s="13">
        <f t="shared" si="95"/>
        <v>79.143177805706202</v>
      </c>
      <c r="CW91" s="20">
        <f t="shared" si="67"/>
        <v>727.00107471827221</v>
      </c>
      <c r="CX91" s="59">
        <f t="shared" si="68"/>
        <v>1000.6828070874659</v>
      </c>
      <c r="CY91" s="59">
        <f ca="1">AVERAGE(OFFSET($CX$3,0,0,'Données projet'!$E$13+1,1))-AVERAGE(OFFSET($H$3,0,0,'Données projet'!$E$13+1,1))</f>
        <v>765.9523557587147</v>
      </c>
      <c r="CZ91" s="59">
        <f t="shared" si="96"/>
        <v>347.40395092312815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50.170037420125688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50.170037420125688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1.9230769230769169</v>
      </c>
      <c r="DO91" s="12">
        <f>IF('Données projet'!$A$166&gt;35,DO90+DN91-DW90,IF(A91&lt;'Données projet'!$A$166,$DL$205^A91,IF(A91='Données projet'!$A$166,'Données projet'!$B$166,DO90+DN91-DW90)))</f>
        <v>145.51282051282055</v>
      </c>
      <c r="DP91" s="17">
        <f>DO91*VLOOKUP('Données projet'!$B$14,Paramètres!$A$1:$I$89,3,0)*VLOOKUP('Données projet'!$B$14,Paramètres!$A$1:$I$89,5,0)</f>
        <v>127.12000000000005</v>
      </c>
      <c r="DQ91" s="13">
        <f t="shared" si="97"/>
        <v>33.33001068964662</v>
      </c>
      <c r="DR91" s="20">
        <f t="shared" si="70"/>
        <v>279.45043528446791</v>
      </c>
      <c r="DS91" s="59">
        <f t="shared" si="71"/>
        <v>553.13216765366155</v>
      </c>
      <c r="DT91" s="59">
        <f ca="1">AVERAGE(OFFSET($DS$3,0,0,'Données projet'!$E$14+1,1))-AVERAGE(OFFSET($H$3,0,0,'Données projet'!$E$14+1,1))</f>
        <v>253.82888243490106</v>
      </c>
      <c r="DU91" s="59">
        <f t="shared" si="98"/>
        <v>224.11983819941796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17.972160076410521</v>
      </c>
      <c r="EB91" s="21">
        <f>EXP(-LN(2)/25)*EB90+(1-EXP(-LN(2)/25))/(LN(2)/25)*Calculateur!DW91*Calculateur!DY91*VLOOKUP('Données projet'!$B$14,Paramètres!$A$1:$I$89,3,0)*0.475*44/12</f>
        <v>8.989207455637537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26.961367532048058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13.159999999999997</v>
      </c>
      <c r="N92" s="13">
        <f>IF('Données projet'!$A$36&gt;35,N91+M92-V91,IF(A92&lt;'Données projet'!$A$36,$K$205^A92,IF(A92='Données projet'!$A$36,'Données projet'!$B$36,N91+M92-V91)))</f>
        <v>459.31999999999971</v>
      </c>
      <c r="O92" s="13">
        <f>N92*VLOOKUP('Données projet'!$B$9,Paramètres!$A$1:$I$89,3,0)*VLOOKUP('Données projet'!$B$9,Paramètres!$A$1:$I$89,5,0)</f>
        <v>214.96175999999986</v>
      </c>
      <c r="P92" s="13">
        <f t="shared" si="87"/>
        <v>53.018377045952029</v>
      </c>
      <c r="Q92" s="20">
        <f t="shared" si="54"/>
        <v>466.73207202169948</v>
      </c>
      <c r="R92" s="59">
        <f t="shared" si="55"/>
        <v>740.75471573322307</v>
      </c>
      <c r="S92" s="59">
        <f ca="1">AVERAGE(OFFSET($R$3,0,0,'Données projet'!$E$9+1,1))-AVERAGE(OFFSET($H$3,0,0,'Données projet'!$E$9+1,1))</f>
        <v>387.50901594883317</v>
      </c>
      <c r="T92" s="59">
        <f t="shared" si="88"/>
        <v>361.3623790401972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93.996633064913013</v>
      </c>
      <c r="AA92" s="21">
        <f>EXP(-LN(2)/25)*AA91+(1-EXP(-LN(2)/25))/(LN(2)/25)*Calculateur!V92*Calculateur!X92*VLOOKUP('Données projet'!$B$9,Paramètres!$A$1:$I$89,3,0)*0.475*44/12</f>
        <v>42.198167950379975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136.194801015293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373.47758082856359</v>
      </c>
      <c r="AO92" s="59">
        <f t="shared" si="90"/>
        <v>277.24895424120166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143.95948676838432</v>
      </c>
      <c r="AV92" s="21">
        <f>EXP(-LN(2)/25)*AV91+(1-EXP(-LN(2)/25))/(LN(2)/25)*Calculateur!AQ92*Calculateur!AS92*VLOOKUP('Données projet'!$B$10,Paramètres!$A$1:$I$89,3,0)*0.475*44/12</f>
        <v>62.9112236761368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206.87071044452114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8.2910000000000021</v>
      </c>
      <c r="BD92" s="12">
        <f>IF('Données projet'!$A$88&gt;35,BD91+BC92-BL91,IF(A92&lt;'Données projet'!$A$88,$BA$205^A92,IF(A92='Données projet'!$A$88,'Données projet'!$B$88,BD91+BC92-BL91)))</f>
        <v>305.33500000000026</v>
      </c>
      <c r="BE92" s="13">
        <f>BD92*VLOOKUP('Données projet'!$B$11,Paramètres!$A$1:$I$89,3,0)*VLOOKUP('Données projet'!$B$11,Paramètres!$A$1:$I$89,5,0)</f>
        <v>276.26710800000023</v>
      </c>
      <c r="BF92" s="13">
        <f t="shared" si="91"/>
        <v>66.177526346547864</v>
      </c>
      <c r="BG92" s="20">
        <f t="shared" si="61"/>
        <v>596.42440482023801</v>
      </c>
      <c r="BH92" s="59">
        <f t="shared" si="62"/>
        <v>870.44704853176154</v>
      </c>
      <c r="BI92" s="59">
        <f ca="1">AVERAGE(OFFSET($BH$3,0,0,'Données projet'!$E$11+1,1))-AVERAGE(OFFSET($H$3,0,0,'Données projet'!$E$11+1,1))</f>
        <v>627.65081154031589</v>
      </c>
      <c r="BJ92" s="59">
        <f t="shared" si="92"/>
        <v>288.78083487077618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39.079473260918625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39.079473260918625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8.2910000000000021</v>
      </c>
      <c r="BY92" s="12">
        <f>IF('Données projet'!$A$114&gt;35,BY91+BX92-CG91,IF(A92&lt;'Données projet'!$A$114,$BV$205^A92,IF(A92='Données projet'!$A$114,'Données projet'!$B$114,BY91+BX92-CG91)))</f>
        <v>305.33500000000026</v>
      </c>
      <c r="BZ92" s="13">
        <f>BY92*VLOOKUP('Données projet'!$B$12,Paramètres!$A$1:$I$89,3,0)*VLOOKUP('Données projet'!$B$12,Paramètres!$A$1:$I$89,5,0)</f>
        <v>309.60969000000028</v>
      </c>
      <c r="CA92" s="13">
        <f t="shared" si="93"/>
        <v>73.187311933195204</v>
      </c>
      <c r="CB92" s="20">
        <f t="shared" si="64"/>
        <v>666.70477836698205</v>
      </c>
      <c r="CC92" s="59">
        <f t="shared" si="65"/>
        <v>940.7274220785057</v>
      </c>
      <c r="CD92" s="59">
        <f ca="1">AVERAGE(OFFSET($CC$3,0,0,'Données projet'!$E$12+1,1))-AVERAGE(OFFSET($H$3,0,0,'Données projet'!$E$12+1,1))</f>
        <v>692.2706942067415</v>
      </c>
      <c r="CE92" s="59">
        <f t="shared" si="94"/>
        <v>316.17529091924803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43.79596141309846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43.79596141309846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8.2910000000000021</v>
      </c>
      <c r="CT92" s="12">
        <f>IF('Données projet'!$A$140&gt;35,CT91+CS92-DB91,IF(A92&lt;'Données projet'!$A$140,$CQ$205^A92,IF(A92='Données projet'!$A$140,'Données projet'!$B$140,CT91+CS92-DB91)))</f>
        <v>305.33500000000026</v>
      </c>
      <c r="CU92" s="17">
        <f>CT92*VLOOKUP('Données projet'!$B$13,Paramètres!$A$1:$I$89,3,0)*VLOOKUP('Données projet'!$B$13,Paramètres!$A$1:$I$89,5,0)</f>
        <v>347.71549800000031</v>
      </c>
      <c r="CV92" s="13">
        <f t="shared" si="95"/>
        <v>81.091929418378541</v>
      </c>
      <c r="CW92" s="20">
        <f t="shared" si="67"/>
        <v>746.83960275367644</v>
      </c>
      <c r="CX92" s="59">
        <f t="shared" si="68"/>
        <v>1020.8622464652001</v>
      </c>
      <c r="CY92" s="59">
        <f ca="1">AVERAGE(OFFSET($CX$3,0,0,'Données projet'!$E$13+1,1))-AVERAGE(OFFSET($H$3,0,0,'Données projet'!$E$13+1,1))</f>
        <v>765.9523557587147</v>
      </c>
      <c r="CZ92" s="59">
        <f t="shared" si="96"/>
        <v>347.40395092312815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49.186233587018279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49.186233587018279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1.9230769230769169</v>
      </c>
      <c r="DO92" s="12">
        <f>IF('Données projet'!$A$166&gt;35,DO91+DN92-DW91,IF(A92&lt;'Données projet'!$A$166,$DL$205^A92,IF(A92='Données projet'!$A$166,'Données projet'!$B$166,DO91+DN92-DW91)))</f>
        <v>147.43589743589746</v>
      </c>
      <c r="DP92" s="17">
        <f>DO92*VLOOKUP('Données projet'!$B$14,Paramètres!$A$1:$I$89,3,0)*VLOOKUP('Données projet'!$B$14,Paramètres!$A$1:$I$89,5,0)</f>
        <v>128.80000000000004</v>
      </c>
      <c r="DQ92" s="13">
        <f t="shared" si="97"/>
        <v>33.718925085085118</v>
      </c>
      <c r="DR92" s="20">
        <f t="shared" si="70"/>
        <v>283.05379452318994</v>
      </c>
      <c r="DS92" s="59">
        <f t="shared" si="71"/>
        <v>557.07643823471358</v>
      </c>
      <c r="DT92" s="59">
        <f ca="1">AVERAGE(OFFSET($DS$3,0,0,'Données projet'!$E$14+1,1))-AVERAGE(OFFSET($H$3,0,0,'Données projet'!$E$14+1,1))</f>
        <v>253.82888243490106</v>
      </c>
      <c r="DU92" s="59">
        <f t="shared" si="98"/>
        <v>224.11983819941796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17.619736979247357</v>
      </c>
      <c r="EB92" s="21">
        <f>EXP(-LN(2)/25)*EB91+(1-EXP(-LN(2)/25))/(LN(2)/25)*Calculateur!DW92*Calculateur!DY92*VLOOKUP('Données projet'!$B$14,Paramètres!$A$1:$I$89,3,0)*0.475*44/12</f>
        <v>8.7433971050412538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26.36313408428861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13.159999999999997</v>
      </c>
      <c r="N93" s="13">
        <f>IF('Données projet'!$A$36&gt;35,N92+M93-V92,IF(A93&lt;'Données projet'!$A$36,$K$205^A93,IF(A93='Données projet'!$A$36,'Données projet'!$B$36,N92+M93-V92)))</f>
        <v>472.47999999999968</v>
      </c>
      <c r="O93" s="13">
        <f>N93*VLOOKUP('Données projet'!$B$9,Paramètres!$A$1:$I$89,3,0)*VLOOKUP('Données projet'!$B$9,Paramètres!$A$1:$I$89,5,0)</f>
        <v>221.12063999999984</v>
      </c>
      <c r="P93" s="13">
        <f t="shared" si="87"/>
        <v>54.35837921673749</v>
      </c>
      <c r="Q93" s="20">
        <f t="shared" si="54"/>
        <v>479.79262513581756</v>
      </c>
      <c r="R93" s="59">
        <f t="shared" si="55"/>
        <v>754.15026614004523</v>
      </c>
      <c r="S93" s="59">
        <f ca="1">AVERAGE(OFFSET($R$3,0,0,'Données projet'!$E$9+1,1))-AVERAGE(OFFSET($H$3,0,0,'Données projet'!$E$9+1,1))</f>
        <v>387.50901594883317</v>
      </c>
      <c r="T93" s="59">
        <f t="shared" si="88"/>
        <v>361.3623790401972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92.153416422795146</v>
      </c>
      <c r="AA93" s="21">
        <f>EXP(-LN(2)/25)*AA92+(1-EXP(-LN(2)/25))/(LN(2)/25)*Calculateur!V93*Calculateur!X93*VLOOKUP('Données projet'!$B$9,Paramètres!$A$1:$I$89,3,0)*0.475*44/12</f>
        <v>41.044256828671628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133.19767325146677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373.47758082856359</v>
      </c>
      <c r="AO93" s="59">
        <f t="shared" si="90"/>
        <v>277.24895424120166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141.13652903947306</v>
      </c>
      <c r="AV93" s="21">
        <f>EXP(-LN(2)/25)*AV92+(1-EXP(-LN(2)/25))/(LN(2)/25)*Calculateur!AQ93*Calculateur!AS93*VLOOKUP('Données projet'!$B$10,Paramètres!$A$1:$I$89,3,0)*0.475*44/12</f>
        <v>61.190912956355369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202.32744199582842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8.2910000000000021</v>
      </c>
      <c r="BD93" s="12">
        <f>IF('Données projet'!$A$88&gt;35,BD92+BC93-BL92,IF(A93&lt;'Données projet'!$A$88,$BA$205^A93,IF(A93='Données projet'!$A$88,'Données projet'!$B$88,BD92+BC93-BL92)))</f>
        <v>313.62600000000026</v>
      </c>
      <c r="BE93" s="13">
        <f>BD93*VLOOKUP('Données projet'!$B$11,Paramètres!$A$1:$I$89,3,0)*VLOOKUP('Données projet'!$B$11,Paramètres!$A$1:$I$89,5,0)</f>
        <v>283.76880480000023</v>
      </c>
      <c r="BF93" s="13">
        <f t="shared" si="91"/>
        <v>67.762844856024827</v>
      </c>
      <c r="BG93" s="20">
        <f t="shared" si="61"/>
        <v>612.2509564842436</v>
      </c>
      <c r="BH93" s="59">
        <f t="shared" si="62"/>
        <v>886.60859748847133</v>
      </c>
      <c r="BI93" s="59">
        <f ca="1">AVERAGE(OFFSET($BH$3,0,0,'Données projet'!$E$11+1,1))-AVERAGE(OFFSET($H$3,0,0,'Données projet'!$E$11+1,1))</f>
        <v>627.65081154031589</v>
      </c>
      <c r="BJ93" s="59">
        <f t="shared" si="92"/>
        <v>288.78083487077618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38.31314862639708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38.31314862639708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8.2910000000000021</v>
      </c>
      <c r="BY93" s="12">
        <f>IF('Données projet'!$A$114&gt;35,BY92+BX93-CG92,IF(A93&lt;'Données projet'!$A$114,$BV$205^A93,IF(A93='Données projet'!$A$114,'Données projet'!$B$114,BY92+BX93-CG92)))</f>
        <v>313.62600000000026</v>
      </c>
      <c r="BZ93" s="13">
        <f>BY93*VLOOKUP('Données projet'!$B$12,Paramètres!$A$1:$I$89,3,0)*VLOOKUP('Données projet'!$B$12,Paramètres!$A$1:$I$89,5,0)</f>
        <v>318.01676400000025</v>
      </c>
      <c r="CA93" s="13">
        <f t="shared" si="93"/>
        <v>74.940553655452632</v>
      </c>
      <c r="CB93" s="20">
        <f t="shared" si="64"/>
        <v>684.40066158324714</v>
      </c>
      <c r="CC93" s="59">
        <f t="shared" si="65"/>
        <v>958.75830258747487</v>
      </c>
      <c r="CD93" s="59">
        <f ca="1">AVERAGE(OFFSET($CC$3,0,0,'Données projet'!$E$12+1,1))-AVERAGE(OFFSET($H$3,0,0,'Données projet'!$E$12+1,1))</f>
        <v>692.2706942067415</v>
      </c>
      <c r="CE93" s="59">
        <f t="shared" si="94"/>
        <v>316.17529091924803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42.937149322686381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42.937149322686381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8.2910000000000021</v>
      </c>
      <c r="CT93" s="12">
        <f>IF('Données projet'!$A$140&gt;35,CT92+CS93-DB92,IF(A93&lt;'Données projet'!$A$140,$CQ$205^A93,IF(A93='Données projet'!$A$140,'Données projet'!$B$140,CT92+CS93-DB92)))</f>
        <v>313.62600000000026</v>
      </c>
      <c r="CU93" s="17">
        <f>CT93*VLOOKUP('Données projet'!$B$13,Paramètres!$A$1:$I$89,3,0)*VLOOKUP('Données projet'!$B$13,Paramètres!$A$1:$I$89,5,0)</f>
        <v>357.15728880000034</v>
      </c>
      <c r="CV93" s="13">
        <f t="shared" si="95"/>
        <v>83.034530536512605</v>
      </c>
      <c r="CW93" s="20">
        <f t="shared" si="67"/>
        <v>766.66741867776</v>
      </c>
      <c r="CX93" s="59">
        <f t="shared" si="68"/>
        <v>1041.0250596819876</v>
      </c>
      <c r="CY93" s="59">
        <f ca="1">AVERAGE(OFFSET($CX$3,0,0,'Données projet'!$E$13+1,1))-AVERAGE(OFFSET($H$3,0,0,'Données projet'!$E$13+1,1))</f>
        <v>765.9523557587147</v>
      </c>
      <c r="CZ93" s="59">
        <f t="shared" si="96"/>
        <v>347.40395092312815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48.221721547017019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48.221721547017019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149.35897435897434</v>
      </c>
      <c r="DM93" s="12">
        <f>VLOOKUP(A93,'Données projet'!$A$165:$I$185,9,0)</f>
        <v>1.9230769230769169</v>
      </c>
      <c r="DN93" s="12">
        <f t="array" ref="DN93">INDEX(DM:DM,MIN(IF(ISNUMBER(DM93:DM289),ROW(DM93:DM289),"")))</f>
        <v>1.9230769230769169</v>
      </c>
      <c r="DO93" s="12">
        <f>IF('Données projet'!$A$166&gt;35,DO92+DN93-DW92,IF(A93&lt;'Données projet'!$A$166,$DL$205^A93,IF(A93='Données projet'!$A$166,'Données projet'!$B$166,DO92+DN93-DW92)))</f>
        <v>149.35897435897436</v>
      </c>
      <c r="DP93" s="17">
        <f>DO93*VLOOKUP('Données projet'!$B$14,Paramètres!$A$1:$I$89,3,0)*VLOOKUP('Données projet'!$B$14,Paramètres!$A$1:$I$89,5,0)</f>
        <v>130.48000000000002</v>
      </c>
      <c r="DQ93" s="13">
        <f t="shared" si="97"/>
        <v>34.107249437343114</v>
      </c>
      <c r="DR93" s="20">
        <f t="shared" si="70"/>
        <v>286.65612610337257</v>
      </c>
      <c r="DS93" s="59">
        <f t="shared" si="71"/>
        <v>561.01376710760019</v>
      </c>
      <c r="DT93" s="59">
        <f ca="1">AVERAGE(OFFSET($DS$3,0,0,'Données projet'!$E$14+1,1))-AVERAGE(OFFSET($H$3,0,0,'Données projet'!$E$14+1,1))</f>
        <v>253.82888243490106</v>
      </c>
      <c r="DU93" s="59">
        <f t="shared" si="98"/>
        <v>224.11983819941796</v>
      </c>
      <c r="DV93" s="15">
        <f>IF(ISNA(VLOOKUP(A93,'Données projet'!$A$165:$I$185,3,0)),0,VLOOKUP(A93,'Données projet'!$A$165:$I$185,3,0))</f>
        <v>17</v>
      </c>
      <c r="DW93" s="15">
        <f>IF(ISNA(VLOOKUP(A93,'Données projet'!$A$165:$I$185,4,0)),0,VLOOKUP(A93,'Données projet'!$A$165:$I$185,4,0))</f>
        <v>7.0512820512820511</v>
      </c>
      <c r="DX93" s="16">
        <f>IF(ISNA(VLOOKUP(A93,'Données projet'!$A$165:$I$185,5,0)),0%,VLOOKUP(A93,'Données projet'!$A$165:$I$185,5,0)*VLOOKUP('Données projet'!$B$14,Paramètres!$A$1:$I$89,7,0))</f>
        <v>0.25800000000000001</v>
      </c>
      <c r="DY93" s="16">
        <f>IF(ISNA(VLOOKUP(A93,'Données projet'!$A$165:$I$185,6,0)),0%,VLOOKUP(A93,'Données projet'!$A$165:$I$185,6,0)*VLOOKUP('Données projet'!$B$14,Paramètres!$A$1:$I$89,7,0))</f>
        <v>0.129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19.031126648846826</v>
      </c>
      <c r="EB93" s="21">
        <f>EXP(-LN(2)/25)*EB92+(1-EXP(-LN(2)/25))/(LN(2)/25)*Calculateur!DW93*Calculateur!DY93*VLOOKUP('Données projet'!$B$14,Paramètres!$A$1:$I$89,3,0)*0.475*44/12</f>
        <v>9.3793006375669492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28.410427286413775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13.159999999999997</v>
      </c>
      <c r="N94" s="13">
        <f>IF('Données projet'!$A$36&gt;35,N93+M94-V93,IF(A94&lt;'Données projet'!$A$36,$K$205^A94,IF(A94='Données projet'!$A$36,'Données projet'!$B$36,N93+M94-V93)))</f>
        <v>485.63999999999965</v>
      </c>
      <c r="O94" s="13">
        <f>N94*VLOOKUP('Données projet'!$B$9,Paramètres!$A$1:$I$89,3,0)*VLOOKUP('Données projet'!$B$9,Paramètres!$A$1:$I$89,5,0)</f>
        <v>227.27951999999982</v>
      </c>
      <c r="P94" s="13">
        <f t="shared" si="87"/>
        <v>55.694043418351256</v>
      </c>
      <c r="Q94" s="20">
        <f t="shared" si="54"/>
        <v>492.84562295362815</v>
      </c>
      <c r="R94" s="59">
        <f t="shared" si="55"/>
        <v>767.5324497964732</v>
      </c>
      <c r="S94" s="59">
        <f ca="1">AVERAGE(OFFSET($R$3,0,0,'Données projet'!$E$9+1,1))-AVERAGE(OFFSET($H$3,0,0,'Données projet'!$E$9+1,1))</f>
        <v>387.50901594883317</v>
      </c>
      <c r="T94" s="59">
        <f t="shared" si="88"/>
        <v>361.3623790401972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90.346344134778064</v>
      </c>
      <c r="AA94" s="21">
        <f>EXP(-LN(2)/25)*AA93+(1-EXP(-LN(2)/25))/(LN(2)/25)*Calculateur!V94*Calculateur!X94*VLOOKUP('Données projet'!$B$9,Paramètres!$A$1:$I$89,3,0)*0.475*44/12</f>
        <v>39.921899467267941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130.268243602046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373.47758082856359</v>
      </c>
      <c r="AO94" s="59">
        <f t="shared" si="90"/>
        <v>277.24895424120166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138.36892778979154</v>
      </c>
      <c r="AV94" s="21">
        <f>EXP(-LN(2)/25)*AV93+(1-EXP(-LN(2)/25))/(LN(2)/25)*Calculateur!AQ94*Calculateur!AS94*VLOOKUP('Données projet'!$B$10,Paramètres!$A$1:$I$89,3,0)*0.475*44/12</f>
        <v>59.517644223673571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197.88657201346513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8.2910000000000021</v>
      </c>
      <c r="BD94" s="12">
        <f>IF('Données projet'!$A$88&gt;35,BD93+BC94-BL93,IF(A94&lt;'Données projet'!$A$88,$BA$205^A94,IF(A94='Données projet'!$A$88,'Données projet'!$B$88,BD93+BC94-BL93)))</f>
        <v>321.91700000000026</v>
      </c>
      <c r="BE94" s="13">
        <f>BD94*VLOOKUP('Données projet'!$B$11,Paramètres!$A$1:$I$89,3,0)*VLOOKUP('Données projet'!$B$11,Paramètres!$A$1:$I$89,5,0)</f>
        <v>291.27050160000022</v>
      </c>
      <c r="BF94" s="13">
        <f t="shared" si="91"/>
        <v>69.343292010233441</v>
      </c>
      <c r="BG94" s="20">
        <f t="shared" si="61"/>
        <v>628.0690238711569</v>
      </c>
      <c r="BH94" s="59">
        <f t="shared" si="62"/>
        <v>902.75585071400201</v>
      </c>
      <c r="BI94" s="59">
        <f ca="1">AVERAGE(OFFSET($BH$3,0,0,'Données projet'!$E$11+1,1))-AVERAGE(OFFSET($H$3,0,0,'Données projet'!$E$11+1,1))</f>
        <v>627.65081154031589</v>
      </c>
      <c r="BJ94" s="59">
        <f t="shared" si="92"/>
        <v>288.78083487077618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37.561851150546623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37.561851150546623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8.2910000000000021</v>
      </c>
      <c r="BY94" s="12">
        <f>IF('Données projet'!$A$114&gt;35,BY93+BX94-CG93,IF(A94&lt;'Données projet'!$A$114,$BV$205^A94,IF(A94='Données projet'!$A$114,'Données projet'!$B$114,BY93+BX94-CG93)))</f>
        <v>321.91700000000026</v>
      </c>
      <c r="BZ94" s="13">
        <f>BY94*VLOOKUP('Données projet'!$B$12,Paramètres!$A$1:$I$89,3,0)*VLOOKUP('Données projet'!$B$12,Paramètres!$A$1:$I$89,5,0)</f>
        <v>326.42383800000027</v>
      </c>
      <c r="CA94" s="13">
        <f t="shared" si="93"/>
        <v>76.688408029206073</v>
      </c>
      <c r="CB94" s="20">
        <f t="shared" si="64"/>
        <v>702.08716183420108</v>
      </c>
      <c r="CC94" s="59">
        <f t="shared" si="65"/>
        <v>976.77398867704619</v>
      </c>
      <c r="CD94" s="59">
        <f ca="1">AVERAGE(OFFSET($CC$3,0,0,'Données projet'!$E$12+1,1))-AVERAGE(OFFSET($H$3,0,0,'Données projet'!$E$12+1,1))</f>
        <v>692.2706942067415</v>
      </c>
      <c r="CE94" s="59">
        <f t="shared" si="94"/>
        <v>316.17529091924803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42.095178013543631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42.095178013543631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8.2910000000000021</v>
      </c>
      <c r="CT94" s="12">
        <f>IF('Données projet'!$A$140&gt;35,CT93+CS94-DB93,IF(A94&lt;'Données projet'!$A$140,$CQ$205^A94,IF(A94='Données projet'!$A$140,'Données projet'!$B$140,CT93+CS94-DB93)))</f>
        <v>321.91700000000026</v>
      </c>
      <c r="CU94" s="17">
        <f>CT94*VLOOKUP('Données projet'!$B$13,Paramètres!$A$1:$I$89,3,0)*VLOOKUP('Données projet'!$B$13,Paramètres!$A$1:$I$89,5,0)</f>
        <v>366.59907960000032</v>
      </c>
      <c r="CV94" s="13">
        <f t="shared" si="95"/>
        <v>84.971162443958434</v>
      </c>
      <c r="CW94" s="20">
        <f t="shared" si="67"/>
        <v>786.48483822656135</v>
      </c>
      <c r="CX94" s="59">
        <f t="shared" si="68"/>
        <v>1061.1716650694063</v>
      </c>
      <c r="CY94" s="59">
        <f ca="1">AVERAGE(OFFSET($CX$3,0,0,'Données projet'!$E$13+1,1))-AVERAGE(OFFSET($H$3,0,0,'Données projet'!$E$13+1,1))</f>
        <v>765.9523557587147</v>
      </c>
      <c r="CZ94" s="59">
        <f t="shared" si="96"/>
        <v>347.40395092312815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47.27612299982593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47.27612299982593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1.7948717948717956</v>
      </c>
      <c r="DO94" s="12">
        <f>IF('Données projet'!$A$166&gt;35,DO93+DN94-DW93,IF(A94&lt;'Données projet'!$A$166,$DL$205^A94,IF(A94='Données projet'!$A$166,'Données projet'!$B$166,DO93+DN94-DW93)))</f>
        <v>144.10256410256412</v>
      </c>
      <c r="DP94" s="17">
        <f>DO94*VLOOKUP('Données projet'!$B$14,Paramètres!$A$1:$I$89,3,0)*VLOOKUP('Données projet'!$B$14,Paramètres!$A$1:$I$89,5,0)</f>
        <v>125.88800000000002</v>
      </c>
      <c r="DQ94" s="13">
        <f t="shared" si="97"/>
        <v>33.044426758623921</v>
      </c>
      <c r="DR94" s="20">
        <f t="shared" si="70"/>
        <v>276.80730993793668</v>
      </c>
      <c r="DS94" s="59">
        <f t="shared" si="71"/>
        <v>551.49413678078167</v>
      </c>
      <c r="DT94" s="59">
        <f ca="1">AVERAGE(OFFSET($DS$3,0,0,'Données projet'!$E$14+1,1))-AVERAGE(OFFSET($H$3,0,0,'Données projet'!$E$14+1,1))</f>
        <v>253.82888243490106</v>
      </c>
      <c r="DU94" s="59">
        <f t="shared" si="98"/>
        <v>224.11983819941796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18.657937863104017</v>
      </c>
      <c r="EB94" s="21">
        <f>EXP(-LN(2)/25)*EB93+(1-EXP(-LN(2)/25))/(LN(2)/25)*Calculateur!DW94*Calculateur!DY94*VLOOKUP('Données projet'!$B$14,Paramètres!$A$1:$I$89,3,0)*0.475*44/12</f>
        <v>9.1228231683966978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27.780761031500717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13.159999999999997</v>
      </c>
      <c r="N95" s="13">
        <f>IF('Données projet'!$A$36&gt;35,N94+M95-V94,IF(A95&lt;'Données projet'!$A$36,$K$205^A95,IF(A95='Données projet'!$A$36,'Données projet'!$B$36,N94+M95-V94)))</f>
        <v>498.79999999999961</v>
      </c>
      <c r="O95" s="13">
        <f>N95*VLOOKUP('Données projet'!$B$9,Paramètres!$A$1:$I$89,3,0)*VLOOKUP('Données projet'!$B$9,Paramètres!$A$1:$I$89,5,0)</f>
        <v>233.4383999999998</v>
      </c>
      <c r="P95" s="13">
        <f t="shared" si="87"/>
        <v>57.025500710931574</v>
      </c>
      <c r="Q95" s="20">
        <f t="shared" si="54"/>
        <v>505.89129373820555</v>
      </c>
      <c r="R95" s="59">
        <f t="shared" si="55"/>
        <v>780.90159578131727</v>
      </c>
      <c r="S95" s="59">
        <f ca="1">AVERAGE(OFFSET($R$3,0,0,'Données projet'!$E$9+1,1))-AVERAGE(OFFSET($H$3,0,0,'Données projet'!$E$9+1,1))</f>
        <v>387.50901594883317</v>
      </c>
      <c r="T95" s="59">
        <f t="shared" si="88"/>
        <v>361.3623790401972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88.574707432123745</v>
      </c>
      <c r="AA95" s="21">
        <f>EXP(-LN(2)/25)*AA94+(1-EXP(-LN(2)/25))/(LN(2)/25)*Calculateur!V95*Calculateur!X95*VLOOKUP('Données projet'!$B$9,Paramètres!$A$1:$I$89,3,0)*0.475*44/12</f>
        <v>38.830233026934046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127.4049404590578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373.47758082856359</v>
      </c>
      <c r="AO95" s="59">
        <f t="shared" si="90"/>
        <v>277.24895424120166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135.65559751254619</v>
      </c>
      <c r="AV95" s="21">
        <f>EXP(-LN(2)/25)*AV94+(1-EXP(-LN(2)/25))/(LN(2)/25)*Calculateur!AQ95*Calculateur!AS95*VLOOKUP('Données projet'!$B$10,Paramètres!$A$1:$I$89,3,0)*0.475*44/12</f>
        <v>57.89013111248034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193.54572862502653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8.2910000000000021</v>
      </c>
      <c r="BD95" s="12">
        <f>IF('Données projet'!$A$88&gt;35,BD94+BC95-BL94,IF(A95&lt;'Données projet'!$A$88,$BA$205^A95,IF(A95='Données projet'!$A$88,'Données projet'!$B$88,BD94+BC95-BL94)))</f>
        <v>330.20800000000025</v>
      </c>
      <c r="BE95" s="13">
        <f>BD95*VLOOKUP('Données projet'!$B$11,Paramètres!$A$1:$I$89,3,0)*VLOOKUP('Données projet'!$B$11,Paramètres!$A$1:$I$89,5,0)</f>
        <v>298.77219840000021</v>
      </c>
      <c r="BF95" s="13">
        <f t="shared" si="91"/>
        <v>70.919007696700163</v>
      </c>
      <c r="BG95" s="20">
        <f t="shared" si="61"/>
        <v>643.87885061841985</v>
      </c>
      <c r="BH95" s="59">
        <f t="shared" si="62"/>
        <v>918.88915266153163</v>
      </c>
      <c r="BI95" s="59">
        <f ca="1">AVERAGE(OFFSET($BH$3,0,0,'Données projet'!$E$11+1,1))-AVERAGE(OFFSET($H$3,0,0,'Données projet'!$E$11+1,1))</f>
        <v>627.65081154031589</v>
      </c>
      <c r="BJ95" s="59">
        <f t="shared" si="92"/>
        <v>288.78083487077618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36.825286159951382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36.825286159951382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8.2910000000000021</v>
      </c>
      <c r="BY95" s="12">
        <f>IF('Données projet'!$A$114&gt;35,BY94+BX95-CG94,IF(A95&lt;'Données projet'!$A$114,$BV$205^A95,IF(A95='Données projet'!$A$114,'Données projet'!$B$114,BY94+BX95-CG94)))</f>
        <v>330.20800000000025</v>
      </c>
      <c r="BZ95" s="13">
        <f>BY95*VLOOKUP('Données projet'!$B$12,Paramètres!$A$1:$I$89,3,0)*VLOOKUP('Données projet'!$B$12,Paramètres!$A$1:$I$89,5,0)</f>
        <v>334.8309120000003</v>
      </c>
      <c r="CA95" s="13">
        <f t="shared" si="93"/>
        <v>78.431029759422557</v>
      </c>
      <c r="CB95" s="20">
        <f t="shared" si="64"/>
        <v>719.76454856432804</v>
      </c>
      <c r="CC95" s="59">
        <f t="shared" si="65"/>
        <v>994.7748506074397</v>
      </c>
      <c r="CD95" s="59">
        <f ca="1">AVERAGE(OFFSET($CC$3,0,0,'Données projet'!$E$12+1,1))-AVERAGE(OFFSET($H$3,0,0,'Données projet'!$E$12+1,1))</f>
        <v>692.2706942067415</v>
      </c>
      <c r="CE95" s="59">
        <f t="shared" si="94"/>
        <v>316.17529091924803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41.269717248221383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41.269717248221383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8.2910000000000021</v>
      </c>
      <c r="CT95" s="12">
        <f>IF('Données projet'!$A$140&gt;35,CT94+CS95-DB94,IF(A95&lt;'Données projet'!$A$140,$CQ$205^A95,IF(A95='Données projet'!$A$140,'Données projet'!$B$140,CT94+CS95-DB94)))</f>
        <v>330.20800000000025</v>
      </c>
      <c r="CU95" s="17">
        <f>CT95*VLOOKUP('Données projet'!$B$13,Paramètres!$A$1:$I$89,3,0)*VLOOKUP('Données projet'!$B$13,Paramètres!$A$1:$I$89,5,0)</f>
        <v>376.0408704000003</v>
      </c>
      <c r="CV95" s="13">
        <f t="shared" si="95"/>
        <v>86.901996554639226</v>
      </c>
      <c r="CW95" s="20">
        <f t="shared" si="67"/>
        <v>806.29215994599724</v>
      </c>
      <c r="CX95" s="59">
        <f t="shared" si="68"/>
        <v>1081.3024619891089</v>
      </c>
      <c r="CY95" s="59">
        <f ca="1">AVERAGE(OFFSET($CX$3,0,0,'Données projet'!$E$13+1,1))-AVERAGE(OFFSET($H$3,0,0,'Données projet'!$E$13+1,1))</f>
        <v>765.9523557587147</v>
      </c>
      <c r="CZ95" s="59">
        <f t="shared" si="96"/>
        <v>347.40395092312815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46.349067063387096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46.349067063387096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1.7948717948717956</v>
      </c>
      <c r="DO95" s="12">
        <f>IF('Données projet'!$A$166&gt;35,DO94+DN95-DW94,IF(A95&lt;'Données projet'!$A$166,$DL$205^A95,IF(A95='Données projet'!$A$166,'Données projet'!$B$166,DO94+DN95-DW94)))</f>
        <v>145.89743589743591</v>
      </c>
      <c r="DP95" s="17">
        <f>DO95*VLOOKUP('Données projet'!$B$14,Paramètres!$A$1:$I$89,3,0)*VLOOKUP('Données projet'!$B$14,Paramètres!$A$1:$I$89,5,0)</f>
        <v>127.45600000000005</v>
      </c>
      <c r="DQ95" s="13">
        <f t="shared" si="97"/>
        <v>33.407841186908719</v>
      </c>
      <c r="DR95" s="20">
        <f t="shared" si="70"/>
        <v>280.1711900671994</v>
      </c>
      <c r="DS95" s="59">
        <f t="shared" si="71"/>
        <v>555.18149211031118</v>
      </c>
      <c r="DT95" s="59">
        <f ca="1">AVERAGE(OFFSET($DS$3,0,0,'Données projet'!$E$14+1,1))-AVERAGE(OFFSET($H$3,0,0,'Données projet'!$E$14+1,1))</f>
        <v>253.82888243490106</v>
      </c>
      <c r="DU95" s="59">
        <f t="shared" si="98"/>
        <v>224.11983819941796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18.292067081826939</v>
      </c>
      <c r="EB95" s="21">
        <f>EXP(-LN(2)/25)*EB94+(1-EXP(-LN(2)/25))/(LN(2)/25)*Calculateur!DW95*Calculateur!DY95*VLOOKUP('Données projet'!$B$14,Paramètres!$A$1:$I$89,3,0)*0.475*44/12</f>
        <v>8.8733590891084706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27.165426170935412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13.159999999999997</v>
      </c>
      <c r="N96" s="13">
        <f>IF('Données projet'!$A$36&gt;35,N95+M96-V95,IF(A96&lt;'Données projet'!$A$36,$K$205^A96,IF(A96='Données projet'!$A$36,'Données projet'!$B$36,N95+M96-V95)))</f>
        <v>511.95999999999958</v>
      </c>
      <c r="O96" s="13">
        <f>N96*VLOOKUP('Données projet'!$B$9,Paramètres!$A$1:$I$89,3,0)*VLOOKUP('Données projet'!$B$9,Paramètres!$A$1:$I$89,5,0)</f>
        <v>239.59727999999981</v>
      </c>
      <c r="P96" s="13">
        <f t="shared" si="87"/>
        <v>58.352874845190904</v>
      </c>
      <c r="Q96" s="20">
        <f t="shared" si="54"/>
        <v>518.92985302204045</v>
      </c>
      <c r="R96" s="59">
        <f t="shared" si="55"/>
        <v>794.25801869387647</v>
      </c>
      <c r="S96" s="59">
        <f ca="1">AVERAGE(OFFSET($R$3,0,0,'Données projet'!$E$9+1,1))-AVERAGE(OFFSET($H$3,0,0,'Données projet'!$E$9+1,1))</f>
        <v>387.50901594883317</v>
      </c>
      <c r="T96" s="59">
        <f t="shared" si="88"/>
        <v>361.3623790401972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86.837811444616776</v>
      </c>
      <c r="AA96" s="21">
        <f>EXP(-LN(2)/25)*AA95+(1-EXP(-LN(2)/25))/(LN(2)/25)*Calculateur!V96*Calculateur!X96*VLOOKUP('Données projet'!$B$9,Paramètres!$A$1:$I$89,3,0)*0.475*44/12</f>
        <v>37.768418262819324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124.6062297074361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373.47758082856359</v>
      </c>
      <c r="AO96" s="59">
        <f t="shared" si="90"/>
        <v>277.24895424120166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132.99547398706957</v>
      </c>
      <c r="AV96" s="21">
        <f>EXP(-LN(2)/25)*AV95+(1-EXP(-LN(2)/25))/(LN(2)/25)*Calculateur!AQ96*Calculateur!AS96*VLOOKUP('Données projet'!$B$10,Paramètres!$A$1:$I$89,3,0)*0.475*44/12</f>
        <v>56.307122432899881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189.30259641996946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8.2910000000000021</v>
      </c>
      <c r="BD96" s="12">
        <f>IF('Données projet'!$A$88&gt;35,BD95+BC96-BL95,IF(A96&lt;'Données projet'!$A$88,$BA$205^A96,IF(A96='Données projet'!$A$88,'Données projet'!$B$88,BD95+BC96-BL95)))</f>
        <v>338.49900000000025</v>
      </c>
      <c r="BE96" s="13">
        <f>BD96*VLOOKUP('Données projet'!$B$11,Paramètres!$A$1:$I$89,3,0)*VLOOKUP('Données projet'!$B$11,Paramètres!$A$1:$I$89,5,0)</f>
        <v>306.27389520000025</v>
      </c>
      <c r="BF96" s="13">
        <f t="shared" si="91"/>
        <v>72.490124377904692</v>
      </c>
      <c r="BG96" s="20">
        <f t="shared" si="61"/>
        <v>659.68066743151769</v>
      </c>
      <c r="BH96" s="59">
        <f t="shared" si="62"/>
        <v>935.00883310335371</v>
      </c>
      <c r="BI96" s="59">
        <f ca="1">AVERAGE(OFFSET($BH$3,0,0,'Données projet'!$E$11+1,1))-AVERAGE(OFFSET($H$3,0,0,'Données projet'!$E$11+1,1))</f>
        <v>627.65081154031589</v>
      </c>
      <c r="BJ96" s="59">
        <f t="shared" si="92"/>
        <v>288.78083487077618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36.10316475956143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36.10316475956143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8.2910000000000021</v>
      </c>
      <c r="BY96" s="12">
        <f>IF('Données projet'!$A$114&gt;35,BY95+BX96-CG95,IF(A96&lt;'Données projet'!$A$114,$BV$205^A96,IF(A96='Données projet'!$A$114,'Données projet'!$B$114,BY95+BX96-CG95)))</f>
        <v>338.49900000000025</v>
      </c>
      <c r="BZ96" s="13">
        <f>BY96*VLOOKUP('Données projet'!$B$12,Paramètres!$A$1:$I$89,3,0)*VLOOKUP('Données projet'!$B$12,Paramètres!$A$1:$I$89,5,0)</f>
        <v>343.23798600000026</v>
      </c>
      <c r="CA96" s="13">
        <f t="shared" si="93"/>
        <v>80.16856533953208</v>
      </c>
      <c r="CB96" s="20">
        <f t="shared" si="64"/>
        <v>737.43307691635209</v>
      </c>
      <c r="CC96" s="59">
        <f t="shared" si="65"/>
        <v>1012.761242588188</v>
      </c>
      <c r="CD96" s="59">
        <f ca="1">AVERAGE(OFFSET($CC$3,0,0,'Données projet'!$E$12+1,1))-AVERAGE(OFFSET($H$3,0,0,'Données projet'!$E$12+1,1))</f>
        <v>692.2706942067415</v>
      </c>
      <c r="CE96" s="59">
        <f t="shared" si="94"/>
        <v>316.17529091924803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40.460443265025752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40.460443265025752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8.2910000000000021</v>
      </c>
      <c r="CT96" s="12">
        <f>IF('Données projet'!$A$140&gt;35,CT95+CS96-DB95,IF(A96&lt;'Données projet'!$A$140,$CQ$205^A96,IF(A96='Données projet'!$A$140,'Données projet'!$B$140,CT95+CS96-DB95)))</f>
        <v>338.49900000000025</v>
      </c>
      <c r="CU96" s="17">
        <f>CT96*VLOOKUP('Données projet'!$B$13,Paramètres!$A$1:$I$89,3,0)*VLOOKUP('Données projet'!$B$13,Paramètres!$A$1:$I$89,5,0)</f>
        <v>385.48266120000028</v>
      </c>
      <c r="CV96" s="13">
        <f t="shared" si="95"/>
        <v>88.82719518405159</v>
      </c>
      <c r="CW96" s="20">
        <f t="shared" si="67"/>
        <v>826.08966653555683</v>
      </c>
      <c r="CX96" s="59">
        <f t="shared" si="68"/>
        <v>1101.4178322073928</v>
      </c>
      <c r="CY96" s="59">
        <f ca="1">AVERAGE(OFFSET($CX$3,0,0,'Données projet'!$E$13+1,1))-AVERAGE(OFFSET($H$3,0,0,'Données projet'!$E$13+1,1))</f>
        <v>765.9523557587147</v>
      </c>
      <c r="CZ96" s="59">
        <f t="shared" si="96"/>
        <v>347.40395092312815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45.440190128413541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45.440190128413541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1.7948717948717956</v>
      </c>
      <c r="DO96" s="12">
        <f>IF('Données projet'!$A$166&gt;35,DO95+DN96-DW95,IF(A96&lt;'Données projet'!$A$166,$DL$205^A96,IF(A96='Données projet'!$A$166,'Données projet'!$B$166,DO95+DN96-DW95)))</f>
        <v>147.69230769230771</v>
      </c>
      <c r="DP96" s="17">
        <f>DO96*VLOOKUP('Données projet'!$B$14,Paramètres!$A$1:$I$89,3,0)*VLOOKUP('Données projet'!$B$14,Paramètres!$A$1:$I$89,5,0)</f>
        <v>129.02400000000003</v>
      </c>
      <c r="DQ96" s="13">
        <f t="shared" si="97"/>
        <v>33.770735569397921</v>
      </c>
      <c r="DR96" s="20">
        <f t="shared" si="70"/>
        <v>283.53416445003472</v>
      </c>
      <c r="DS96" s="59">
        <f t="shared" si="71"/>
        <v>558.86233012187063</v>
      </c>
      <c r="DT96" s="59">
        <f ca="1">AVERAGE(OFFSET($DS$3,0,0,'Données projet'!$E$14+1,1))-AVERAGE(OFFSET($H$3,0,0,'Données projet'!$E$14+1,1))</f>
        <v>253.82888243490106</v>
      </c>
      <c r="DU96" s="59">
        <f t="shared" si="98"/>
        <v>224.11983819941796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17.933370803411563</v>
      </c>
      <c r="EB96" s="21">
        <f>EXP(-LN(2)/25)*EB95+(1-EXP(-LN(2)/25))/(LN(2)/25)*Calculateur!DW96*Calculateur!DY96*VLOOKUP('Données projet'!$B$14,Paramètres!$A$1:$I$89,3,0)*0.475*44/12</f>
        <v>8.630716618187126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26.564087421598689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13.159999999999997</v>
      </c>
      <c r="N97" s="13">
        <f>IF('Données projet'!$A$36&gt;35,N96+M97-V96,IF(A97&lt;'Données projet'!$A$36,$K$205^A97,IF(A97='Données projet'!$A$36,'Données projet'!$B$36,N96+M97-V96)))</f>
        <v>525.11999999999955</v>
      </c>
      <c r="O97" s="13">
        <f>N97*VLOOKUP('Données projet'!$B$9,Paramètres!$A$1:$I$89,3,0)*VLOOKUP('Données projet'!$B$9,Paramètres!$A$1:$I$89,5,0)</f>
        <v>245.7561599999998</v>
      </c>
      <c r="P97" s="13">
        <f t="shared" si="87"/>
        <v>59.67628284734046</v>
      </c>
      <c r="Q97" s="20">
        <f t="shared" si="54"/>
        <v>531.96150462578419</v>
      </c>
      <c r="R97" s="59">
        <f t="shared" si="55"/>
        <v>807.60201970302273</v>
      </c>
      <c r="S97" s="59">
        <f ca="1">AVERAGE(OFFSET($R$3,0,0,'Données projet'!$E$9+1,1))-AVERAGE(OFFSET($H$3,0,0,'Données projet'!$E$9+1,1))</f>
        <v>387.50901594883317</v>
      </c>
      <c r="T97" s="59">
        <f t="shared" si="88"/>
        <v>361.3623790401972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85.134974928022885</v>
      </c>
      <c r="AA97" s="21">
        <f>EXP(-LN(2)/25)*AA96+(1-EXP(-LN(2)/25))/(LN(2)/25)*Calculateur!V97*Calculateur!X97*VLOOKUP('Données projet'!$B$9,Paramètres!$A$1:$I$89,3,0)*0.475*44/12</f>
        <v>36.735638879267732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121.87061380729062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373.47758082856359</v>
      </c>
      <c r="AO97" s="59">
        <f t="shared" si="90"/>
        <v>277.24895424120166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130.3875138614124</v>
      </c>
      <c r="AV97" s="21">
        <f>EXP(-LN(2)/25)*AV96+(1-EXP(-LN(2)/25))/(LN(2)/25)*Calculateur!AQ97*Calculateur!AS97*VLOOKUP('Données projet'!$B$10,Paramètres!$A$1:$I$89,3,0)*0.475*44/12</f>
        <v>54.767401208909355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185.15491507032175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>
        <f>VLOOKUP(A97,'Données projet'!$A$87:$I$107,2,0)</f>
        <v>346.79</v>
      </c>
      <c r="BB97" s="12">
        <f>VLOOKUP(A97,'Données projet'!$A$87:$I$107,9,0)</f>
        <v>8.2910000000000021</v>
      </c>
      <c r="BC97" s="12">
        <f t="array" ref="BC97">INDEX(BB:BB,MIN(IF(ISNUMBER(BB97:BB293),ROW(BB97:BB293),"")))</f>
        <v>8.2910000000000021</v>
      </c>
      <c r="BD97" s="12">
        <f>IF('Données projet'!$A$88&gt;35,BD96+BC97-BL96,IF(A97&lt;'Données projet'!$A$88,$BA$205^A97,IF(A97='Données projet'!$A$88,'Données projet'!$B$88,BD96+BC97-BL96)))</f>
        <v>346.79000000000025</v>
      </c>
      <c r="BE97" s="13">
        <f>BD97*VLOOKUP('Données projet'!$B$11,Paramètres!$A$1:$I$89,3,0)*VLOOKUP('Données projet'!$B$11,Paramètres!$A$1:$I$89,5,0)</f>
        <v>313.77559200000019</v>
      </c>
      <c r="BF97" s="13">
        <f t="shared" si="91"/>
        <v>74.056767657464533</v>
      </c>
      <c r="BG97" s="20">
        <f t="shared" si="61"/>
        <v>675.47469307008441</v>
      </c>
      <c r="BH97" s="59">
        <f t="shared" si="62"/>
        <v>951.11520814732285</v>
      </c>
      <c r="BI97" s="59">
        <f ca="1">AVERAGE(OFFSET($BH$3,0,0,'Données projet'!$E$11+1,1))-AVERAGE(OFFSET($H$3,0,0,'Données projet'!$E$11+1,1))</f>
        <v>627.65081154031589</v>
      </c>
      <c r="BJ97" s="59">
        <f t="shared" si="92"/>
        <v>288.78083487077618</v>
      </c>
      <c r="BK97" s="15">
        <f>IF(ISNA(VLOOKUP(A97,'Données projet'!$A$87:$I$107,3,0)),0,VLOOKUP(A97,'Données projet'!$A$87:$I$107,3,0))</f>
        <v>7</v>
      </c>
      <c r="BL97" s="15">
        <f>IF(ISNA(VLOOKUP(A97,'Données projet'!$A$87:$I$107,4,0)),0,VLOOKUP(A97,'Données projet'!$A$87:$I$107,4,0))</f>
        <v>61.85</v>
      </c>
      <c r="BM97" s="16">
        <f>IF(ISNA(VLOOKUP(A97,'Données projet'!$A$87:$I$107,5,0)),0%,VLOOKUP(A97,'Données projet'!$A$87:$I$107,5,0)*VLOOKUP('Données projet'!$B$11,Paramètres!$A$1:$I$89,7,0))</f>
        <v>0.25800000000000001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51.356167505910733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51.356167505910733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346.79</v>
      </c>
      <c r="BW97" s="12">
        <f>VLOOKUP(A97,'Données projet'!$A$113:$I$133,9,0)</f>
        <v>8.2910000000000021</v>
      </c>
      <c r="BX97" s="12">
        <f t="array" ref="BX97">INDEX(BW:BW,MIN(IF(ISNUMBER(BW97:BW293),ROW(BW97:BW293),"")))</f>
        <v>8.2910000000000021</v>
      </c>
      <c r="BY97" s="12">
        <f>IF('Données projet'!$A$114&gt;35,BY96+BX97-CG96,IF(A97&lt;'Données projet'!$A$114,$BV$205^A97,IF(A97='Données projet'!$A$114,'Données projet'!$B$114,BY96+BX97-CG96)))</f>
        <v>346.79000000000025</v>
      </c>
      <c r="BZ97" s="13">
        <f>BY97*VLOOKUP('Données projet'!$B$12,Paramètres!$A$1:$I$89,3,0)*VLOOKUP('Données projet'!$B$12,Paramètres!$A$1:$I$89,5,0)</f>
        <v>351.64506000000029</v>
      </c>
      <c r="CA97" s="13">
        <f t="shared" si="93"/>
        <v>81.901153677584574</v>
      </c>
      <c r="CB97" s="20">
        <f t="shared" si="64"/>
        <v>755.09298882179371</v>
      </c>
      <c r="CC97" s="59">
        <f t="shared" si="65"/>
        <v>1030.7335038990323</v>
      </c>
      <c r="CD97" s="59">
        <f ca="1">AVERAGE(OFFSET($CC$3,0,0,'Données projet'!$E$12+1,1))-AVERAGE(OFFSET($H$3,0,0,'Données projet'!$E$12+1,1))</f>
        <v>692.2706942067415</v>
      </c>
      <c r="CE97" s="59">
        <f t="shared" si="94"/>
        <v>316.17529091924803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0.25800000000000001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57.554325653175837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57.554325653175837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>
        <f>VLOOKUP(A97,'Données projet'!$A$139:$I$159,2,0)</f>
        <v>346.79</v>
      </c>
      <c r="CR97" s="12">
        <f>VLOOKUP(A97,'Données projet'!$A$139:$I$159,9,0)</f>
        <v>8.2910000000000021</v>
      </c>
      <c r="CS97" s="12">
        <f t="array" ref="CS97">INDEX(CR:CR,MIN(IF(ISNUMBER(CR97:CR293),ROW(CR97:CR293),"")))</f>
        <v>8.2910000000000021</v>
      </c>
      <c r="CT97" s="12">
        <f>IF('Données projet'!$A$140&gt;35,CT96+CS97-DB96,IF(A97&lt;'Données projet'!$A$140,$CQ$205^A97,IF(A97='Données projet'!$A$140,'Données projet'!$B$140,CT96+CS97-DB96)))</f>
        <v>346.79000000000025</v>
      </c>
      <c r="CU97" s="17">
        <f>CT97*VLOOKUP('Données projet'!$B$13,Paramètres!$A$1:$I$89,3,0)*VLOOKUP('Données projet'!$B$13,Paramètres!$A$1:$I$89,5,0)</f>
        <v>394.92445200000026</v>
      </c>
      <c r="CV97" s="13">
        <f t="shared" si="95"/>
        <v>90.746912243050886</v>
      </c>
      <c r="CW97" s="20">
        <f t="shared" si="67"/>
        <v>845.87762605664727</v>
      </c>
      <c r="CX97" s="59">
        <f t="shared" si="68"/>
        <v>1121.5181411338858</v>
      </c>
      <c r="CY97" s="59">
        <f ca="1">AVERAGE(OFFSET($CX$3,0,0,'Données projet'!$E$13+1,1))-AVERAGE(OFFSET($H$3,0,0,'Données projet'!$E$13+1,1))</f>
        <v>765.9523557587147</v>
      </c>
      <c r="CZ97" s="59">
        <f t="shared" si="96"/>
        <v>347.40395092312815</v>
      </c>
      <c r="DA97" s="15">
        <f>IF(ISNA(VLOOKUP(A97,'Données projet'!$A$139:$I$159,3,0)),0,VLOOKUP(A97,'Données projet'!$A$139:$I$159,3,0))</f>
        <v>7</v>
      </c>
      <c r="DB97" s="15">
        <f>IF(ISNA(VLOOKUP(A97,'Données projet'!$A$139:$I$159,4,0)),0,VLOOKUP(A97,'Données projet'!$A$139:$I$159,4,0))</f>
        <v>61.85</v>
      </c>
      <c r="DC97" s="16">
        <f>IF(ISNA(VLOOKUP(A97,'Données projet'!$A$139:$I$159,5,0)),0%,VLOOKUP(A97,'Données projet'!$A$139:$I$159,5,0)*VLOOKUP('Données projet'!$B$13,Paramètres!$A$1:$I$89,7,0))</f>
        <v>0.25800000000000001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64.63793496433594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64.63793496433594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1.7948717948717956</v>
      </c>
      <c r="DO97" s="12">
        <f>IF('Données projet'!$A$166&gt;35,DO96+DN97-DW96,IF(A97&lt;'Données projet'!$A$166,$DL$205^A97,IF(A97='Données projet'!$A$166,'Données projet'!$B$166,DO96+DN97-DW96)))</f>
        <v>149.4871794871795</v>
      </c>
      <c r="DP97" s="17">
        <f>DO97*VLOOKUP('Données projet'!$B$14,Paramètres!$A$1:$I$89,3,0)*VLOOKUP('Données projet'!$B$14,Paramètres!$A$1:$I$89,5,0)</f>
        <v>130.59200000000004</v>
      </c>
      <c r="DQ97" s="13">
        <f t="shared" si="97"/>
        <v>34.133116957101642</v>
      </c>
      <c r="DR97" s="20">
        <f t="shared" si="70"/>
        <v>286.89624536695209</v>
      </c>
      <c r="DS97" s="59">
        <f t="shared" si="71"/>
        <v>562.53676044419058</v>
      </c>
      <c r="DT97" s="59">
        <f ca="1">AVERAGE(OFFSET($DS$3,0,0,'Données projet'!$E$14+1,1))-AVERAGE(OFFSET($H$3,0,0,'Données projet'!$E$14+1,1))</f>
        <v>253.82888243490106</v>
      </c>
      <c r="DU97" s="59">
        <f t="shared" si="98"/>
        <v>224.11983819941796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17.581708340232787</v>
      </c>
      <c r="EB97" s="21">
        <f>EXP(-LN(2)/25)*EB96+(1-EXP(-LN(2)/25))/(LN(2)/25)*Calculateur!DW97*Calculateur!DY97*VLOOKUP('Données projet'!$B$14,Paramètres!$A$1:$I$89,3,0)*0.475*44/12</f>
        <v>8.3947092183931371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25.976417558625926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>
        <f>VLOOKUP(A98,'Données projet'!$A$35:$I$55,2,0)</f>
        <v>538.28</v>
      </c>
      <c r="L98" s="12">
        <f>VLOOKUP(A98,'Données projet'!$A$35:$I$55,9,0)</f>
        <v>13.159999999999997</v>
      </c>
      <c r="M98" s="12">
        <f t="array" ref="M98">INDEX(L:L,MIN(IF(ISNUMBER(L98:L294),ROW(L98:L294),"")))</f>
        <v>13.159999999999997</v>
      </c>
      <c r="N98" s="13">
        <f>IF('Données projet'!$A$36&gt;35,N97+M98-V97,IF(A98&lt;'Données projet'!$A$36,$K$205^A98,IF(A98='Données projet'!$A$36,'Données projet'!$B$36,N97+M98-V97)))</f>
        <v>538.27999999999952</v>
      </c>
      <c r="O98" s="13">
        <f>N98*VLOOKUP('Données projet'!$B$9,Paramètres!$A$1:$I$89,3,0)*VLOOKUP('Données projet'!$B$9,Paramètres!$A$1:$I$89,5,0)</f>
        <v>251.91503999999978</v>
      </c>
      <c r="P98" s="13">
        <f t="shared" si="87"/>
        <v>60.995835543729605</v>
      </c>
      <c r="Q98" s="20">
        <f t="shared" si="54"/>
        <v>544.98644157199533</v>
      </c>
      <c r="R98" s="59">
        <f t="shared" si="55"/>
        <v>820.93388749076121</v>
      </c>
      <c r="S98" s="59">
        <f ca="1">AVERAGE(OFFSET($R$3,0,0,'Données projet'!$E$9+1,1))-AVERAGE(OFFSET($H$3,0,0,'Données projet'!$E$9+1,1))</f>
        <v>387.50901594883317</v>
      </c>
      <c r="T98" s="59">
        <f t="shared" si="88"/>
        <v>361.3623790401972</v>
      </c>
      <c r="U98" s="15">
        <f>IF(ISNA(VLOOKUP(A98,'Données projet'!$A$35:$I$55,3,0)),0,VLOOKUP(A98,'Données projet'!$A$35:$I$55,3,0))</f>
        <v>8</v>
      </c>
      <c r="V98" s="15">
        <f>IF(ISNA(VLOOKUP(A98,'Données projet'!$A$35:$I$55,4,0)),0,VLOOKUP(A98,'Données projet'!$A$35:$I$55,4,0))</f>
        <v>268.81</v>
      </c>
      <c r="W98" s="16">
        <f>IF(ISNA(VLOOKUP(A98,'Données projet'!$A$35:$I$55,5,0)),0%,VLOOKUP(A98,'Données projet'!$A$35:$I$55,5,0)*VLOOKUP('Données projet'!$B$9,Paramètres!$A$1:$I$89,7,0))</f>
        <v>0.38500000000000001</v>
      </c>
      <c r="X98" s="16">
        <f>IF(ISNA(VLOOKUP(A98,'Données projet'!$A$35:$I$55,6,0)),0%,VLOOKUP(A98,'Données projet'!$A$35:$I$55,6,0)*VLOOKUP('Données projet'!$B$9,Paramètres!$A$1:$I$89,7,0))</f>
        <v>0.16500000000000001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147.71659930732619</v>
      </c>
      <c r="AA98" s="21">
        <f>EXP(-LN(2)/25)*AA97+(1-EXP(-LN(2)/25))/(LN(2)/25)*Calculateur!V98*Calculateur!X98*VLOOKUP('Données projet'!$B$9,Paramètres!$A$1:$I$89,3,0)*0.475*44/12</f>
        <v>63.158853060406258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210.87545236773246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373.47758082856359</v>
      </c>
      <c r="AO98" s="59">
        <f t="shared" si="90"/>
        <v>277.24895424120166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127.83069424312077</v>
      </c>
      <c r="AV98" s="21">
        <f>EXP(-LN(2)/25)*AV97+(1-EXP(-LN(2)/25))/(LN(2)/25)*Calculateur!AQ98*Calculateur!AS98*VLOOKUP('Données projet'!$B$10,Paramètres!$A$1:$I$89,3,0)*0.475*44/12</f>
        <v>53.269783742759273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181.10047798588005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8.0470000000000024</v>
      </c>
      <c r="BD98" s="12">
        <f>IF('Données projet'!$A$88&gt;35,BD97+BC98-BL97,IF(A98&lt;'Données projet'!$A$88,$BA$205^A98,IF(A98='Données projet'!$A$88,'Données projet'!$B$88,BD97+BC98-BL97)))</f>
        <v>292.98700000000025</v>
      </c>
      <c r="BE98" s="13">
        <f>BD98*VLOOKUP('Données projet'!$B$11,Paramètres!$A$1:$I$89,3,0)*VLOOKUP('Données projet'!$B$11,Paramètres!$A$1:$I$89,5,0)</f>
        <v>265.09463760000023</v>
      </c>
      <c r="BF98" s="13">
        <f t="shared" si="91"/>
        <v>63.807119294189917</v>
      </c>
      <c r="BG98" s="20">
        <f t="shared" si="61"/>
        <v>572.83722659071452</v>
      </c>
      <c r="BH98" s="59">
        <f t="shared" si="62"/>
        <v>848.78467250948052</v>
      </c>
      <c r="BI98" s="59">
        <f ca="1">AVERAGE(OFFSET($BH$3,0,0,'Données projet'!$E$11+1,1))-AVERAGE(OFFSET($H$3,0,0,'Données projet'!$E$11+1,1))</f>
        <v>627.65081154031589</v>
      </c>
      <c r="BJ98" s="59">
        <f t="shared" si="92"/>
        <v>288.78083487077618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50.349104385288996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50.349104385288996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8.0470000000000024</v>
      </c>
      <c r="BY98" s="12">
        <f>IF('Données projet'!$A$114&gt;35,BY97+BX98-CG97,IF(A98&lt;'Données projet'!$A$114,$BV$205^A98,IF(A98='Données projet'!$A$114,'Données projet'!$B$114,BY97+BX98-CG97)))</f>
        <v>292.98700000000025</v>
      </c>
      <c r="BZ98" s="13">
        <f>BY98*VLOOKUP('Données projet'!$B$12,Paramètres!$A$1:$I$89,3,0)*VLOOKUP('Données projet'!$B$12,Paramètres!$A$1:$I$89,5,0)</f>
        <v>297.08881800000029</v>
      </c>
      <c r="CA98" s="13">
        <f t="shared" si="93"/>
        <v>70.565821981438845</v>
      </c>
      <c r="CB98" s="20">
        <f t="shared" si="64"/>
        <v>640.33183130100645</v>
      </c>
      <c r="CC98" s="59">
        <f t="shared" si="65"/>
        <v>916.27927721977244</v>
      </c>
      <c r="CD98" s="59">
        <f ca="1">AVERAGE(OFFSET($CC$3,0,0,'Données projet'!$E$12+1,1))-AVERAGE(OFFSET($H$3,0,0,'Données projet'!$E$12+1,1))</f>
        <v>692.2706942067415</v>
      </c>
      <c r="CE98" s="59">
        <f t="shared" si="94"/>
        <v>316.17529091924803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56.425720431789408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56.425720431789408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8.0470000000000024</v>
      </c>
      <c r="CT98" s="12">
        <f>IF('Données projet'!$A$140&gt;35,CT97+CS98-DB97,IF(A98&lt;'Données projet'!$A$140,$CQ$205^A98,IF(A98='Données projet'!$A$140,'Données projet'!$B$140,CT97+CS98-DB97)))</f>
        <v>292.98700000000025</v>
      </c>
      <c r="CU98" s="17">
        <f>CT98*VLOOKUP('Données projet'!$B$13,Paramètres!$A$1:$I$89,3,0)*VLOOKUP('Données projet'!$B$13,Paramètres!$A$1:$I$89,5,0)</f>
        <v>333.6535956000003</v>
      </c>
      <c r="CV98" s="13">
        <f t="shared" si="95"/>
        <v>78.187304661387017</v>
      </c>
      <c r="CW98" s="20">
        <f t="shared" si="67"/>
        <v>717.28956795524971</v>
      </c>
      <c r="CX98" s="59">
        <f t="shared" si="68"/>
        <v>993.2370138740157</v>
      </c>
      <c r="CY98" s="59">
        <f ca="1">AVERAGE(OFFSET($CX$3,0,0,'Données projet'!$E$13+1,1))-AVERAGE(OFFSET($H$3,0,0,'Données projet'!$E$13+1,1))</f>
        <v>765.9523557587147</v>
      </c>
      <c r="CZ98" s="59">
        <f t="shared" si="96"/>
        <v>347.40395092312815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63.37042448493272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63.37042448493272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>
        <f>VLOOKUP(A98,'Données projet'!$A$165:$I$185,2,0)</f>
        <v>151.28205128205127</v>
      </c>
      <c r="DM98" s="12">
        <f>VLOOKUP(A98,'Données projet'!$A$165:$I$185,9,0)</f>
        <v>1.7948717948717956</v>
      </c>
      <c r="DN98" s="12">
        <f t="array" ref="DN98">INDEX(DM:DM,MIN(IF(ISNUMBER(DM98:DM294),ROW(DM98:DM294),"")))</f>
        <v>1.7948717948717956</v>
      </c>
      <c r="DO98" s="12">
        <f>IF('Données projet'!$A$166&gt;35,DO97+DN98-DW97,IF(A98&lt;'Données projet'!$A$166,$DL$205^A98,IF(A98='Données projet'!$A$166,'Données projet'!$B$166,DO97+DN98-DW97)))</f>
        <v>151.2820512820513</v>
      </c>
      <c r="DP98" s="17">
        <f>DO98*VLOOKUP('Données projet'!$B$14,Paramètres!$A$1:$I$89,3,0)*VLOOKUP('Données projet'!$B$14,Paramètres!$A$1:$I$89,5,0)</f>
        <v>132.16000000000003</v>
      </c>
      <c r="DQ98" s="13">
        <f t="shared" si="97"/>
        <v>34.494992221966797</v>
      </c>
      <c r="DR98" s="20">
        <f t="shared" si="70"/>
        <v>290.25744478659226</v>
      </c>
      <c r="DS98" s="59">
        <f t="shared" si="71"/>
        <v>566.20489070535814</v>
      </c>
      <c r="DT98" s="59">
        <f ca="1">AVERAGE(OFFSET($DS$3,0,0,'Données projet'!$E$14+1,1))-AVERAGE(OFFSET($H$3,0,0,'Données projet'!$E$14+1,1))</f>
        <v>253.82888243490106</v>
      </c>
      <c r="DU98" s="59">
        <f t="shared" si="98"/>
        <v>224.11983819941796</v>
      </c>
      <c r="DV98" s="15">
        <f>IF(ISNA(VLOOKUP(A98,'Données projet'!$A$165:$I$185,3,0)),0,VLOOKUP(A98,'Données projet'!$A$165:$I$185,3,0))</f>
        <v>18</v>
      </c>
      <c r="DW98" s="15">
        <f>IF(ISNA(VLOOKUP(A98,'Données projet'!$A$165:$I$185,4,0)),0,VLOOKUP(A98,'Données projet'!$A$165:$I$185,4,0))</f>
        <v>7.0512820512820511</v>
      </c>
      <c r="DX98" s="16">
        <f>IF(ISNA(VLOOKUP(A98,'Données projet'!$A$165:$I$185,5,0)),0%,VLOOKUP(A98,'Données projet'!$A$165:$I$185,5,0)*VLOOKUP('Données projet'!$B$14,Paramètres!$A$1:$I$89,7,0))</f>
        <v>0.25800000000000001</v>
      </c>
      <c r="DY98" s="16">
        <f>IF(ISNA(VLOOKUP(A98,'Données projet'!$A$165:$I$185,6,0)),0%,VLOOKUP(A98,'Données projet'!$A$165:$I$185,6,0)*VLOOKUP('Données projet'!$B$14,Paramètres!$A$1:$I$89,7,0))</f>
        <v>0.129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18.993843728248152</v>
      </c>
      <c r="EB98" s="21">
        <f>EXP(-LN(2)/25)*EB97+(1-EXP(-LN(2)/25))/(LN(2)/25)*Calculateur!DW98*Calculateur!DY98*VLOOKUP('Données projet'!$B$14,Paramètres!$A$1:$I$89,3,0)*0.475*44/12</f>
        <v>9.0401476395159257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28.033991367764077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8.7210000000000036</v>
      </c>
      <c r="N99" s="13">
        <f>IF('Données projet'!$A$36&gt;35,N98+M99-V98,IF(A99&lt;'Données projet'!$A$36,$K$205^A99,IF(A99='Données projet'!$A$36,'Données projet'!$B$36,N98+M99-V98)))</f>
        <v>278.19099999999952</v>
      </c>
      <c r="O99" s="13">
        <f>N99*VLOOKUP('Données projet'!$B$9,Paramètres!$A$1:$I$89,3,0)*VLOOKUP('Données projet'!$B$9,Paramètres!$A$1:$I$89,5,0)</f>
        <v>130.19338799999977</v>
      </c>
      <c r="P99" s="13">
        <f t="shared" si="87"/>
        <v>34.041041754414536</v>
      </c>
      <c r="Q99" s="20">
        <f t="shared" ref="Q99:Q130" si="107">(O99+P99)*0.475*44/12</f>
        <v>286.04163182227154</v>
      </c>
      <c r="R99" s="59">
        <f t="shared" si="55"/>
        <v>562.29068401865902</v>
      </c>
      <c r="S99" s="59">
        <f ca="1">AVERAGE(OFFSET($R$3,0,0,'Données projet'!$E$9+1,1))-AVERAGE(OFFSET($H$3,0,0,'Données projet'!$E$9+1,1))</f>
        <v>387.50901594883317</v>
      </c>
      <c r="T99" s="59">
        <f t="shared" si="88"/>
        <v>361.3623790401972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144.81996689313866</v>
      </c>
      <c r="AA99" s="21">
        <f>EXP(-LN(2)/25)*AA98+(1-EXP(-LN(2)/25))/(LN(2)/25)*Calculateur!V99*Calculateur!X99*VLOOKUP('Données projet'!$B$9,Paramètres!$A$1:$I$89,3,0)*0.475*44/12</f>
        <v>61.431770902089717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206.25173779522837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373.47758082856359</v>
      </c>
      <c r="AO99" s="59">
        <f t="shared" si="90"/>
        <v>277.24895424120166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125.32401229803786</v>
      </c>
      <c r="AV99" s="21">
        <f>EXP(-LN(2)/25)*AV98+(1-EXP(-LN(2)/25))/(LN(2)/25)*Calculateur!AQ99*Calculateur!AS99*VLOOKUP('Données projet'!$B$10,Paramètres!$A$1:$I$89,3,0)*0.475*44/12</f>
        <v>51.813118704977342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177.13713100301521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8.0470000000000024</v>
      </c>
      <c r="BD99" s="12">
        <f>IF('Données projet'!$A$88&gt;35,BD98+BC99-BL98,IF(A99&lt;'Données projet'!$A$88,$BA$205^A99,IF(A99='Données projet'!$A$88,'Données projet'!$B$88,BD98+BC99-BL98)))</f>
        <v>301.03400000000028</v>
      </c>
      <c r="BE99" s="13">
        <f>BD99*VLOOKUP('Données projet'!$B$11,Paramètres!$A$1:$I$89,3,0)*VLOOKUP('Données projet'!$B$11,Paramètres!$A$1:$I$89,5,0)</f>
        <v>272.37556320000027</v>
      </c>
      <c r="BF99" s="13">
        <f t="shared" si="91"/>
        <v>65.35316643513535</v>
      </c>
      <c r="BG99" s="20">
        <f t="shared" si="61"/>
        <v>588.21087078119456</v>
      </c>
      <c r="BH99" s="59">
        <f t="shared" si="62"/>
        <v>864.45992297758198</v>
      </c>
      <c r="BI99" s="59">
        <f ca="1">AVERAGE(OFFSET($BH$3,0,0,'Données projet'!$E$11+1,1))-AVERAGE(OFFSET($H$3,0,0,'Données projet'!$E$11+1,1))</f>
        <v>627.65081154031589</v>
      </c>
      <c r="BJ99" s="59">
        <f t="shared" si="92"/>
        <v>288.78083487077618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49.361789158214798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49.361789158214798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8.0470000000000024</v>
      </c>
      <c r="BY99" s="12">
        <f>IF('Données projet'!$A$114&gt;35,BY98+BX99-CG98,IF(A99&lt;'Données projet'!$A$114,$BV$205^A99,IF(A99='Données projet'!$A$114,'Données projet'!$B$114,BY98+BX99-CG98)))</f>
        <v>301.03400000000028</v>
      </c>
      <c r="BZ99" s="13">
        <f>BY99*VLOOKUP('Données projet'!$B$12,Paramètres!$A$1:$I$89,3,0)*VLOOKUP('Données projet'!$B$12,Paramètres!$A$1:$I$89,5,0)</f>
        <v>305.24847600000032</v>
      </c>
      <c r="CA99" s="13">
        <f t="shared" si="93"/>
        <v>72.275632556335026</v>
      </c>
      <c r="CB99" s="20">
        <f t="shared" si="64"/>
        <v>657.52115573561741</v>
      </c>
      <c r="CC99" s="59">
        <f t="shared" si="65"/>
        <v>933.77020793200484</v>
      </c>
      <c r="CD99" s="59">
        <f ca="1">AVERAGE(OFFSET($CC$3,0,0,'Données projet'!$E$12+1,1))-AVERAGE(OFFSET($H$3,0,0,'Données projet'!$E$12+1,1))</f>
        <v>692.2706942067415</v>
      </c>
      <c r="CE99" s="59">
        <f t="shared" si="94"/>
        <v>316.17529091924803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55.319246470413155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55.319246470413155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8.0470000000000024</v>
      </c>
      <c r="CT99" s="12">
        <f>IF('Données projet'!$A$140&gt;35,CT98+CS99-DB98,IF(A99&lt;'Données projet'!$A$140,$CQ$205^A99,IF(A99='Données projet'!$A$140,'Données projet'!$B$140,CT98+CS99-DB98)))</f>
        <v>301.03400000000028</v>
      </c>
      <c r="CU99" s="17">
        <f>CT99*VLOOKUP('Données projet'!$B$13,Paramètres!$A$1:$I$89,3,0)*VLOOKUP('Données projet'!$B$13,Paramètres!$A$1:$I$89,5,0)</f>
        <v>342.81751920000033</v>
      </c>
      <c r="CV99" s="13">
        <f t="shared" si="95"/>
        <v>80.081783838116976</v>
      </c>
      <c r="CW99" s="20">
        <f t="shared" si="67"/>
        <v>736.54961945805428</v>
      </c>
      <c r="CX99" s="59">
        <f t="shared" si="68"/>
        <v>1012.7986716544417</v>
      </c>
      <c r="CY99" s="59">
        <f ca="1">AVERAGE(OFFSET($CX$3,0,0,'Données projet'!$E$13+1,1))-AVERAGE(OFFSET($H$3,0,0,'Données projet'!$E$13+1,1))</f>
        <v>765.9523557587147</v>
      </c>
      <c r="CZ99" s="59">
        <f t="shared" si="96"/>
        <v>347.40395092312815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62.127769112925542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62.127769112925542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1.9230769230769227</v>
      </c>
      <c r="DO99" s="12">
        <f>IF('Données projet'!$A$166&gt;35,DO98+DN99-DW98,IF(A99&lt;'Données projet'!$A$166,$DL$205^A99,IF(A99='Données projet'!$A$166,'Données projet'!$B$166,DO98+DN99-DW98)))</f>
        <v>146.15384615384619</v>
      </c>
      <c r="DP99" s="17">
        <f>DO99*VLOOKUP('Données projet'!$B$14,Paramètres!$A$1:$I$89,3,0)*VLOOKUP('Données projet'!$B$14,Paramètres!$A$1:$I$89,5,0)</f>
        <v>127.68000000000004</v>
      </c>
      <c r="DQ99" s="13">
        <f t="shared" si="97"/>
        <v>33.459714914652182</v>
      </c>
      <c r="DR99" s="20">
        <f t="shared" si="70"/>
        <v>280.65167014301926</v>
      </c>
      <c r="DS99" s="59">
        <f t="shared" si="71"/>
        <v>556.90072233940668</v>
      </c>
      <c r="DT99" s="59">
        <f ca="1">AVERAGE(OFFSET($DS$3,0,0,'Données projet'!$E$14+1,1))-AVERAGE(OFFSET($H$3,0,0,'Données projet'!$E$14+1,1))</f>
        <v>253.82888243490106</v>
      </c>
      <c r="DU99" s="59">
        <f t="shared" si="98"/>
        <v>224.11983819941796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18.621386037837947</v>
      </c>
      <c r="EB99" s="21">
        <f>EXP(-LN(2)/25)*EB98+(1-EXP(-LN(2)/25))/(LN(2)/25)*Calculateur!DW99*Calculateur!DY99*VLOOKUP('Données projet'!$B$14,Paramètres!$A$1:$I$89,3,0)*0.475*44/12</f>
        <v>8.792944326912659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27.414330364750604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8.7210000000000036</v>
      </c>
      <c r="N100" s="13">
        <f>IF('Données projet'!$A$36&gt;35,N99+M100-V99,IF(A100&lt;'Données projet'!$A$36,$K$205^A100,IF(A100='Données projet'!$A$36,'Données projet'!$B$36,N99+M100-V99)))</f>
        <v>286.91199999999952</v>
      </c>
      <c r="O100" s="13">
        <f>N100*VLOOKUP('Données projet'!$B$9,Paramètres!$A$1:$I$89,3,0)*VLOOKUP('Données projet'!$B$9,Paramètres!$A$1:$I$89,5,0)</f>
        <v>134.27481599999979</v>
      </c>
      <c r="P100" s="13">
        <f t="shared" si="87"/>
        <v>34.982276112724144</v>
      </c>
      <c r="Q100" s="20">
        <f t="shared" si="107"/>
        <v>294.78943542966084</v>
      </c>
      <c r="R100" s="59">
        <f t="shared" si="55"/>
        <v>571.33486170904371</v>
      </c>
      <c r="S100" s="59">
        <f ca="1">AVERAGE(OFFSET($R$3,0,0,'Données projet'!$E$9+1,1))-AVERAGE(OFFSET($H$3,0,0,'Données projet'!$E$9+1,1))</f>
        <v>387.50901594883317</v>
      </c>
      <c r="T100" s="59">
        <f t="shared" si="88"/>
        <v>361.3623790401972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141.98013567382199</v>
      </c>
      <c r="AA100" s="21">
        <f>EXP(-LN(2)/25)*AA99+(1-EXP(-LN(2)/25))/(LN(2)/25)*Calculateur!V100*Calculateur!X100*VLOOKUP('Données projet'!$B$9,Paramètres!$A$1:$I$89,3,0)*0.475*44/12</f>
        <v>59.75191589621565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201.73205157003764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373.47758082856359</v>
      </c>
      <c r="AO100" s="59">
        <f t="shared" si="90"/>
        <v>277.24895424120166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122.866484856973</v>
      </c>
      <c r="AV100" s="21">
        <f>EXP(-LN(2)/25)*AV99+(1-EXP(-LN(2)/25))/(LN(2)/25)*Calculateur!AQ100*Calculateur!AS100*VLOOKUP('Données projet'!$B$10,Paramètres!$A$1:$I$89,3,0)*0.475*44/12</f>
        <v>50.396286249256242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173.26277110622925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8.0470000000000024</v>
      </c>
      <c r="BD100" s="12">
        <f>IF('Données projet'!$A$88&gt;35,BD99+BC100-BL99,IF(A100&lt;'Données projet'!$A$88,$BA$205^A100,IF(A100='Données projet'!$A$88,'Données projet'!$B$88,BD99+BC100-BL99)))</f>
        <v>309.0810000000003</v>
      </c>
      <c r="BE100" s="13">
        <f>BD100*VLOOKUP('Données projet'!$B$11,Paramètres!$A$1:$I$89,3,0)*VLOOKUP('Données projet'!$B$11,Paramètres!$A$1:$I$89,5,0)</f>
        <v>279.65648880000026</v>
      </c>
      <c r="BF100" s="13">
        <f t="shared" si="91"/>
        <v>66.894409904113928</v>
      </c>
      <c r="BG100" s="20">
        <f t="shared" si="61"/>
        <v>603.57614857633223</v>
      </c>
      <c r="BH100" s="59">
        <f t="shared" si="62"/>
        <v>880.12157485571504</v>
      </c>
      <c r="BI100" s="59">
        <f ca="1">AVERAGE(OFFSET($BH$3,0,0,'Données projet'!$E$11+1,1))-AVERAGE(OFFSET($H$3,0,0,'Données projet'!$E$11+1,1))</f>
        <v>627.65081154031589</v>
      </c>
      <c r="BJ100" s="59">
        <f t="shared" si="92"/>
        <v>288.78083487077618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48.393834580540698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48.393834580540698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8.0470000000000024</v>
      </c>
      <c r="BY100" s="12">
        <f>IF('Données projet'!$A$114&gt;35,BY99+BX100-CG99,IF(A100&lt;'Données projet'!$A$114,$BV$205^A100,IF(A100='Données projet'!$A$114,'Données projet'!$B$114,BY99+BX100-CG99)))</f>
        <v>309.0810000000003</v>
      </c>
      <c r="BZ100" s="13">
        <f>BY100*VLOOKUP('Données projet'!$B$12,Paramètres!$A$1:$I$89,3,0)*VLOOKUP('Données projet'!$B$12,Paramètres!$A$1:$I$89,5,0)</f>
        <v>313.4081340000003</v>
      </c>
      <c r="CA100" s="13">
        <f t="shared" si="93"/>
        <v>73.980130635311994</v>
      </c>
      <c r="CB100" s="20">
        <f t="shared" si="64"/>
        <v>674.70122757316892</v>
      </c>
      <c r="CC100" s="59">
        <f t="shared" si="65"/>
        <v>951.24665385255173</v>
      </c>
      <c r="CD100" s="59">
        <f ca="1">AVERAGE(OFFSET($CC$3,0,0,'Données projet'!$E$12+1,1))-AVERAGE(OFFSET($H$3,0,0,'Données projet'!$E$12+1,1))</f>
        <v>692.2706942067415</v>
      </c>
      <c r="CE100" s="59">
        <f t="shared" si="94"/>
        <v>316.17529091924803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54.234469788537012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54.234469788537012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8.0470000000000024</v>
      </c>
      <c r="CT100" s="12">
        <f>IF('Données projet'!$A$140&gt;35,CT99+CS100-DB99,IF(A100&lt;'Données projet'!$A$140,$CQ$205^A100,IF(A100='Données projet'!$A$140,'Données projet'!$B$140,CT99+CS100-DB99)))</f>
        <v>309.0810000000003</v>
      </c>
      <c r="CU100" s="17">
        <f>CT100*VLOOKUP('Données projet'!$B$13,Paramètres!$A$1:$I$89,3,0)*VLOOKUP('Données projet'!$B$13,Paramètres!$A$1:$I$89,5,0)</f>
        <v>351.98144280000031</v>
      </c>
      <c r="CV100" s="13">
        <f t="shared" si="95"/>
        <v>81.970376741219212</v>
      </c>
      <c r="CW100" s="20">
        <f t="shared" si="67"/>
        <v>755.79941903429062</v>
      </c>
      <c r="CX100" s="59">
        <f t="shared" si="68"/>
        <v>1032.3448453136734</v>
      </c>
      <c r="CY100" s="59">
        <f ca="1">AVERAGE(OFFSET($CX$3,0,0,'Données projet'!$E$13+1,1))-AVERAGE(OFFSET($H$3,0,0,'Données projet'!$E$13+1,1))</f>
        <v>765.9523557587147</v>
      </c>
      <c r="CZ100" s="59">
        <f t="shared" si="96"/>
        <v>347.40395092312815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60.90948145481849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60.90948145481849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1.9230769230769227</v>
      </c>
      <c r="DO100" s="12">
        <f>IF('Données projet'!$A$166&gt;35,DO99+DN100-DW99,IF(A100&lt;'Données projet'!$A$166,$DL$205^A100,IF(A100='Données projet'!$A$166,'Données projet'!$B$166,DO99+DN100-DW99)))</f>
        <v>148.07692307692312</v>
      </c>
      <c r="DP100" s="17">
        <f>DO100*VLOOKUP('Données projet'!$B$14,Paramètres!$A$1:$I$89,3,0)*VLOOKUP('Données projet'!$B$14,Paramètres!$A$1:$I$89,5,0)</f>
        <v>129.36000000000007</v>
      </c>
      <c r="DQ100" s="13">
        <f t="shared" si="97"/>
        <v>33.848431672856037</v>
      </c>
      <c r="DR100" s="20">
        <f t="shared" si="70"/>
        <v>284.25468516355772</v>
      </c>
      <c r="DS100" s="59">
        <f t="shared" si="71"/>
        <v>560.80011144294053</v>
      </c>
      <c r="DT100" s="59">
        <f ca="1">AVERAGE(OFFSET($DS$3,0,0,'Données projet'!$E$14+1,1))-AVERAGE(OFFSET($H$3,0,0,'Données projet'!$E$14+1,1))</f>
        <v>253.82888243490106</v>
      </c>
      <c r="DU100" s="59">
        <f t="shared" si="98"/>
        <v>224.11983819941796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18.256232015559927</v>
      </c>
      <c r="EB100" s="21">
        <f>EXP(-LN(2)/25)*EB99+(1-EXP(-LN(2)/25))/(LN(2)/25)*Calculateur!DW100*Calculateur!DY100*VLOOKUP('Données projet'!$B$14,Paramètres!$A$1:$I$89,3,0)*0.475*44/12</f>
        <v>8.5525008018923874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26.808732817452317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8.7210000000000036</v>
      </c>
      <c r="N101" s="13">
        <f>IF('Données projet'!$A$36&gt;35,N100+M101-V100,IF(A101&lt;'Données projet'!$A$36,$K$205^A101,IF(A101='Données projet'!$A$36,'Données projet'!$B$36,N100+M101-V100)))</f>
        <v>295.63299999999953</v>
      </c>
      <c r="O101" s="13">
        <f>N101*VLOOKUP('Données projet'!$B$9,Paramètres!$A$1:$I$89,3,0)*VLOOKUP('Données projet'!$B$9,Paramètres!$A$1:$I$89,5,0)</f>
        <v>138.35624399999978</v>
      </c>
      <c r="P101" s="13">
        <f t="shared" si="87"/>
        <v>35.920185629681562</v>
      </c>
      <c r="Q101" s="20">
        <f t="shared" si="107"/>
        <v>303.53144827169496</v>
      </c>
      <c r="R101" s="59">
        <f t="shared" si="55"/>
        <v>580.36810720632639</v>
      </c>
      <c r="S101" s="59">
        <f ca="1">AVERAGE(OFFSET($R$3,0,0,'Données projet'!$E$9+1,1))-AVERAGE(OFFSET($H$3,0,0,'Données projet'!$E$9+1,1))</f>
        <v>387.50901594883317</v>
      </c>
      <c r="T101" s="59">
        <f t="shared" si="88"/>
        <v>361.3623790401972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139.19599181259014</v>
      </c>
      <c r="AA101" s="21">
        <f>EXP(-LN(2)/25)*AA100+(1-EXP(-LN(2)/25))/(LN(2)/25)*Calculateur!V101*Calculateur!X101*VLOOKUP('Données projet'!$B$9,Paramètres!$A$1:$I$89,3,0)*0.475*44/12</f>
        <v>58.117996613816942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197.31398842640709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373.47758082856359</v>
      </c>
      <c r="AO101" s="59">
        <f t="shared" si="90"/>
        <v>277.24895424120166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120.4571480300837</v>
      </c>
      <c r="AV101" s="21">
        <f>EXP(-LN(2)/25)*AV100+(1-EXP(-LN(2)/25))/(LN(2)/25)*Calculateur!AQ101*Calculateur!AS101*VLOOKUP('Données projet'!$B$10,Paramètres!$A$1:$I$89,3,0)*0.475*44/12</f>
        <v>49.018197151544818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169.47534518162851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8.0470000000000024</v>
      </c>
      <c r="BD101" s="12">
        <f>IF('Données projet'!$A$88&gt;35,BD100+BC101-BL100,IF(A101&lt;'Données projet'!$A$88,$BA$205^A101,IF(A101='Données projet'!$A$88,'Données projet'!$B$88,BD100+BC101-BL100)))</f>
        <v>317.12800000000033</v>
      </c>
      <c r="BE101" s="13">
        <f>BD101*VLOOKUP('Données projet'!$B$11,Paramètres!$A$1:$I$89,3,0)*VLOOKUP('Données projet'!$B$11,Paramètres!$A$1:$I$89,5,0)</f>
        <v>286.93741440000031</v>
      </c>
      <c r="BF101" s="13">
        <f t="shared" si="91"/>
        <v>68.430989143985158</v>
      </c>
      <c r="BG101" s="20">
        <f t="shared" si="61"/>
        <v>618.93330283910791</v>
      </c>
      <c r="BH101" s="59">
        <f t="shared" si="62"/>
        <v>895.76996177373928</v>
      </c>
      <c r="BI101" s="59">
        <f ca="1">AVERAGE(OFFSET($BH$3,0,0,'Données projet'!$E$11+1,1))-AVERAGE(OFFSET($H$3,0,0,'Données projet'!$E$11+1,1))</f>
        <v>627.65081154031589</v>
      </c>
      <c r="BJ101" s="59">
        <f t="shared" si="92"/>
        <v>288.78083487077618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47.444861001740797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47.444861001740797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8.0470000000000024</v>
      </c>
      <c r="BY101" s="12">
        <f>IF('Données projet'!$A$114&gt;35,BY100+BX101-CG100,IF(A101&lt;'Données projet'!$A$114,$BV$205^A101,IF(A101='Données projet'!$A$114,'Données projet'!$B$114,BY100+BX101-CG100)))</f>
        <v>317.12800000000033</v>
      </c>
      <c r="BZ101" s="13">
        <f>BY101*VLOOKUP('Données projet'!$B$12,Paramètres!$A$1:$I$89,3,0)*VLOOKUP('Données projet'!$B$12,Paramètres!$A$1:$I$89,5,0)</f>
        <v>321.56779200000034</v>
      </c>
      <c r="CA101" s="13">
        <f t="shared" si="93"/>
        <v>75.679470431568902</v>
      </c>
      <c r="CB101" s="20">
        <f t="shared" si="64"/>
        <v>691.87231540164976</v>
      </c>
      <c r="CC101" s="59">
        <f t="shared" si="65"/>
        <v>968.70897433628113</v>
      </c>
      <c r="CD101" s="59">
        <f ca="1">AVERAGE(OFFSET($CC$3,0,0,'Données projet'!$E$12+1,1))-AVERAGE(OFFSET($H$3,0,0,'Données projet'!$E$12+1,1))</f>
        <v>692.2706942067415</v>
      </c>
      <c r="CE101" s="59">
        <f t="shared" si="94"/>
        <v>316.17529091924803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53.170964915744015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53.170964915744015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8.0470000000000024</v>
      </c>
      <c r="CT101" s="12">
        <f>IF('Données projet'!$A$140&gt;35,CT100+CS101-DB100,IF(A101&lt;'Données projet'!$A$140,$CQ$205^A101,IF(A101='Données projet'!$A$140,'Données projet'!$B$140,CT100+CS101-DB100)))</f>
        <v>317.12800000000033</v>
      </c>
      <c r="CU101" s="17">
        <f>CT101*VLOOKUP('Données projet'!$B$13,Paramètres!$A$1:$I$89,3,0)*VLOOKUP('Données projet'!$B$13,Paramètres!$A$1:$I$89,5,0)</f>
        <v>361.1453664000004</v>
      </c>
      <c r="CV101" s="13">
        <f t="shared" si="95"/>
        <v>83.853254239735506</v>
      </c>
      <c r="CW101" s="20">
        <f t="shared" si="67"/>
        <v>775.03926428087334</v>
      </c>
      <c r="CX101" s="59">
        <f t="shared" si="68"/>
        <v>1051.8759232155048</v>
      </c>
      <c r="CY101" s="59">
        <f ca="1">AVERAGE(OFFSET($CX$3,0,0,'Données projet'!$E$13+1,1))-AVERAGE(OFFSET($H$3,0,0,'Données projet'!$E$13+1,1))</f>
        <v>765.9523557587147</v>
      </c>
      <c r="CZ101" s="59">
        <f t="shared" si="96"/>
        <v>347.40395092312815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59.71508367460482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59.71508367460482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1.9230769230769227</v>
      </c>
      <c r="DO101" s="12">
        <f>IF('Données projet'!$A$166&gt;35,DO100+DN101-DW100,IF(A101&lt;'Données projet'!$A$166,$DL$205^A101,IF(A101='Données projet'!$A$166,'Données projet'!$B$166,DO100+DN101-DW100)))</f>
        <v>150.00000000000006</v>
      </c>
      <c r="DP101" s="17">
        <f>DO101*VLOOKUP('Données projet'!$B$14,Paramètres!$A$1:$I$89,3,0)*VLOOKUP('Données projet'!$B$14,Paramètres!$A$1:$I$89,5,0)</f>
        <v>131.04000000000008</v>
      </c>
      <c r="DQ101" s="13">
        <f t="shared" si="97"/>
        <v>34.236561238949918</v>
      </c>
      <c r="DR101" s="20">
        <f t="shared" si="70"/>
        <v>287.85667749117118</v>
      </c>
      <c r="DS101" s="59">
        <f t="shared" si="71"/>
        <v>564.6933364258025</v>
      </c>
      <c r="DT101" s="59">
        <f ca="1">AVERAGE(OFFSET($DS$3,0,0,'Données projet'!$E$14+1,1))-AVERAGE(OFFSET($H$3,0,0,'Données projet'!$E$14+1,1))</f>
        <v>253.82888243490106</v>
      </c>
      <c r="DU101" s="59">
        <f t="shared" si="98"/>
        <v>224.11983819941796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17.898238440936815</v>
      </c>
      <c r="EB101" s="21">
        <f>EXP(-LN(2)/25)*EB100+(1-EXP(-LN(2)/25))/(LN(2)/25)*Calculateur!DW101*Calculateur!DY101*VLOOKUP('Données projet'!$B$14,Paramètres!$A$1:$I$89,3,0)*0.475*44/12</f>
        <v>8.3186322177081706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26.216870658644986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8.7210000000000036</v>
      </c>
      <c r="N102" s="13">
        <f>IF('Données projet'!$A$36&gt;35,N101+M102-V101,IF(A102&lt;'Données projet'!$A$36,$K$205^A102,IF(A102='Données projet'!$A$36,'Données projet'!$B$36,N101+M102-V101)))</f>
        <v>304.35399999999953</v>
      </c>
      <c r="O102" s="13">
        <f>N102*VLOOKUP('Données projet'!$B$9,Paramètres!$A$1:$I$89,3,0)*VLOOKUP('Données projet'!$B$9,Paramètres!$A$1:$I$89,5,0)</f>
        <v>142.43767199999976</v>
      </c>
      <c r="P102" s="13">
        <f t="shared" si="87"/>
        <v>36.854879647142347</v>
      </c>
      <c r="Q102" s="20">
        <f t="shared" si="107"/>
        <v>312.26786078543915</v>
      </c>
      <c r="R102" s="59">
        <f t="shared" si="55"/>
        <v>589.39070013984929</v>
      </c>
      <c r="S102" s="59">
        <f ca="1">AVERAGE(OFFSET($R$3,0,0,'Données projet'!$E$9+1,1))-AVERAGE(OFFSET($H$3,0,0,'Données projet'!$E$9+1,1))</f>
        <v>387.50901594883317</v>
      </c>
      <c r="T102" s="59">
        <f t="shared" si="88"/>
        <v>361.3623790401972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136.46644331431696</v>
      </c>
      <c r="AA102" s="21">
        <f>EXP(-LN(2)/25)*AA101+(1-EXP(-LN(2)/25))/(LN(2)/25)*Calculateur!V102*Calculateur!X102*VLOOKUP('Données projet'!$B$9,Paramètres!$A$1:$I$89,3,0)*0.475*44/12</f>
        <v>56.528756940119507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192.99520025443647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373.47758082856359</v>
      </c>
      <c r="AO102" s="59">
        <f t="shared" si="90"/>
        <v>277.24895424120166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118.09505682881934</v>
      </c>
      <c r="AV102" s="21">
        <f>EXP(-LN(2)/25)*AV101+(1-EXP(-LN(2)/25))/(LN(2)/25)*Calculateur!AQ102*Calculateur!AS102*VLOOKUP('Données projet'!$B$10,Paramètres!$A$1:$I$89,3,0)*0.475*44/12</f>
        <v>47.677791972680872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165.7728488015002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8.0470000000000024</v>
      </c>
      <c r="BD102" s="12">
        <f>IF('Données projet'!$A$88&gt;35,BD101+BC102-BL101,IF(A102&lt;'Données projet'!$A$88,$BA$205^A102,IF(A102='Données projet'!$A$88,'Données projet'!$B$88,BD101+BC102-BL101)))</f>
        <v>325.17500000000035</v>
      </c>
      <c r="BE102" s="13">
        <f>BD102*VLOOKUP('Données projet'!$B$11,Paramètres!$A$1:$I$89,3,0)*VLOOKUP('Données projet'!$B$11,Paramètres!$A$1:$I$89,5,0)</f>
        <v>294.2183400000003</v>
      </c>
      <c r="BF102" s="13">
        <f t="shared" si="91"/>
        <v>69.963036117759913</v>
      </c>
      <c r="BG102" s="20">
        <f t="shared" si="61"/>
        <v>634.28256340509904</v>
      </c>
      <c r="BH102" s="59">
        <f t="shared" si="62"/>
        <v>911.40540275950912</v>
      </c>
      <c r="BI102" s="59">
        <f ca="1">AVERAGE(OFFSET($BH$3,0,0,'Données projet'!$E$11+1,1))-AVERAGE(OFFSET($H$3,0,0,'Données projet'!$E$11+1,1))</f>
        <v>627.65081154031589</v>
      </c>
      <c r="BJ102" s="59">
        <f t="shared" si="92"/>
        <v>288.78083487077618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46.514496216004432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46.514496216004432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8.0470000000000024</v>
      </c>
      <c r="BY102" s="12">
        <f>IF('Données projet'!$A$114&gt;35,BY101+BX102-CG101,IF(A102&lt;'Données projet'!$A$114,$BV$205^A102,IF(A102='Données projet'!$A$114,'Données projet'!$B$114,BY101+BX102-CG101)))</f>
        <v>325.17500000000035</v>
      </c>
      <c r="BZ102" s="13">
        <f>BY102*VLOOKUP('Données projet'!$B$12,Paramètres!$A$1:$I$89,3,0)*VLOOKUP('Données projet'!$B$12,Paramètres!$A$1:$I$89,5,0)</f>
        <v>329.72745000000037</v>
      </c>
      <c r="CA102" s="13">
        <f t="shared" si="93"/>
        <v>77.373797886161128</v>
      </c>
      <c r="CB102" s="20">
        <f t="shared" si="64"/>
        <v>709.0346734017312</v>
      </c>
      <c r="CC102" s="59">
        <f t="shared" si="65"/>
        <v>986.15751275614139</v>
      </c>
      <c r="CD102" s="59">
        <f ca="1">AVERAGE(OFFSET($CC$3,0,0,'Données projet'!$E$12+1,1))-AVERAGE(OFFSET($H$3,0,0,'Données projet'!$E$12+1,1))</f>
        <v>692.2706942067415</v>
      </c>
      <c r="CE102" s="59">
        <f t="shared" si="94"/>
        <v>316.17529091924803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52.12831472483257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52.12831472483257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8.0470000000000024</v>
      </c>
      <c r="CT102" s="12">
        <f>IF('Données projet'!$A$140&gt;35,CT101+CS102-DB101,IF(A102&lt;'Données projet'!$A$140,$CQ$205^A102,IF(A102='Données projet'!$A$140,'Données projet'!$B$140,CT101+CS102-DB101)))</f>
        <v>325.17500000000035</v>
      </c>
      <c r="CU102" s="17">
        <f>CT102*VLOOKUP('Données projet'!$B$13,Paramètres!$A$1:$I$89,3,0)*VLOOKUP('Données projet'!$B$13,Paramètres!$A$1:$I$89,5,0)</f>
        <v>370.30929000000037</v>
      </c>
      <c r="CV102" s="13">
        <f t="shared" si="95"/>
        <v>85.730578037128538</v>
      </c>
      <c r="CW102" s="20">
        <f t="shared" si="67"/>
        <v>794.26943683133288</v>
      </c>
      <c r="CX102" s="59">
        <f t="shared" si="68"/>
        <v>1071.392276185743</v>
      </c>
      <c r="CY102" s="59">
        <f ca="1">AVERAGE(OFFSET($CX$3,0,0,'Données projet'!$E$13+1,1))-AVERAGE(OFFSET($H$3,0,0,'Données projet'!$E$13+1,1))</f>
        <v>765.9523557587147</v>
      </c>
      <c r="CZ102" s="59">
        <f t="shared" si="96"/>
        <v>347.40395092312815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58.544107306350426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58.544107306350426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1.9230769230769227</v>
      </c>
      <c r="DO102" s="12">
        <f>IF('Données projet'!$A$166&gt;35,DO101+DN102-DW101,IF(A102&lt;'Données projet'!$A$166,$DL$205^A102,IF(A102='Données projet'!$A$166,'Données projet'!$B$166,DO101+DN102-DW101)))</f>
        <v>151.92307692307699</v>
      </c>
      <c r="DP102" s="17">
        <f>DO102*VLOOKUP('Données projet'!$B$14,Paramètres!$A$1:$I$89,3,0)*VLOOKUP('Données projet'!$B$14,Paramètres!$A$1:$I$89,5,0)</f>
        <v>132.72000000000008</v>
      </c>
      <c r="DQ102" s="13">
        <f t="shared" si="97"/>
        <v>34.624112011504067</v>
      </c>
      <c r="DR102" s="20">
        <f t="shared" si="70"/>
        <v>291.45766175336968</v>
      </c>
      <c r="DS102" s="59">
        <f t="shared" si="71"/>
        <v>568.58050110777981</v>
      </c>
      <c r="DT102" s="59">
        <f ca="1">AVERAGE(OFFSET($DS$3,0,0,'Données projet'!$E$14+1,1))-AVERAGE(OFFSET($H$3,0,0,'Données projet'!$E$14+1,1))</f>
        <v>253.82888243490106</v>
      </c>
      <c r="DU102" s="59">
        <f t="shared" si="98"/>
        <v>224.11983819941796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17.547264901957544</v>
      </c>
      <c r="EB102" s="21">
        <f>EXP(-LN(2)/25)*EB101+(1-EXP(-LN(2)/25))/(LN(2)/25)*Calculateur!DW102*Calculateur!DY102*VLOOKUP('Données projet'!$B$14,Paramètres!$A$1:$I$89,3,0)*0.475*44/12</f>
        <v>8.0911587822570841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25.638423684214629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8.7210000000000036</v>
      </c>
      <c r="N103" s="13">
        <f>IF('Données projet'!$A$36&gt;35,N102+M103-V102,IF(A103&lt;'Données projet'!$A$36,$K$205^A103,IF(A103='Données projet'!$A$36,'Données projet'!$B$36,N102+M103-V102)))</f>
        <v>313.07499999999953</v>
      </c>
      <c r="O103" s="13">
        <f>N103*VLOOKUP('Données projet'!$B$9,Paramètres!$A$1:$I$89,3,0)*VLOOKUP('Données projet'!$B$9,Paramètres!$A$1:$I$89,5,0)</f>
        <v>146.51909999999978</v>
      </c>
      <c r="P103" s="13">
        <f t="shared" si="87"/>
        <v>37.786460884380837</v>
      </c>
      <c r="Q103" s="20">
        <f t="shared" si="107"/>
        <v>320.99885187362952</v>
      </c>
      <c r="R103" s="59">
        <f t="shared" si="55"/>
        <v>598.40290705733878</v>
      </c>
      <c r="S103" s="59">
        <f ca="1">AVERAGE(OFFSET($R$3,0,0,'Données projet'!$E$9+1,1))-AVERAGE(OFFSET($H$3,0,0,'Données projet'!$E$9+1,1))</f>
        <v>387.50901594883317</v>
      </c>
      <c r="T103" s="59">
        <f t="shared" si="88"/>
        <v>361.3623790401972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133.79041959723472</v>
      </c>
      <c r="AA103" s="21">
        <f>EXP(-LN(2)/25)*AA102+(1-EXP(-LN(2)/25))/(LN(2)/25)*Calculateur!V103*Calculateur!X103*VLOOKUP('Données projet'!$B$9,Paramètres!$A$1:$I$89,3,0)*0.475*44/12</f>
        <v>54.982975108873809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188.77339470610852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373.47758082856359</v>
      </c>
      <c r="AO103" s="59">
        <f t="shared" si="90"/>
        <v>277.24895424120166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115.7792847952784</v>
      </c>
      <c r="AV103" s="21">
        <f>EXP(-LN(2)/25)*AV102+(1-EXP(-LN(2)/25))/(LN(2)/25)*Calculateur!AQ103*Calculateur!AS103*VLOOKUP('Données projet'!$B$10,Paramètres!$A$1:$I$89,3,0)*0.475*44/12</f>
        <v>46.374040243921804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162.15332503920021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8.0470000000000024</v>
      </c>
      <c r="BD103" s="12">
        <f>IF('Données projet'!$A$88&gt;35,BD102+BC103-BL102,IF(A103&lt;'Données projet'!$A$88,$BA$205^A103,IF(A103='Données projet'!$A$88,'Données projet'!$B$88,BD102+BC103-BL102)))</f>
        <v>333.22200000000038</v>
      </c>
      <c r="BE103" s="13">
        <f>BD103*VLOOKUP('Données projet'!$B$11,Paramètres!$A$1:$I$89,3,0)*VLOOKUP('Données projet'!$B$11,Paramètres!$A$1:$I$89,5,0)</f>
        <v>301.49926560000034</v>
      </c>
      <c r="BF103" s="13">
        <f t="shared" si="91"/>
        <v>71.490675884857296</v>
      </c>
      <c r="BG103" s="20">
        <f t="shared" si="61"/>
        <v>649.62414808612709</v>
      </c>
      <c r="BH103" s="59">
        <f t="shared" si="62"/>
        <v>927.02820326983624</v>
      </c>
      <c r="BI103" s="59">
        <f ca="1">AVERAGE(OFFSET($BH$3,0,0,'Données projet'!$E$11+1,1))-AVERAGE(OFFSET($H$3,0,0,'Données projet'!$E$11+1,1))</f>
        <v>627.65081154031589</v>
      </c>
      <c r="BJ103" s="59">
        <f t="shared" si="92"/>
        <v>288.78083487077618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45.602375316249869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45.602375316249869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8.0470000000000024</v>
      </c>
      <c r="BY103" s="12">
        <f>IF('Données projet'!$A$114&gt;35,BY102+BX103-CG102,IF(A103&lt;'Données projet'!$A$114,$BV$205^A103,IF(A103='Données projet'!$A$114,'Données projet'!$B$114,BY102+BX103-CG102)))</f>
        <v>333.22200000000038</v>
      </c>
      <c r="BZ103" s="13">
        <f>BY103*VLOOKUP('Données projet'!$B$12,Paramètres!$A$1:$I$89,3,0)*VLOOKUP('Données projet'!$B$12,Paramètres!$A$1:$I$89,5,0)</f>
        <v>337.88710800000041</v>
      </c>
      <c r="CA103" s="13">
        <f t="shared" si="93"/>
        <v>79.063251305296689</v>
      </c>
      <c r="CB103" s="20">
        <f t="shared" si="64"/>
        <v>726.18854245672571</v>
      </c>
      <c r="CC103" s="59">
        <f t="shared" si="65"/>
        <v>1003.5925976404349</v>
      </c>
      <c r="CD103" s="59">
        <f ca="1">AVERAGE(OFFSET($CC$3,0,0,'Données projet'!$E$12+1,1))-AVERAGE(OFFSET($H$3,0,0,'Données projet'!$E$12+1,1))</f>
        <v>692.2706942067415</v>
      </c>
      <c r="CE103" s="59">
        <f t="shared" si="94"/>
        <v>316.17529091924803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51.106110268211076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51.106110268211076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8.0470000000000024</v>
      </c>
      <c r="CT103" s="12">
        <f>IF('Données projet'!$A$140&gt;35,CT102+CS103-DB102,IF(A103&lt;'Données projet'!$A$140,$CQ$205^A103,IF(A103='Données projet'!$A$140,'Données projet'!$B$140,CT102+CS103-DB102)))</f>
        <v>333.22200000000038</v>
      </c>
      <c r="CU103" s="17">
        <f>CT103*VLOOKUP('Données projet'!$B$13,Paramètres!$A$1:$I$89,3,0)*VLOOKUP('Données projet'!$B$13,Paramètres!$A$1:$I$89,5,0)</f>
        <v>379.47321360000041</v>
      </c>
      <c r="CV103" s="13">
        <f t="shared" si="95"/>
        <v>87.60250137740961</v>
      </c>
      <c r="CW103" s="20">
        <f t="shared" si="67"/>
        <v>813.49020358565576</v>
      </c>
      <c r="CX103" s="59">
        <f t="shared" si="68"/>
        <v>1090.894258769365</v>
      </c>
      <c r="CY103" s="59">
        <f ca="1">AVERAGE(OFFSET($CX$3,0,0,'Données projet'!$E$13+1,1))-AVERAGE(OFFSET($H$3,0,0,'Données projet'!$E$13+1,1))</f>
        <v>765.9523557587147</v>
      </c>
      <c r="CZ103" s="59">
        <f t="shared" si="96"/>
        <v>347.40395092312815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57.396093070452444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57.396093070452444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153.84615384615384</v>
      </c>
      <c r="DM103" s="12">
        <f>VLOOKUP(A103,'Données projet'!$A$165:$I$185,9,0)</f>
        <v>1.9230769230769227</v>
      </c>
      <c r="DN103" s="12">
        <f t="array" ref="DN103">INDEX(DM:DM,MIN(IF(ISNUMBER(DM103:DM299),ROW(DM103:DM299),"")))</f>
        <v>1.9230769230769227</v>
      </c>
      <c r="DO103" s="12">
        <f>IF('Données projet'!$A$166&gt;35,DO102+DN103-DW102,IF(A103&lt;'Données projet'!$A$166,$DL$205^A103,IF(A103='Données projet'!$A$166,'Données projet'!$B$166,DO102+DN103-DW102)))</f>
        <v>153.84615384615392</v>
      </c>
      <c r="DP103" s="17">
        <f>DO103*VLOOKUP('Données projet'!$B$14,Paramètres!$A$1:$I$89,3,0)*VLOOKUP('Données projet'!$B$14,Paramètres!$A$1:$I$89,5,0)</f>
        <v>134.40000000000009</v>
      </c>
      <c r="DQ103" s="13">
        <f t="shared" si="97"/>
        <v>35.011092164239898</v>
      </c>
      <c r="DR103" s="20">
        <f t="shared" si="70"/>
        <v>295.05765218605126</v>
      </c>
      <c r="DS103" s="59">
        <f t="shared" si="71"/>
        <v>572.46170736976046</v>
      </c>
      <c r="DT103" s="59">
        <f ca="1">AVERAGE(OFFSET($DS$3,0,0,'Données projet'!$E$14+1,1))-AVERAGE(OFFSET($H$3,0,0,'Données projet'!$E$14+1,1))</f>
        <v>253.82888243490106</v>
      </c>
      <c r="DU103" s="59">
        <f t="shared" si="98"/>
        <v>224.11983819941796</v>
      </c>
      <c r="DV103" s="15">
        <f>IF(ISNA(VLOOKUP(A103,'Données projet'!$A$165:$I$185,3,0)),0,VLOOKUP(A103,'Données projet'!$A$165:$I$185,3,0))</f>
        <v>19</v>
      </c>
      <c r="DW103" s="15">
        <f>IF(ISNA(VLOOKUP(A103,'Données projet'!$A$165:$I$185,4,0)),0,VLOOKUP(A103,'Données projet'!$A$165:$I$185,4,0))</f>
        <v>7.6923076923076916</v>
      </c>
      <c r="DX103" s="16">
        <f>IF(ISNA(VLOOKUP(A103,'Données projet'!$A$165:$I$185,5,0)),0%,VLOOKUP(A103,'Données projet'!$A$165:$I$185,5,0)*VLOOKUP('Données projet'!$B$14,Paramètres!$A$1:$I$89,7,0))</f>
        <v>0.25800000000000001</v>
      </c>
      <c r="DY103" s="16">
        <f>IF(ISNA(VLOOKUP(A103,'Données projet'!$A$165:$I$185,6,0)),0%,VLOOKUP(A103,'Données projet'!$A$165:$I$185,6,0)*VLOOKUP('Données projet'!$B$14,Paramètres!$A$1:$I$89,7,0))</f>
        <v>0.129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19.119794065223982</v>
      </c>
      <c r="EB103" s="21">
        <f>EXP(-LN(2)/25)*EB102+(1-EXP(-LN(2)/25))/(LN(2)/25)*Calculateur!DW103*Calculateur!DY103*VLOOKUP('Données projet'!$B$14,Paramètres!$A$1:$I$89,3,0)*0.475*44/12</f>
        <v>8.8244425502152488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27.94423661543923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8.7210000000000036</v>
      </c>
      <c r="N104" s="13">
        <f>IF('Données projet'!$A$36&gt;35,N103+M104-V103,IF(A104&lt;'Données projet'!$A$36,$K$205^A104,IF(A104='Données projet'!$A$36,'Données projet'!$B$36,N103+M104-V103)))</f>
        <v>321.79599999999954</v>
      </c>
      <c r="O104" s="13">
        <f>N104*VLOOKUP('Données projet'!$B$9,Paramètres!$A$1:$I$89,3,0)*VLOOKUP('Données projet'!$B$9,Paramètres!$A$1:$I$89,5,0)</f>
        <v>150.60052799999977</v>
      </c>
      <c r="P104" s="13">
        <f t="shared" si="87"/>
        <v>38.715026012368448</v>
      </c>
      <c r="Q104" s="20">
        <f t="shared" si="107"/>
        <v>329.72458990487462</v>
      </c>
      <c r="R104" s="59">
        <f t="shared" si="55"/>
        <v>607.40498245194908</v>
      </c>
      <c r="S104" s="59">
        <f ca="1">AVERAGE(OFFSET($R$3,0,0,'Données projet'!$E$9+1,1))-AVERAGE(OFFSET($H$3,0,0,'Données projet'!$E$9+1,1))</f>
        <v>387.50901594883317</v>
      </c>
      <c r="T104" s="59">
        <f t="shared" si="88"/>
        <v>361.3623790401972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131.16687107303116</v>
      </c>
      <c r="AA104" s="21">
        <f>EXP(-LN(2)/25)*AA103+(1-EXP(-LN(2)/25))/(LN(2)/25)*Calculateur!V104*Calculateur!X104*VLOOKUP('Données projet'!$B$9,Paramètres!$A$1:$I$89,3,0)*0.475*44/12</f>
        <v>53.479462763092663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184.64633383612383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373.47758082856359</v>
      </c>
      <c r="AO104" s="59">
        <f t="shared" si="90"/>
        <v>277.24895424120166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113.50892363883374</v>
      </c>
      <c r="AV104" s="21">
        <f>EXP(-LN(2)/25)*AV103+(1-EXP(-LN(2)/25))/(LN(2)/25)*Calculateur!AQ104*Calculateur!AS104*VLOOKUP('Données projet'!$B$10,Paramètres!$A$1:$I$89,3,0)*0.475*44/12</f>
        <v>45.105939674746978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158.61486331358071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8.0470000000000024</v>
      </c>
      <c r="BD104" s="12">
        <f>IF('Données projet'!$A$88&gt;35,BD103+BC104-BL103,IF(A104&lt;'Données projet'!$A$88,$BA$205^A104,IF(A104='Données projet'!$A$88,'Données projet'!$B$88,BD103+BC104-BL103)))</f>
        <v>341.2690000000004</v>
      </c>
      <c r="BE104" s="13">
        <f>BD104*VLOOKUP('Données projet'!$B$11,Paramètres!$A$1:$I$89,3,0)*VLOOKUP('Données projet'!$B$11,Paramètres!$A$1:$I$89,5,0)</f>
        <v>308.78019120000033</v>
      </c>
      <c r="BF104" s="13">
        <f t="shared" si="91"/>
        <v>73.014027120130123</v>
      </c>
      <c r="BG104" s="20">
        <f t="shared" si="61"/>
        <v>664.95826357422709</v>
      </c>
      <c r="BH104" s="59">
        <f t="shared" si="62"/>
        <v>942.63865612130144</v>
      </c>
      <c r="BI104" s="59">
        <f ca="1">AVERAGE(OFFSET($BH$3,0,0,'Données projet'!$E$11+1,1))-AVERAGE(OFFSET($H$3,0,0,'Données projet'!$E$11+1,1))</f>
        <v>627.65081154031589</v>
      </c>
      <c r="BJ104" s="59">
        <f t="shared" si="92"/>
        <v>288.78083487077618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44.708140551000682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44.708140551000682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8.0470000000000024</v>
      </c>
      <c r="BY104" s="12">
        <f>IF('Données projet'!$A$114&gt;35,BY103+BX104-CG103,IF(A104&lt;'Données projet'!$A$114,$BV$205^A104,IF(A104='Données projet'!$A$114,'Données projet'!$B$114,BY103+BX104-CG103)))</f>
        <v>341.2690000000004</v>
      </c>
      <c r="BZ104" s="13">
        <f>BY104*VLOOKUP('Données projet'!$B$12,Paramètres!$A$1:$I$89,3,0)*VLOOKUP('Données projet'!$B$12,Paramètres!$A$1:$I$89,5,0)</f>
        <v>346.04676600000045</v>
      </c>
      <c r="CA104" s="13">
        <f t="shared" si="93"/>
        <v>80.747961934338676</v>
      </c>
      <c r="CB104" s="20">
        <f t="shared" si="64"/>
        <v>743.33415115230719</v>
      </c>
      <c r="CC104" s="59">
        <f t="shared" si="65"/>
        <v>1021.0145436993816</v>
      </c>
      <c r="CD104" s="59">
        <f ca="1">AVERAGE(OFFSET($CC$3,0,0,'Données projet'!$E$12+1,1))-AVERAGE(OFFSET($H$3,0,0,'Données projet'!$E$12+1,1))</f>
        <v>692.2706942067415</v>
      </c>
      <c r="CE104" s="59">
        <f t="shared" si="94"/>
        <v>316.17529091924803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50.103950617500779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50.103950617500779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8.0470000000000024</v>
      </c>
      <c r="CT104" s="12">
        <f>IF('Données projet'!$A$140&gt;35,CT103+CS104-DB103,IF(A104&lt;'Données projet'!$A$140,$CQ$205^A104,IF(A104='Données projet'!$A$140,'Données projet'!$B$140,CT103+CS104-DB103)))</f>
        <v>341.2690000000004</v>
      </c>
      <c r="CU104" s="17">
        <f>CT104*VLOOKUP('Données projet'!$B$13,Paramètres!$A$1:$I$89,3,0)*VLOOKUP('Données projet'!$B$13,Paramètres!$A$1:$I$89,5,0)</f>
        <v>388.6371372000005</v>
      </c>
      <c r="CV104" s="13">
        <f t="shared" si="95"/>
        <v>89.469169681136364</v>
      </c>
      <c r="CW104" s="20">
        <f t="shared" si="67"/>
        <v>832.70181781797999</v>
      </c>
      <c r="CX104" s="59">
        <f t="shared" si="68"/>
        <v>1110.3822103650543</v>
      </c>
      <c r="CY104" s="59">
        <f ca="1">AVERAGE(OFFSET($CX$3,0,0,'Données projet'!$E$13+1,1))-AVERAGE(OFFSET($H$3,0,0,'Données projet'!$E$13+1,1))</f>
        <v>765.9523557587147</v>
      </c>
      <c r="CZ104" s="59">
        <f t="shared" si="96"/>
        <v>347.40395092312815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56.270590693500878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56.270590693500878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146.15384615384625</v>
      </c>
      <c r="DP104" s="17">
        <f>DO104*VLOOKUP('Données projet'!$B$14,Paramètres!$A$1:$I$89,3,0)*VLOOKUP('Données projet'!$B$14,Paramètres!$A$1:$I$89,5,0)</f>
        <v>127.68000000000011</v>
      </c>
      <c r="DQ104" s="13">
        <f t="shared" si="97"/>
        <v>33.45971491465221</v>
      </c>
      <c r="DR104" s="20">
        <f t="shared" si="70"/>
        <v>280.65167014301943</v>
      </c>
      <c r="DS104" s="59">
        <f t="shared" si="71"/>
        <v>558.33206269009384</v>
      </c>
      <c r="DT104" s="59">
        <f ca="1">AVERAGE(OFFSET($DS$3,0,0,'Données projet'!$E$14+1,1))-AVERAGE(OFFSET($H$3,0,0,'Données projet'!$E$14+1,1))</f>
        <v>253.82888243490106</v>
      </c>
      <c r="DU104" s="59">
        <f t="shared" si="98"/>
        <v>224.11983819941796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18.744866565527801</v>
      </c>
      <c r="EB104" s="21">
        <f>EXP(-LN(2)/25)*EB103+(1-EXP(-LN(2)/25))/(LN(2)/25)*Calculateur!DW104*Calculateur!DY104*VLOOKUP('Données projet'!$B$14,Paramètres!$A$1:$I$89,3,0)*0.475*44/12</f>
        <v>8.5831377046223469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27.328004270150146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8.7210000000000036</v>
      </c>
      <c r="N105" s="13">
        <f>IF('Données projet'!$A$36&gt;35,N104+M105-V104,IF(A105&lt;'Données projet'!$A$36,$K$205^A105,IF(A105='Données projet'!$A$36,'Données projet'!$B$36,N104+M105-V104)))</f>
        <v>330.51699999999954</v>
      </c>
      <c r="O105" s="13">
        <f>N105*VLOOKUP('Données projet'!$B$9,Paramètres!$A$1:$I$89,3,0)*VLOOKUP('Données projet'!$B$9,Paramètres!$A$1:$I$89,5,0)</f>
        <v>154.68195599999979</v>
      </c>
      <c r="P105" s="13">
        <f t="shared" si="87"/>
        <v>39.640666164046536</v>
      </c>
      <c r="Q105" s="20">
        <f t="shared" si="107"/>
        <v>338.44523360238071</v>
      </c>
      <c r="R105" s="59">
        <f t="shared" si="55"/>
        <v>616.39716967736365</v>
      </c>
      <c r="S105" s="59">
        <f ca="1">AVERAGE(OFFSET($R$3,0,0,'Données projet'!$E$9+1,1))-AVERAGE(OFFSET($H$3,0,0,'Données projet'!$E$9+1,1))</f>
        <v>387.50901594883317</v>
      </c>
      <c r="T105" s="59">
        <f t="shared" si="88"/>
        <v>361.3623790401972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128.59476873518065</v>
      </c>
      <c r="AA105" s="21">
        <f>EXP(-LN(2)/25)*AA104+(1-EXP(-LN(2)/25))/(LN(2)/25)*Calculateur!V105*Calculateur!X105*VLOOKUP('Données projet'!$B$9,Paramètres!$A$1:$I$89,3,0)*0.475*44/12</f>
        <v>52.017064041473176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180.61183277665384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373.47758082856359</v>
      </c>
      <c r="AO105" s="59">
        <f t="shared" si="90"/>
        <v>277.24895424120166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111.28308287988338</v>
      </c>
      <c r="AV105" s="21">
        <f>EXP(-LN(2)/25)*AV104+(1-EXP(-LN(2)/25))/(LN(2)/25)*Calculateur!AQ105*Calculateur!AS105*VLOOKUP('Données projet'!$B$10,Paramètres!$A$1:$I$89,3,0)*0.475*44/12</f>
        <v>43.872515382322746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155.15559826220613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8.0470000000000024</v>
      </c>
      <c r="BD105" s="12">
        <f>IF('Données projet'!$A$88&gt;35,BD104+BC105-BL104,IF(A105&lt;'Données projet'!$A$88,$BA$205^A105,IF(A105='Données projet'!$A$88,'Données projet'!$B$88,BD104+BC105-BL104)))</f>
        <v>349.31600000000043</v>
      </c>
      <c r="BE105" s="13">
        <f>BD105*VLOOKUP('Données projet'!$B$11,Paramètres!$A$1:$I$89,3,0)*VLOOKUP('Données projet'!$B$11,Paramètres!$A$1:$I$89,5,0)</f>
        <v>316.06111680000038</v>
      </c>
      <c r="BF105" s="13">
        <f t="shared" si="91"/>
        <v>74.533202582557081</v>
      </c>
      <c r="BG105" s="20">
        <f t="shared" si="61"/>
        <v>680.28510625795423</v>
      </c>
      <c r="BH105" s="59">
        <f t="shared" si="62"/>
        <v>958.23704233293711</v>
      </c>
      <c r="BI105" s="59">
        <f ca="1">AVERAGE(OFFSET($BH$3,0,0,'Données projet'!$E$11+1,1))-AVERAGE(OFFSET($H$3,0,0,'Données projet'!$E$11+1,1))</f>
        <v>627.65081154031589</v>
      </c>
      <c r="BJ105" s="59">
        <f t="shared" si="92"/>
        <v>288.78083487077618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43.83144118406868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43.83144118406868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8.0470000000000024</v>
      </c>
      <c r="BY105" s="12">
        <f>IF('Données projet'!$A$114&gt;35,BY104+BX105-CG104,IF(A105&lt;'Données projet'!$A$114,$BV$205^A105,IF(A105='Données projet'!$A$114,'Données projet'!$B$114,BY104+BX105-CG104)))</f>
        <v>349.31600000000043</v>
      </c>
      <c r="BZ105" s="13">
        <f>BY105*VLOOKUP('Données projet'!$B$12,Paramètres!$A$1:$I$89,3,0)*VLOOKUP('Données projet'!$B$12,Paramètres!$A$1:$I$89,5,0)</f>
        <v>354.20642400000042</v>
      </c>
      <c r="CA105" s="13">
        <f t="shared" si="93"/>
        <v>82.42805447614306</v>
      </c>
      <c r="CB105" s="20">
        <f t="shared" si="64"/>
        <v>760.4717166792833</v>
      </c>
      <c r="CC105" s="59">
        <f t="shared" si="65"/>
        <v>1038.4236527542662</v>
      </c>
      <c r="CD105" s="59">
        <f ca="1">AVERAGE(OFFSET($CC$3,0,0,'Données projet'!$E$12+1,1))-AVERAGE(OFFSET($H$3,0,0,'Données projet'!$E$12+1,1))</f>
        <v>692.2706942067415</v>
      </c>
      <c r="CE105" s="59">
        <f t="shared" si="94"/>
        <v>316.17529091924803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49.121442706283879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49.121442706283879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8.0470000000000024</v>
      </c>
      <c r="CT105" s="12">
        <f>IF('Données projet'!$A$140&gt;35,CT104+CS105-DB104,IF(A105&lt;'Données projet'!$A$140,$CQ$205^A105,IF(A105='Données projet'!$A$140,'Données projet'!$B$140,CT104+CS105-DB104)))</f>
        <v>349.31600000000043</v>
      </c>
      <c r="CU105" s="17">
        <f>CT105*VLOOKUP('Données projet'!$B$13,Paramètres!$A$1:$I$89,3,0)*VLOOKUP('Données projet'!$B$13,Paramètres!$A$1:$I$89,5,0)</f>
        <v>397.80106080000047</v>
      </c>
      <c r="CV105" s="13">
        <f t="shared" si="95"/>
        <v>91.33072111973425</v>
      </c>
      <c r="CW105" s="20">
        <f t="shared" si="67"/>
        <v>851.9045201768713</v>
      </c>
      <c r="CX105" s="59">
        <f t="shared" si="68"/>
        <v>1129.8564562518543</v>
      </c>
      <c r="CY105" s="59">
        <f ca="1">AVERAGE(OFFSET($CX$3,0,0,'Données projet'!$E$13+1,1))-AVERAGE(OFFSET($H$3,0,0,'Données projet'!$E$13+1,1))</f>
        <v>765.9523557587147</v>
      </c>
      <c r="CZ105" s="59">
        <f t="shared" si="96"/>
        <v>347.40395092312815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55.167158731672664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55.167158731672664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146.15384615384625</v>
      </c>
      <c r="DP105" s="17">
        <f>DO105*VLOOKUP('Données projet'!$B$14,Paramètres!$A$1:$I$89,3,0)*VLOOKUP('Données projet'!$B$14,Paramètres!$A$1:$I$89,5,0)</f>
        <v>127.68000000000011</v>
      </c>
      <c r="DQ105" s="13">
        <f t="shared" si="97"/>
        <v>33.45971491465221</v>
      </c>
      <c r="DR105" s="20">
        <f t="shared" si="70"/>
        <v>280.65167014301943</v>
      </c>
      <c r="DS105" s="59">
        <f t="shared" si="71"/>
        <v>558.60360621800237</v>
      </c>
      <c r="DT105" s="59">
        <f ca="1">AVERAGE(OFFSET($DS$3,0,0,'Données projet'!$E$14+1,1))-AVERAGE(OFFSET($H$3,0,0,'Données projet'!$E$14+1,1))</f>
        <v>253.82888243490106</v>
      </c>
      <c r="DU105" s="59">
        <f t="shared" si="98"/>
        <v>224.11983819941796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18.377291165417468</v>
      </c>
      <c r="EB105" s="21">
        <f>EXP(-LN(2)/25)*EB104+(1-EXP(-LN(2)/25))/(LN(2)/25)*Calculateur!DW105*Calculateur!DY105*VLOOKUP('Données projet'!$B$14,Paramètres!$A$1:$I$89,3,0)*0.475*44/12</f>
        <v>8.3484313527218532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26.725722518139321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8.7210000000000036</v>
      </c>
      <c r="N106" s="13">
        <f>IF('Données projet'!$A$36&gt;35,N105+M106-V105,IF(A106&lt;'Données projet'!$A$36,$K$205^A106,IF(A106='Données projet'!$A$36,'Données projet'!$B$36,N105+M106-V105)))</f>
        <v>339.23799999999954</v>
      </c>
      <c r="O106" s="13">
        <f>N106*VLOOKUP('Données projet'!$B$9,Paramètres!$A$1:$I$89,3,0)*VLOOKUP('Données projet'!$B$9,Paramètres!$A$1:$I$89,5,0)</f>
        <v>158.76338399999977</v>
      </c>
      <c r="P106" s="13">
        <f t="shared" si="87"/>
        <v>40.563467389228563</v>
      </c>
      <c r="Q106" s="20">
        <f t="shared" si="107"/>
        <v>347.1609328362394</v>
      </c>
      <c r="R106" s="59">
        <f t="shared" si="55"/>
        <v>625.37970176600209</v>
      </c>
      <c r="S106" s="59">
        <f ca="1">AVERAGE(OFFSET($R$3,0,0,'Données projet'!$E$9+1,1))-AVERAGE(OFFSET($H$3,0,0,'Données projet'!$E$9+1,1))</f>
        <v>387.50901594883317</v>
      </c>
      <c r="T106" s="59">
        <f t="shared" si="88"/>
        <v>361.3623790401972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126.07310375534787</v>
      </c>
      <c r="AA106" s="21">
        <f>EXP(-LN(2)/25)*AA105+(1-EXP(-LN(2)/25))/(LN(2)/25)*Calculateur!V106*Calculateur!X106*VLOOKUP('Données projet'!$B$9,Paramètres!$A$1:$I$89,3,0)*0.475*44/12</f>
        <v>50.594654689800578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176.66775844514845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373.47758082856359</v>
      </c>
      <c r="AO106" s="59">
        <f t="shared" si="90"/>
        <v>277.24895424120166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109.10088950058723</v>
      </c>
      <c r="AV106" s="21">
        <f>EXP(-LN(2)/25)*AV105+(1-EXP(-LN(2)/25))/(LN(2)/25)*Calculateur!AQ106*Calculateur!AS106*VLOOKUP('Données projet'!$B$10,Paramètres!$A$1:$I$89,3,0)*0.475*44/12</f>
        <v>42.672819142037817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151.77370864262505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8.0470000000000024</v>
      </c>
      <c r="BD106" s="12">
        <f>IF('Données projet'!$A$88&gt;35,BD105+BC106-BL105,IF(A106&lt;'Données projet'!$A$88,$BA$205^A106,IF(A106='Données projet'!$A$88,'Données projet'!$B$88,BD105+BC106-BL105)))</f>
        <v>357.36300000000045</v>
      </c>
      <c r="BE106" s="13">
        <f>BD106*VLOOKUP('Données projet'!$B$11,Paramètres!$A$1:$I$89,3,0)*VLOOKUP('Données projet'!$B$11,Paramètres!$A$1:$I$89,5,0)</f>
        <v>323.34204240000037</v>
      </c>
      <c r="BF106" s="13">
        <f t="shared" si="91"/>
        <v>76.048309539529996</v>
      </c>
      <c r="BG106" s="20">
        <f t="shared" si="61"/>
        <v>695.60486296134877</v>
      </c>
      <c r="BH106" s="59">
        <f t="shared" si="62"/>
        <v>973.82363189111152</v>
      </c>
      <c r="BI106" s="59">
        <f ca="1">AVERAGE(OFFSET($BH$3,0,0,'Données projet'!$E$11+1,1))-AVERAGE(OFFSET($H$3,0,0,'Données projet'!$E$11+1,1))</f>
        <v>627.65081154031589</v>
      </c>
      <c r="BJ106" s="59">
        <f t="shared" si="92"/>
        <v>288.78083487077618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42.971933356988401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42.971933356988401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8.0470000000000024</v>
      </c>
      <c r="BY106" s="12">
        <f>IF('Données projet'!$A$114&gt;35,BY105+BX106-CG105,IF(A106&lt;'Données projet'!$A$114,$BV$205^A106,IF(A106='Données projet'!$A$114,'Données projet'!$B$114,BY105+BX106-CG105)))</f>
        <v>357.36300000000045</v>
      </c>
      <c r="BZ106" s="13">
        <f>BY106*VLOOKUP('Données projet'!$B$12,Paramètres!$A$1:$I$89,3,0)*VLOOKUP('Données projet'!$B$12,Paramètres!$A$1:$I$89,5,0)</f>
        <v>362.36608200000046</v>
      </c>
      <c r="CA106" s="13">
        <f t="shared" si="93"/>
        <v>84.103647560288479</v>
      </c>
      <c r="CB106" s="20">
        <f t="shared" si="64"/>
        <v>777.60144565083658</v>
      </c>
      <c r="CC106" s="59">
        <f t="shared" si="65"/>
        <v>1055.8202145805992</v>
      </c>
      <c r="CD106" s="59">
        <f ca="1">AVERAGE(OFFSET($CC$3,0,0,'Données projet'!$E$12+1,1))-AVERAGE(OFFSET($H$3,0,0,'Données projet'!$E$12+1,1))</f>
        <v>692.2706942067415</v>
      </c>
      <c r="CE106" s="59">
        <f t="shared" si="94"/>
        <v>316.17529091924803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48.158201175935289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48.158201175935289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8.0470000000000024</v>
      </c>
      <c r="CT106" s="12">
        <f>IF('Données projet'!$A$140&gt;35,CT105+CS106-DB105,IF(A106&lt;'Données projet'!$A$140,$CQ$205^A106,IF(A106='Données projet'!$A$140,'Données projet'!$B$140,CT105+CS106-DB105)))</f>
        <v>357.36300000000045</v>
      </c>
      <c r="CU106" s="17">
        <f>CT106*VLOOKUP('Données projet'!$B$13,Paramètres!$A$1:$I$89,3,0)*VLOOKUP('Données projet'!$B$13,Paramètres!$A$1:$I$89,5,0)</f>
        <v>406.9649844000005</v>
      </c>
      <c r="CV106" s="13">
        <f t="shared" si="95"/>
        <v>93.187287135404688</v>
      </c>
      <c r="CW106" s="20">
        <f t="shared" si="67"/>
        <v>871.09853959083068</v>
      </c>
      <c r="CX106" s="59">
        <f t="shared" si="68"/>
        <v>1149.3173085205933</v>
      </c>
      <c r="CY106" s="59">
        <f ca="1">AVERAGE(OFFSET($CX$3,0,0,'Données projet'!$E$13+1,1))-AVERAGE(OFFSET($H$3,0,0,'Données projet'!$E$13+1,1))</f>
        <v>765.9523557587147</v>
      </c>
      <c r="CZ106" s="59">
        <f t="shared" si="96"/>
        <v>347.40395092312815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54.085364397588862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54.085364397588862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146.15384615384625</v>
      </c>
      <c r="DP106" s="17">
        <f>DO106*VLOOKUP('Données projet'!$B$14,Paramètres!$A$1:$I$89,3,0)*VLOOKUP('Données projet'!$B$14,Paramètres!$A$1:$I$89,5,0)</f>
        <v>127.68000000000011</v>
      </c>
      <c r="DQ106" s="13">
        <f t="shared" si="97"/>
        <v>33.45971491465221</v>
      </c>
      <c r="DR106" s="20">
        <f t="shared" si="70"/>
        <v>280.65167014301943</v>
      </c>
      <c r="DS106" s="59">
        <f t="shared" si="71"/>
        <v>558.87043907278212</v>
      </c>
      <c r="DT106" s="59">
        <f ca="1">AVERAGE(OFFSET($DS$3,0,0,'Données projet'!$E$14+1,1))-AVERAGE(OFFSET($H$3,0,0,'Données projet'!$E$14+1,1))</f>
        <v>253.82888243490106</v>
      </c>
      <c r="DU106" s="59">
        <f t="shared" si="98"/>
        <v>224.11983819941796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18.016923694704442</v>
      </c>
      <c r="EB106" s="21">
        <f>EXP(-LN(2)/25)*EB105+(1-EXP(-LN(2)/25))/(LN(2)/25)*Calculateur!DW106*Calculateur!DY106*VLOOKUP('Données projet'!$B$14,Paramètres!$A$1:$I$89,3,0)*0.475*44/12</f>
        <v>8.1201430583567493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26.137066753061191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8.7210000000000036</v>
      </c>
      <c r="N107" s="13">
        <f>IF('Données projet'!$A$36&gt;35,N106+M107-V106,IF(A107&lt;'Données projet'!$A$36,$K$205^A107,IF(A107='Données projet'!$A$36,'Données projet'!$B$36,N106+M107-V106)))</f>
        <v>347.95899999999955</v>
      </c>
      <c r="O107" s="13">
        <f>N107*VLOOKUP('Données projet'!$B$9,Paramètres!$A$1:$I$89,3,0)*VLOOKUP('Données projet'!$B$9,Paramètres!$A$1:$I$89,5,0)</f>
        <v>162.84481199999979</v>
      </c>
      <c r="P107" s="13">
        <f t="shared" si="87"/>
        <v>41.483511061408436</v>
      </c>
      <c r="Q107" s="20">
        <f t="shared" si="107"/>
        <v>355.87182933195271</v>
      </c>
      <c r="R107" s="59">
        <f t="shared" si="55"/>
        <v>634.35280216301362</v>
      </c>
      <c r="S107" s="59">
        <f ca="1">AVERAGE(OFFSET($R$3,0,0,'Données projet'!$E$9+1,1))-AVERAGE(OFFSET($H$3,0,0,'Données projet'!$E$9+1,1))</f>
        <v>387.50901594883317</v>
      </c>
      <c r="T107" s="59">
        <f t="shared" si="88"/>
        <v>361.3623790401972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123.60088708770584</v>
      </c>
      <c r="AA107" s="21">
        <f>EXP(-LN(2)/25)*AA106+(1-EXP(-LN(2)/25))/(LN(2)/25)*Calculateur!V107*Calculateur!X107*VLOOKUP('Données projet'!$B$9,Paramètres!$A$1:$I$89,3,0)*0.475*44/12</f>
        <v>49.211141196650729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172.81202828435659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373.47758082856359</v>
      </c>
      <c r="AO107" s="59">
        <f t="shared" si="90"/>
        <v>277.24895424120166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106.96148760245254</v>
      </c>
      <c r="AV107" s="21">
        <f>EXP(-LN(2)/25)*AV106+(1-EXP(-LN(2)/25))/(LN(2)/25)*Calculateur!AQ107*Calculateur!AS107*VLOOKUP('Données projet'!$B$10,Paramètres!$A$1:$I$89,3,0)*0.475*44/12</f>
        <v>41.505928658532767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148.46741626098532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>
        <f>VLOOKUP(A107,'Données projet'!$A$87:$I$107,2,0)</f>
        <v>365.41</v>
      </c>
      <c r="BB107" s="12">
        <f>VLOOKUP(A107,'Données projet'!$A$87:$I$107,9,0)</f>
        <v>8.0470000000000024</v>
      </c>
      <c r="BC107" s="12">
        <f t="array" ref="BC107">INDEX(BB:BB,MIN(IF(ISNUMBER(BB107:BB303),ROW(BB107:BB303),"")))</f>
        <v>8.0470000000000024</v>
      </c>
      <c r="BD107" s="12">
        <f>IF('Données projet'!$A$88&gt;35,BD106+BC107-BL106,IF(A107&lt;'Données projet'!$A$88,$BA$205^A107,IF(A107='Données projet'!$A$88,'Données projet'!$B$88,BD106+BC107-BL106)))</f>
        <v>365.41000000000048</v>
      </c>
      <c r="BE107" s="13">
        <f>BD107*VLOOKUP('Données projet'!$B$11,Paramètres!$A$1:$I$89,3,0)*VLOOKUP('Données projet'!$B$11,Paramètres!$A$1:$I$89,5,0)</f>
        <v>330.62296800000041</v>
      </c>
      <c r="BF107" s="13">
        <f t="shared" si="91"/>
        <v>77.559450151847827</v>
      </c>
      <c r="BG107" s="20">
        <f t="shared" si="61"/>
        <v>710.91771161446911</v>
      </c>
      <c r="BH107" s="59">
        <f t="shared" si="62"/>
        <v>989.39868444553008</v>
      </c>
      <c r="BI107" s="59">
        <f ca="1">AVERAGE(OFFSET($BH$3,0,0,'Données projet'!$E$11+1,1))-AVERAGE(OFFSET($H$3,0,0,'Données projet'!$E$11+1,1))</f>
        <v>627.65081154031589</v>
      </c>
      <c r="BJ107" s="59">
        <f t="shared" si="92"/>
        <v>288.78083487077618</v>
      </c>
      <c r="BK107" s="15">
        <f>IF(ISNA(VLOOKUP(A107,'Données projet'!$A$87:$I$107,3,0)),0,VLOOKUP(A107,'Données projet'!$A$87:$I$107,3,0))</f>
        <v>8</v>
      </c>
      <c r="BL107" s="15">
        <f>IF(ISNA(VLOOKUP(A107,'Données projet'!$A$87:$I$107,4,0)),0,VLOOKUP(A107,'Données projet'!$A$87:$I$107,4,0))</f>
        <v>60.19</v>
      </c>
      <c r="BM107" s="16">
        <f>IF(ISNA(VLOOKUP(A107,'Données projet'!$A$87:$I$107,5,0)),0%,VLOOKUP(A107,'Données projet'!$A$87:$I$107,5,0)*VLOOKUP('Données projet'!$B$11,Paramètres!$A$1:$I$89,7,0))</f>
        <v>0.25800000000000001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57.661865407845688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57.661865407845688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365.41</v>
      </c>
      <c r="BW107" s="12">
        <f>VLOOKUP(A107,'Données projet'!$A$113:$I$133,9,0)</f>
        <v>8.0470000000000024</v>
      </c>
      <c r="BX107" s="12">
        <f t="array" ref="BX107">INDEX(BW:BW,MIN(IF(ISNUMBER(BW107:BW303),ROW(BW107:BW303),"")))</f>
        <v>8.0470000000000024</v>
      </c>
      <c r="BY107" s="12">
        <f>IF('Données projet'!$A$114&gt;35,BY106+BX107-CG106,IF(A107&lt;'Données projet'!$A$114,$BV$205^A107,IF(A107='Données projet'!$A$114,'Données projet'!$B$114,BY106+BX107-CG106)))</f>
        <v>365.41000000000048</v>
      </c>
      <c r="BZ107" s="13">
        <f>BY107*VLOOKUP('Données projet'!$B$12,Paramètres!$A$1:$I$89,3,0)*VLOOKUP('Données projet'!$B$12,Paramètres!$A$1:$I$89,5,0)</f>
        <v>370.5257400000005</v>
      </c>
      <c r="CA107" s="13">
        <f t="shared" si="93"/>
        <v>85.774854168850283</v>
      </c>
      <c r="CB107" s="20">
        <f t="shared" si="64"/>
        <v>794.72353484408177</v>
      </c>
      <c r="CC107" s="59">
        <f t="shared" si="65"/>
        <v>1073.2045076751426</v>
      </c>
      <c r="CD107" s="59">
        <f ca="1">AVERAGE(OFFSET($CC$3,0,0,'Données projet'!$E$12+1,1))-AVERAGE(OFFSET($H$3,0,0,'Données projet'!$E$12+1,1))</f>
        <v>692.2706942067415</v>
      </c>
      <c r="CE107" s="59">
        <f t="shared" si="94"/>
        <v>316.17529091924803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0.25800000000000001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64.621056060516736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64.621056060516736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>
        <f>VLOOKUP(A107,'Données projet'!$A$139:$I$159,2,0)</f>
        <v>365.41</v>
      </c>
      <c r="CR107" s="12">
        <f>VLOOKUP(A107,'Données projet'!$A$139:$I$159,9,0)</f>
        <v>8.0470000000000024</v>
      </c>
      <c r="CS107" s="12">
        <f t="array" ref="CS107">INDEX(CR:CR,MIN(IF(ISNUMBER(CR107:CR303),ROW(CR107:CR303),"")))</f>
        <v>8.0470000000000024</v>
      </c>
      <c r="CT107" s="12">
        <f>IF('Données projet'!$A$140&gt;35,CT106+CS107-DB106,IF(A107&lt;'Données projet'!$A$140,$CQ$205^A107,IF(A107='Données projet'!$A$140,'Données projet'!$B$140,CT106+CS107-DB106)))</f>
        <v>365.41000000000048</v>
      </c>
      <c r="CU107" s="17">
        <f>CT107*VLOOKUP('Données projet'!$B$13,Paramètres!$A$1:$I$89,3,0)*VLOOKUP('Données projet'!$B$13,Paramètres!$A$1:$I$89,5,0)</f>
        <v>416.12890800000054</v>
      </c>
      <c r="CV107" s="13">
        <f t="shared" si="95"/>
        <v>95.038992912885973</v>
      </c>
      <c r="CW107" s="20">
        <f t="shared" si="67"/>
        <v>890.28409408994401</v>
      </c>
      <c r="CX107" s="59">
        <f t="shared" si="68"/>
        <v>1168.765066921005</v>
      </c>
      <c r="CY107" s="59">
        <f ca="1">AVERAGE(OFFSET($CX$3,0,0,'Données projet'!$E$13+1,1))-AVERAGE(OFFSET($H$3,0,0,'Données projet'!$E$13+1,1))</f>
        <v>765.9523557587147</v>
      </c>
      <c r="CZ107" s="59">
        <f t="shared" si="96"/>
        <v>347.40395092312815</v>
      </c>
      <c r="DA107" s="15">
        <f>IF(ISNA(VLOOKUP(A107,'Données projet'!$A$139:$I$159,3,0)),0,VLOOKUP(A107,'Données projet'!$A$139:$I$159,3,0))</f>
        <v>8</v>
      </c>
      <c r="DB107" s="15">
        <f>IF(ISNA(VLOOKUP(A107,'Données projet'!$A$139:$I$159,4,0)),0,VLOOKUP(A107,'Données projet'!$A$139:$I$159,4,0))</f>
        <v>60.19</v>
      </c>
      <c r="DC107" s="16">
        <f>IF(ISNA(VLOOKUP(A107,'Données projet'!$A$139:$I$159,5,0)),0%,VLOOKUP(A107,'Données projet'!$A$139:$I$159,5,0)*VLOOKUP('Données projet'!$B$13,Paramètres!$A$1:$I$89,7,0))</f>
        <v>0.25800000000000001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72.574416806426484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72.574416806426484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146.15384615384625</v>
      </c>
      <c r="DP107" s="17">
        <f>DO107*VLOOKUP('Données projet'!$B$14,Paramètres!$A$1:$I$89,3,0)*VLOOKUP('Données projet'!$B$14,Paramètres!$A$1:$I$89,5,0)</f>
        <v>127.68000000000011</v>
      </c>
      <c r="DQ107" s="13">
        <f t="shared" si="97"/>
        <v>33.45971491465221</v>
      </c>
      <c r="DR107" s="20">
        <f t="shared" si="70"/>
        <v>280.65167014301943</v>
      </c>
      <c r="DS107" s="59">
        <f t="shared" si="71"/>
        <v>559.13264297408034</v>
      </c>
      <c r="DT107" s="59">
        <f ca="1">AVERAGE(OFFSET($DS$3,0,0,'Données projet'!$E$14+1,1))-AVERAGE(OFFSET($H$3,0,0,'Données projet'!$E$14+1,1))</f>
        <v>253.82888243490106</v>
      </c>
      <c r="DU107" s="59">
        <f t="shared" si="98"/>
        <v>224.11983819941796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17.663622810289645</v>
      </c>
      <c r="EB107" s="21">
        <f>EXP(-LN(2)/25)*EB106+(1-EXP(-LN(2)/25))/(LN(2)/25)*Calculateur!DW107*Calculateur!DY107*VLOOKUP('Données projet'!$B$14,Paramètres!$A$1:$I$89,3,0)*0.475*44/12</f>
        <v>7.8980973194062196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25.561720129695864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>
        <f>VLOOKUP(A108,'Données projet'!$A$35:$I$55,2,0)</f>
        <v>356.68</v>
      </c>
      <c r="L108" s="12">
        <f>VLOOKUP(A108,'Données projet'!$A$35:$I$55,9,0)</f>
        <v>8.7210000000000036</v>
      </c>
      <c r="M108" s="12">
        <f t="array" ref="M108">INDEX(L:L,MIN(IF(ISNUMBER(L108:L304),ROW(L108:L304),"")))</f>
        <v>8.7210000000000036</v>
      </c>
      <c r="N108" s="13">
        <f>IF('Données projet'!$A$36&gt;35,N107+M108-V107,IF(A108&lt;'Données projet'!$A$36,$K$205^A108,IF(A108='Données projet'!$A$36,'Données projet'!$B$36,N107+M108-V107)))</f>
        <v>356.67999999999955</v>
      </c>
      <c r="O108" s="13">
        <f>N108*VLOOKUP('Données projet'!$B$9,Paramètres!$A$1:$I$89,3,0)*VLOOKUP('Données projet'!$B$9,Paramètres!$A$1:$I$89,5,0)</f>
        <v>166.92623999999978</v>
      </c>
      <c r="P108" s="13">
        <f t="shared" si="87"/>
        <v>42.400874242636554</v>
      </c>
      <c r="Q108" s="20">
        <f t="shared" si="107"/>
        <v>364.57805730592491</v>
      </c>
      <c r="R108" s="59">
        <f t="shared" si="55"/>
        <v>643.31668538679673</v>
      </c>
      <c r="S108" s="59">
        <f ca="1">AVERAGE(OFFSET($R$3,0,0,'Données projet'!$E$9+1,1))-AVERAGE(OFFSET($H$3,0,0,'Données projet'!$E$9+1,1))</f>
        <v>387.50901594883317</v>
      </c>
      <c r="T108" s="59">
        <f t="shared" si="88"/>
        <v>361.3623790401972</v>
      </c>
      <c r="U108" s="15">
        <f>IF(ISNA(VLOOKUP(A108,'Données projet'!$A$35:$I$55,3,0)),0,VLOOKUP(A108,'Données projet'!$A$35:$I$55,3,0))</f>
        <v>9</v>
      </c>
      <c r="V108" s="15">
        <f>IF(ISNA(VLOOKUP(A108,'Données projet'!$A$35:$I$55,4,0)),0,VLOOKUP(A108,'Données projet'!$A$35:$I$55,4,0))</f>
        <v>356.68</v>
      </c>
      <c r="W108" s="16">
        <f>IF(ISNA(VLOOKUP(A108,'Données projet'!$A$35:$I$55,5,0)),0%,VLOOKUP(A108,'Données projet'!$A$35:$I$55,5,0)*VLOOKUP('Données projet'!$B$9,Paramètres!$A$1:$I$89,7,0))</f>
        <v>0.38500000000000001</v>
      </c>
      <c r="X108" s="16">
        <f>IF(ISNA(VLOOKUP(A108,'Données projet'!$A$35:$I$55,6,0)),0%,VLOOKUP(A108,'Données projet'!$A$35:$I$55,6,0)*VLOOKUP('Données projet'!$B$9,Paramètres!$A$1:$I$89,7,0))</f>
        <v>0.16500000000000001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206.43093949671845</v>
      </c>
      <c r="AA108" s="21">
        <f>EXP(-LN(2)/25)*AA107+(1-EXP(-LN(2)/25))/(LN(2)/25)*Calculateur!V108*Calculateur!X108*VLOOKUP('Données projet'!$B$9,Paramètres!$A$1:$I$89,3,0)*0.475*44/12</f>
        <v>84.258937277840289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290.68987677455874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373.47758082856359</v>
      </c>
      <c r="AO108" s="59">
        <f t="shared" si="90"/>
        <v>277.24895424120166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104.86403807063395</v>
      </c>
      <c r="AV108" s="21">
        <f>EXP(-LN(2)/25)*AV107+(1-EXP(-LN(2)/25))/(LN(2)/25)*Calculateur!AQ108*Calculateur!AS108*VLOOKUP('Données projet'!$B$10,Paramètres!$A$1:$I$89,3,0)*0.475*44/12</f>
        <v>40.370946856663267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145.23498492729721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7.9349999999999969</v>
      </c>
      <c r="BD108" s="12">
        <f>IF('Données projet'!$A$88&gt;35,BD107+BC108-BL107,IF(A108&lt;'Données projet'!$A$88,$BA$205^A108,IF(A108='Données projet'!$A$88,'Données projet'!$B$88,BD107+BC108-BL107)))</f>
        <v>313.15500000000048</v>
      </c>
      <c r="BE108" s="13">
        <f>BD108*VLOOKUP('Données projet'!$B$11,Paramètres!$A$1:$I$89,3,0)*VLOOKUP('Données projet'!$B$11,Paramètres!$A$1:$I$89,5,0)</f>
        <v>283.34264400000046</v>
      </c>
      <c r="BF108" s="13">
        <f t="shared" si="91"/>
        <v>67.672917015543916</v>
      </c>
      <c r="BG108" s="20">
        <f t="shared" si="61"/>
        <v>611.3521021020731</v>
      </c>
      <c r="BH108" s="59">
        <f t="shared" si="62"/>
        <v>890.09073018294487</v>
      </c>
      <c r="BI108" s="59">
        <f ca="1">AVERAGE(OFFSET($BH$3,0,0,'Données projet'!$E$11+1,1))-AVERAGE(OFFSET($H$3,0,0,'Données projet'!$E$11+1,1))</f>
        <v>627.65081154031589</v>
      </c>
      <c r="BJ108" s="59">
        <f t="shared" si="92"/>
        <v>288.78083487077618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56.531151397462956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56.531151397462956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7.9349999999999969</v>
      </c>
      <c r="BY108" s="12">
        <f>IF('Données projet'!$A$114&gt;35,BY107+BX108-CG107,IF(A108&lt;'Données projet'!$A$114,$BV$205^A108,IF(A108='Données projet'!$A$114,'Données projet'!$B$114,BY107+BX108-CG107)))</f>
        <v>313.15500000000048</v>
      </c>
      <c r="BZ108" s="13">
        <f>BY108*VLOOKUP('Données projet'!$B$12,Paramètres!$A$1:$I$89,3,0)*VLOOKUP('Données projet'!$B$12,Paramètres!$A$1:$I$89,5,0)</f>
        <v>317.53917000000052</v>
      </c>
      <c r="CA108" s="13">
        <f t="shared" si="93"/>
        <v>74.841100302084755</v>
      </c>
      <c r="CB108" s="20">
        <f t="shared" si="64"/>
        <v>683.39563744279849</v>
      </c>
      <c r="CC108" s="59">
        <f t="shared" si="65"/>
        <v>962.13426552367025</v>
      </c>
      <c r="CD108" s="59">
        <f ca="1">AVERAGE(OFFSET($CC$3,0,0,'Données projet'!$E$12+1,1))-AVERAGE(OFFSET($H$3,0,0,'Données projet'!$E$12+1,1))</f>
        <v>692.2706942067415</v>
      </c>
      <c r="CE108" s="59">
        <f t="shared" si="94"/>
        <v>316.17529091924803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63.353876566122295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63.353876566122295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7.9349999999999969</v>
      </c>
      <c r="CT108" s="12">
        <f>IF('Données projet'!$A$140&gt;35,CT107+CS108-DB107,IF(A108&lt;'Données projet'!$A$140,$CQ$205^A108,IF(A108='Données projet'!$A$140,'Données projet'!$B$140,CT107+CS108-DB107)))</f>
        <v>313.15500000000048</v>
      </c>
      <c r="CU108" s="17">
        <f>CT108*VLOOKUP('Données projet'!$B$13,Paramètres!$A$1:$I$89,3,0)*VLOOKUP('Données projet'!$B$13,Paramètres!$A$1:$I$89,5,0)</f>
        <v>356.62091400000054</v>
      </c>
      <c r="CV108" s="13">
        <f t="shared" si="95"/>
        <v>82.924335694009088</v>
      </c>
      <c r="CW108" s="20">
        <f t="shared" si="67"/>
        <v>765.54130988373345</v>
      </c>
      <c r="CX108" s="59">
        <f t="shared" si="68"/>
        <v>1044.2799379646053</v>
      </c>
      <c r="CY108" s="59">
        <f ca="1">AVERAGE(OFFSET($CX$3,0,0,'Données projet'!$E$13+1,1))-AVERAGE(OFFSET($H$3,0,0,'Données projet'!$E$13+1,1))</f>
        <v>765.9523557587147</v>
      </c>
      <c r="CZ108" s="59">
        <f t="shared" si="96"/>
        <v>347.40395092312815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71.151276758875809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71.151276758875809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146.15384615384625</v>
      </c>
      <c r="DP108" s="17">
        <f>DO108*VLOOKUP('Données projet'!$B$14,Paramètres!$A$1:$I$89,3,0)*VLOOKUP('Données projet'!$B$14,Paramètres!$A$1:$I$89,5,0)</f>
        <v>127.68000000000011</v>
      </c>
      <c r="DQ108" s="13">
        <f t="shared" si="97"/>
        <v>33.45971491465221</v>
      </c>
      <c r="DR108" s="20">
        <f t="shared" si="70"/>
        <v>280.65167014301943</v>
      </c>
      <c r="DS108" s="59">
        <f t="shared" si="71"/>
        <v>559.39029822389125</v>
      </c>
      <c r="DT108" s="59">
        <f ca="1">AVERAGE(OFFSET($DS$3,0,0,'Données projet'!$E$14+1,1))-AVERAGE(OFFSET($H$3,0,0,'Données projet'!$E$14+1,1))</f>
        <v>253.82888243490106</v>
      </c>
      <c r="DU108" s="59">
        <f t="shared" si="98"/>
        <v>224.11983819941796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17.317249940725961</v>
      </c>
      <c r="EB108" s="21">
        <f>EXP(-LN(2)/25)*EB107+(1-EXP(-LN(2)/25))/(LN(2)/25)*Calculateur!DW108*Calculateur!DY108*VLOOKUP('Données projet'!$B$14,Paramètres!$A$1:$I$89,3,0)*0.475*44/12</f>
        <v>7.6821234328641701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24.999373373590132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-4.5474735088646412E-13</v>
      </c>
      <c r="O109" s="13">
        <f>N109*VLOOKUP('Données projet'!$B$9,Paramètres!$A$1:$I$89,3,0)*VLOOKUP('Données projet'!$B$9,Paramètres!$A$1:$I$89,5,0)</f>
        <v>-2.1282176021486519E-13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387.50901594883317</v>
      </c>
      <c r="T109" s="59">
        <f t="shared" si="88"/>
        <v>361.3623790401972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202.38295468362827</v>
      </c>
      <c r="AA109" s="21">
        <f>EXP(-LN(2)/25)*AA108+(1-EXP(-LN(2)/25))/(LN(2)/25)*Calculateur!V109*Calculateur!X109*VLOOKUP('Données projet'!$B$9,Paramètres!$A$1:$I$89,3,0)*0.475*44/12</f>
        <v>81.954872206992817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284.3378268906211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373.47758082856359</v>
      </c>
      <c r="AO109" s="59">
        <f t="shared" si="90"/>
        <v>277.24895424120166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102.80771824481644</v>
      </c>
      <c r="AV109" s="21">
        <f>EXP(-LN(2)/25)*AV108+(1-EXP(-LN(2)/25))/(LN(2)/25)*Calculateur!AQ109*Calculateur!AS109*VLOOKUP('Données projet'!$B$10,Paramètres!$A$1:$I$89,3,0)*0.475*44/12</f>
        <v>39.267001191851982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142.07471943666843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7.9349999999999969</v>
      </c>
      <c r="BD109" s="12">
        <f>IF('Données projet'!$A$88&gt;35,BD108+BC109-BL108,IF(A109&lt;'Données projet'!$A$88,$BA$205^A109,IF(A109='Données projet'!$A$88,'Données projet'!$B$88,BD108+BC109-BL108)))</f>
        <v>321.09000000000049</v>
      </c>
      <c r="BE109" s="13">
        <f>BD109*VLOOKUP('Données projet'!$B$11,Paramètres!$A$1:$I$89,3,0)*VLOOKUP('Données projet'!$B$11,Paramètres!$A$1:$I$89,5,0)</f>
        <v>290.52223200000043</v>
      </c>
      <c r="BF109" s="13">
        <f t="shared" si="91"/>
        <v>69.185862279978352</v>
      </c>
      <c r="BG109" s="20">
        <f t="shared" si="61"/>
        <v>626.49159753762979</v>
      </c>
      <c r="BH109" s="59">
        <f t="shared" si="62"/>
        <v>905.48341112575895</v>
      </c>
      <c r="BI109" s="59">
        <f ca="1">AVERAGE(OFFSET($BH$3,0,0,'Données projet'!$E$11+1,1))-AVERAGE(OFFSET($H$3,0,0,'Données projet'!$E$11+1,1))</f>
        <v>627.65081154031589</v>
      </c>
      <c r="BJ109" s="59">
        <f t="shared" si="92"/>
        <v>288.78083487077618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55.422609999156386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55.422609999156386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7.9349999999999969</v>
      </c>
      <c r="BY109" s="12">
        <f>IF('Données projet'!$A$114&gt;35,BY108+BX109-CG108,IF(A109&lt;'Données projet'!$A$114,$BV$205^A109,IF(A109='Données projet'!$A$114,'Données projet'!$B$114,BY108+BX109-CG108)))</f>
        <v>321.09000000000049</v>
      </c>
      <c r="BZ109" s="13">
        <f>BY109*VLOOKUP('Données projet'!$B$12,Paramètres!$A$1:$I$89,3,0)*VLOOKUP('Données projet'!$B$12,Paramètres!$A$1:$I$89,5,0)</f>
        <v>325.58526000000052</v>
      </c>
      <c r="CA109" s="13">
        <f t="shared" si="93"/>
        <v>76.514302718659977</v>
      </c>
      <c r="CB109" s="20">
        <f t="shared" si="64"/>
        <v>700.32340506833361</v>
      </c>
      <c r="CC109" s="59">
        <f t="shared" si="65"/>
        <v>979.31521865646278</v>
      </c>
      <c r="CD109" s="59">
        <f ca="1">AVERAGE(OFFSET($CC$3,0,0,'Données projet'!$E$12+1,1))-AVERAGE(OFFSET($H$3,0,0,'Données projet'!$E$12+1,1))</f>
        <v>692.2706942067415</v>
      </c>
      <c r="CE109" s="59">
        <f t="shared" si="94"/>
        <v>316.17529091924803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62.111545688709754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62.111545688709754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7.9349999999999969</v>
      </c>
      <c r="CT109" s="12">
        <f>IF('Données projet'!$A$140&gt;35,CT108+CS109-DB108,IF(A109&lt;'Données projet'!$A$140,$CQ$205^A109,IF(A109='Données projet'!$A$140,'Données projet'!$B$140,CT108+CS109-DB108)))</f>
        <v>321.09000000000049</v>
      </c>
      <c r="CU109" s="17">
        <f>CT109*VLOOKUP('Données projet'!$B$13,Paramètres!$A$1:$I$89,3,0)*VLOOKUP('Données projet'!$B$13,Paramètres!$A$1:$I$89,5,0)</f>
        <v>365.65729200000055</v>
      </c>
      <c r="CV109" s="13">
        <f t="shared" si="95"/>
        <v>84.778252837344439</v>
      </c>
      <c r="CW109" s="20">
        <f t="shared" si="67"/>
        <v>784.50857392504258</v>
      </c>
      <c r="CX109" s="59">
        <f t="shared" si="68"/>
        <v>1063.5003875131717</v>
      </c>
      <c r="CY109" s="59">
        <f ca="1">AVERAGE(OFFSET($CX$3,0,0,'Données projet'!$E$13+1,1))-AVERAGE(OFFSET($H$3,0,0,'Données projet'!$E$13+1,1))</f>
        <v>765.9523557587147</v>
      </c>
      <c r="CZ109" s="59">
        <f t="shared" si="96"/>
        <v>347.40395092312815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69.756043619627889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69.756043619627889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146.15384615384625</v>
      </c>
      <c r="DP109" s="17">
        <f>DO109*VLOOKUP('Données projet'!$B$14,Paramètres!$A$1:$I$89,3,0)*VLOOKUP('Données projet'!$B$14,Paramètres!$A$1:$I$89,5,0)</f>
        <v>127.68000000000011</v>
      </c>
      <c r="DQ109" s="13">
        <f t="shared" si="97"/>
        <v>33.45971491465221</v>
      </c>
      <c r="DR109" s="20">
        <f t="shared" si="70"/>
        <v>280.65167014301943</v>
      </c>
      <c r="DS109" s="59">
        <f t="shared" si="71"/>
        <v>559.64348373114854</v>
      </c>
      <c r="DT109" s="59">
        <f ca="1">AVERAGE(OFFSET($DS$3,0,0,'Données projet'!$E$14+1,1))-AVERAGE(OFFSET($H$3,0,0,'Données projet'!$E$14+1,1))</f>
        <v>253.82888243490106</v>
      </c>
      <c r="DU109" s="59">
        <f t="shared" si="98"/>
        <v>224.11983819941796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16.977669231867832</v>
      </c>
      <c r="EB109" s="21">
        <f>EXP(-LN(2)/25)*EB108+(1-EXP(-LN(2)/25))/(LN(2)/25)*Calculateur!DW109*Calculateur!DY109*VLOOKUP('Données projet'!$B$14,Paramètres!$A$1:$I$89,3,0)*0.475*44/12</f>
        <v>7.4720553636071854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24.449724595475018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-4.5474735088646412E-13</v>
      </c>
      <c r="O110" s="13">
        <f>N110*VLOOKUP('Données projet'!$B$9,Paramètres!$A$1:$I$89,3,0)*VLOOKUP('Données projet'!$B$9,Paramètres!$A$1:$I$89,5,0)</f>
        <v>-2.1282176021486519E-13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387.50901594883317</v>
      </c>
      <c r="T110" s="59">
        <f t="shared" si="88"/>
        <v>361.3623790401972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198.41434838369585</v>
      </c>
      <c r="AA110" s="21">
        <f>EXP(-LN(2)/25)*AA109+(1-EXP(-LN(2)/25))/(LN(2)/25)*Calculateur!V110*Calculateur!X110*VLOOKUP('Données projet'!$B$9,Paramètres!$A$1:$I$89,3,0)*0.475*44/12</f>
        <v>79.71381191667318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278.12816030036902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373.47758082856359</v>
      </c>
      <c r="AO110" s="59">
        <f t="shared" si="90"/>
        <v>277.24895424120166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100.79172159655197</v>
      </c>
      <c r="AV110" s="21">
        <f>EXP(-LN(2)/25)*AV109+(1-EXP(-LN(2)/25))/(LN(2)/25)*Calculateur!AQ110*Calculateur!AS110*VLOOKUP('Données projet'!$B$10,Paramètres!$A$1:$I$89,3,0)*0.475*44/12</f>
        <v>38.193242979298944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138.98496457585091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7.9349999999999969</v>
      </c>
      <c r="BD110" s="12">
        <f>IF('Données projet'!$A$88&gt;35,BD109+BC110-BL109,IF(A110&lt;'Données projet'!$A$88,$BA$205^A110,IF(A110='Données projet'!$A$88,'Données projet'!$B$88,BD109+BC110-BL109)))</f>
        <v>329.02500000000049</v>
      </c>
      <c r="BE110" s="13">
        <f>BD110*VLOOKUP('Données projet'!$B$11,Paramètres!$A$1:$I$89,3,0)*VLOOKUP('Données projet'!$B$11,Paramètres!$A$1:$I$89,5,0)</f>
        <v>297.70182000000045</v>
      </c>
      <c r="BF110" s="13">
        <f t="shared" si="91"/>
        <v>70.69446125561177</v>
      </c>
      <c r="BG110" s="20">
        <f t="shared" si="61"/>
        <v>641.62352318685794</v>
      </c>
      <c r="BH110" s="59">
        <f t="shared" si="62"/>
        <v>920.86413007973158</v>
      </c>
      <c r="BI110" s="59">
        <f ca="1">AVERAGE(OFFSET($BH$3,0,0,'Données projet'!$E$11+1,1))-AVERAGE(OFFSET($H$3,0,0,'Données projet'!$E$11+1,1))</f>
        <v>627.65081154031589</v>
      </c>
      <c r="BJ110" s="59">
        <f t="shared" si="92"/>
        <v>288.78083487077618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54.335806421527117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54.335806421527117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7.9349999999999969</v>
      </c>
      <c r="BY110" s="12">
        <f>IF('Données projet'!$A$114&gt;35,BY109+BX110-CG109,IF(A110&lt;'Données projet'!$A$114,$BV$205^A110,IF(A110='Données projet'!$A$114,'Données projet'!$B$114,BY109+BX110-CG109)))</f>
        <v>329.02500000000049</v>
      </c>
      <c r="BZ110" s="13">
        <f>BY110*VLOOKUP('Données projet'!$B$12,Paramètres!$A$1:$I$89,3,0)*VLOOKUP('Données projet'!$B$12,Paramètres!$A$1:$I$89,5,0)</f>
        <v>333.63135000000051</v>
      </c>
      <c r="CA110" s="13">
        <f t="shared" si="93"/>
        <v>78.182698470317533</v>
      </c>
      <c r="CB110" s="20">
        <f t="shared" si="64"/>
        <v>717.24280108580388</v>
      </c>
      <c r="CC110" s="59">
        <f t="shared" si="65"/>
        <v>996.48340797867752</v>
      </c>
      <c r="CD110" s="59">
        <f ca="1">AVERAGE(OFFSET($CC$3,0,0,'Données projet'!$E$12+1,1))-AVERAGE(OFFSET($H$3,0,0,'Données projet'!$E$12+1,1))</f>
        <v>692.2706942067415</v>
      </c>
      <c r="CE110" s="59">
        <f t="shared" si="94"/>
        <v>316.17529091924803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60.893576162056263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60.893576162056263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7.9349999999999969</v>
      </c>
      <c r="CT110" s="12">
        <f>IF('Données projet'!$A$140&gt;35,CT109+CS110-DB109,IF(A110&lt;'Données projet'!$A$140,$CQ$205^A110,IF(A110='Données projet'!$A$140,'Données projet'!$B$140,CT109+CS110-DB109)))</f>
        <v>329.02500000000049</v>
      </c>
      <c r="CU110" s="17">
        <f>CT110*VLOOKUP('Données projet'!$B$13,Paramètres!$A$1:$I$89,3,0)*VLOOKUP('Données projet'!$B$13,Paramètres!$A$1:$I$89,5,0)</f>
        <v>374.69367000000057</v>
      </c>
      <c r="CV110" s="13">
        <f t="shared" si="95"/>
        <v>86.626844170481974</v>
      </c>
      <c r="CW110" s="20">
        <f t="shared" si="67"/>
        <v>803.46656218025703</v>
      </c>
      <c r="CX110" s="59">
        <f t="shared" si="68"/>
        <v>1082.7071690731307</v>
      </c>
      <c r="CY110" s="59">
        <f ca="1">AVERAGE(OFFSET($CX$3,0,0,'Données projet'!$E$13+1,1))-AVERAGE(OFFSET($H$3,0,0,'Données projet'!$E$13+1,1))</f>
        <v>765.9523557587147</v>
      </c>
      <c r="CZ110" s="59">
        <f t="shared" si="96"/>
        <v>347.40395092312815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68.38817015123243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68.38817015123243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146.15384615384625</v>
      </c>
      <c r="DP110" s="17">
        <f>DO110*VLOOKUP('Données projet'!$B$14,Paramètres!$A$1:$I$89,3,0)*VLOOKUP('Données projet'!$B$14,Paramètres!$A$1:$I$89,5,0)</f>
        <v>127.68000000000011</v>
      </c>
      <c r="DQ110" s="13">
        <f t="shared" si="97"/>
        <v>33.45971491465221</v>
      </c>
      <c r="DR110" s="20">
        <f t="shared" si="70"/>
        <v>280.65167014301943</v>
      </c>
      <c r="DS110" s="59">
        <f t="shared" si="71"/>
        <v>559.89227703589313</v>
      </c>
      <c r="DT110" s="59">
        <f ca="1">AVERAGE(OFFSET($DS$3,0,0,'Données projet'!$E$14+1,1))-AVERAGE(OFFSET($H$3,0,0,'Données projet'!$E$14+1,1))</f>
        <v>253.82888243490106</v>
      </c>
      <c r="DU110" s="59">
        <f t="shared" si="98"/>
        <v>224.11983819941796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16.644747493586628</v>
      </c>
      <c r="EB110" s="21">
        <f>EXP(-LN(2)/25)*EB109+(1-EXP(-LN(2)/25))/(LN(2)/25)*Calculateur!DW110*Calculateur!DY110*VLOOKUP('Données projet'!$B$14,Paramètres!$A$1:$I$89,3,0)*0.475*44/12</f>
        <v>7.2677316167510329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23.91247911033766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-4.5474735088646412E-13</v>
      </c>
      <c r="O111" s="13">
        <f>N111*VLOOKUP('Données projet'!$B$9,Paramètres!$A$1:$I$89,3,0)*VLOOKUP('Données projet'!$B$9,Paramètres!$A$1:$I$89,5,0)</f>
        <v>-2.1282176021486519E-13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387.50901594883317</v>
      </c>
      <c r="T111" s="59">
        <f t="shared" si="88"/>
        <v>361.3623790401972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194.52356403269428</v>
      </c>
      <c r="AA111" s="21">
        <f>EXP(-LN(2)/25)*AA110+(1-EXP(-LN(2)/25))/(LN(2)/25)*Calculateur!V111*Calculateur!X111*VLOOKUP('Données projet'!$B$9,Paramètres!$A$1:$I$89,3,0)*0.475*44/12</f>
        <v>77.534033537844564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272.05759757053886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373.47758082856359</v>
      </c>
      <c r="AO111" s="59">
        <f t="shared" si="90"/>
        <v>277.24895424120166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98.815257412923415</v>
      </c>
      <c r="AV111" s="21">
        <f>EXP(-LN(2)/25)*AV110+(1-EXP(-LN(2)/25))/(LN(2)/25)*Calculateur!AQ111*Calculateur!AS111*VLOOKUP('Données projet'!$B$10,Paramètres!$A$1:$I$89,3,0)*0.475*44/12</f>
        <v>37.148846741534655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135.96410415445808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7.9349999999999969</v>
      </c>
      <c r="BD111" s="12">
        <f>IF('Données projet'!$A$88&gt;35,BD110+BC111-BL110,IF(A111&lt;'Données projet'!$A$88,$BA$205^A111,IF(A111='Données projet'!$A$88,'Données projet'!$B$88,BD110+BC111-BL110)))</f>
        <v>336.96000000000049</v>
      </c>
      <c r="BE111" s="13">
        <f>BD111*VLOOKUP('Données projet'!$B$11,Paramètres!$A$1:$I$89,3,0)*VLOOKUP('Données projet'!$B$11,Paramètres!$A$1:$I$89,5,0)</f>
        <v>304.88140800000042</v>
      </c>
      <c r="BF111" s="13">
        <f t="shared" si="91"/>
        <v>72.198830820277394</v>
      </c>
      <c r="BG111" s="20">
        <f t="shared" si="61"/>
        <v>656.74808261198393</v>
      </c>
      <c r="BH111" s="59">
        <f t="shared" si="62"/>
        <v>936.23316680198332</v>
      </c>
      <c r="BI111" s="59">
        <f ca="1">AVERAGE(OFFSET($BH$3,0,0,'Données projet'!$E$11+1,1))-AVERAGE(OFFSET($H$3,0,0,'Données projet'!$E$11+1,1))</f>
        <v>627.65081154031589</v>
      </c>
      <c r="BJ111" s="59">
        <f t="shared" si="92"/>
        <v>288.78083487077618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53.270314399170431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53.270314399170431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7.9349999999999969</v>
      </c>
      <c r="BY111" s="12">
        <f>IF('Données projet'!$A$114&gt;35,BY110+BX111-CG110,IF(A111&lt;'Données projet'!$A$114,$BV$205^A111,IF(A111='Données projet'!$A$114,'Données projet'!$B$114,BY110+BX111-CG110)))</f>
        <v>336.96000000000049</v>
      </c>
      <c r="BZ111" s="13">
        <f>BY111*VLOOKUP('Données projet'!$B$12,Paramètres!$A$1:$I$89,3,0)*VLOOKUP('Données projet'!$B$12,Paramètres!$A$1:$I$89,5,0)</f>
        <v>341.6774400000005</v>
      </c>
      <c r="CA111" s="13">
        <f t="shared" si="93"/>
        <v>79.846416815053246</v>
      </c>
      <c r="CB111" s="20">
        <f t="shared" si="64"/>
        <v>734.15405061955198</v>
      </c>
      <c r="CC111" s="59">
        <f t="shared" si="65"/>
        <v>1013.6391348095513</v>
      </c>
      <c r="CD111" s="59">
        <f ca="1">AVERAGE(OFFSET($CC$3,0,0,'Données projet'!$E$12+1,1))-AVERAGE(OFFSET($H$3,0,0,'Données projet'!$E$12+1,1))</f>
        <v>692.2706942067415</v>
      </c>
      <c r="CE111" s="59">
        <f t="shared" si="94"/>
        <v>316.17529091924803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59.699490274932387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59.699490274932387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7.9349999999999969</v>
      </c>
      <c r="CT111" s="12">
        <f>IF('Données projet'!$A$140&gt;35,CT110+CS111-DB110,IF(A111&lt;'Données projet'!$A$140,$CQ$205^A111,IF(A111='Données projet'!$A$140,'Données projet'!$B$140,CT110+CS111-DB110)))</f>
        <v>336.96000000000049</v>
      </c>
      <c r="CU111" s="17">
        <f>CT111*VLOOKUP('Données projet'!$B$13,Paramètres!$A$1:$I$89,3,0)*VLOOKUP('Données projet'!$B$13,Paramètres!$A$1:$I$89,5,0)</f>
        <v>383.73004800000058</v>
      </c>
      <c r="CV111" s="13">
        <f t="shared" si="95"/>
        <v>88.470252911966</v>
      </c>
      <c r="CW111" s="20">
        <f t="shared" si="67"/>
        <v>822.41552408834184</v>
      </c>
      <c r="CX111" s="59">
        <f t="shared" si="68"/>
        <v>1101.9006082783412</v>
      </c>
      <c r="CY111" s="59">
        <f ca="1">AVERAGE(OFFSET($CX$3,0,0,'Données projet'!$E$13+1,1))-AVERAGE(OFFSET($H$3,0,0,'Données projet'!$E$13+1,1))</f>
        <v>765.9523557587147</v>
      </c>
      <c r="CZ111" s="59">
        <f t="shared" si="96"/>
        <v>347.40395092312815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67.04711984723177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67.04711984723177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146.15384615384625</v>
      </c>
      <c r="DP111" s="17">
        <f>DO111*VLOOKUP('Données projet'!$B$14,Paramètres!$A$1:$I$89,3,0)*VLOOKUP('Données projet'!$B$14,Paramètres!$A$1:$I$89,5,0)</f>
        <v>127.68000000000011</v>
      </c>
      <c r="DQ111" s="13">
        <f t="shared" si="97"/>
        <v>33.45971491465221</v>
      </c>
      <c r="DR111" s="20">
        <f t="shared" si="70"/>
        <v>280.65167014301943</v>
      </c>
      <c r="DS111" s="59">
        <f t="shared" si="71"/>
        <v>560.13675433301876</v>
      </c>
      <c r="DT111" s="59">
        <f ca="1">AVERAGE(OFFSET($DS$3,0,0,'Données projet'!$E$14+1,1))-AVERAGE(OFFSET($H$3,0,0,'Données projet'!$E$14+1,1))</f>
        <v>253.82888243490106</v>
      </c>
      <c r="DU111" s="59">
        <f t="shared" si="98"/>
        <v>224.11983819941796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16.318354147530911</v>
      </c>
      <c r="EB111" s="21">
        <f>EXP(-LN(2)/25)*EB110+(1-EXP(-LN(2)/25))/(LN(2)/25)*Calculateur!DW111*Calculateur!DY111*VLOOKUP('Données projet'!$B$14,Paramètres!$A$1:$I$89,3,0)*0.475*44/12</f>
        <v>7.0689951134975804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23.38734926102849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-4.5474735088646412E-13</v>
      </c>
      <c r="O112" s="13">
        <f>N112*VLOOKUP('Données projet'!$B$9,Paramètres!$A$1:$I$89,3,0)*VLOOKUP('Données projet'!$B$9,Paramètres!$A$1:$I$89,5,0)</f>
        <v>-2.1282176021486519E-13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387.50901594883317</v>
      </c>
      <c r="T112" s="59">
        <f t="shared" si="88"/>
        <v>361.3623790401972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190.70907558967173</v>
      </c>
      <c r="AA112" s="21">
        <f>EXP(-LN(2)/25)*AA111+(1-EXP(-LN(2)/25))/(LN(2)/25)*Calculateur!V112*Calculateur!X112*VLOOKUP('Données projet'!$B$9,Paramètres!$A$1:$I$89,3,0)*0.475*44/12</f>
        <v>75.413861313414586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266.12293690308633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373.47758082856359</v>
      </c>
      <c r="AO112" s="59">
        <f t="shared" si="90"/>
        <v>277.24895424120166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96.877550486411707</v>
      </c>
      <c r="AV112" s="21">
        <f>EXP(-LN(2)/25)*AV111+(1-EXP(-LN(2)/25))/(LN(2)/25)*Calculateur!AQ112*Calculateur!AS112*VLOOKUP('Données projet'!$B$10,Paramètres!$A$1:$I$89,3,0)*0.475*44/12</f>
        <v>36.133009573814448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133.01056006022617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7.9349999999999969</v>
      </c>
      <c r="BD112" s="12">
        <f>IF('Données projet'!$A$88&gt;35,BD111+BC112-BL111,IF(A112&lt;'Données projet'!$A$88,$BA$205^A112,IF(A112='Données projet'!$A$88,'Données projet'!$B$88,BD111+BC112-BL111)))</f>
        <v>344.89500000000049</v>
      </c>
      <c r="BE112" s="13">
        <f>BD112*VLOOKUP('Données projet'!$B$11,Paramètres!$A$1:$I$89,3,0)*VLOOKUP('Données projet'!$B$11,Paramètres!$A$1:$I$89,5,0)</f>
        <v>312.06099600000044</v>
      </c>
      <c r="BF112" s="13">
        <f t="shared" si="91"/>
        <v>73.699082033131035</v>
      </c>
      <c r="BG112" s="20">
        <f t="shared" si="61"/>
        <v>671.86546924103743</v>
      </c>
      <c r="BH112" s="59">
        <f t="shared" si="62"/>
        <v>951.59078959362671</v>
      </c>
      <c r="BI112" s="59">
        <f ca="1">AVERAGE(OFFSET($BH$3,0,0,'Données projet'!$E$11+1,1))-AVERAGE(OFFSET($H$3,0,0,'Données projet'!$E$11+1,1))</f>
        <v>627.65081154031589</v>
      </c>
      <c r="BJ112" s="59">
        <f t="shared" si="92"/>
        <v>288.78083487077618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52.225716025486193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52.225716025486193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7.9349999999999969</v>
      </c>
      <c r="BY112" s="12">
        <f>IF('Données projet'!$A$114&gt;35,BY111+BX112-CG111,IF(A112&lt;'Données projet'!$A$114,$BV$205^A112,IF(A112='Données projet'!$A$114,'Données projet'!$B$114,BY111+BX112-CG111)))</f>
        <v>344.89500000000049</v>
      </c>
      <c r="BZ112" s="13">
        <f>BY112*VLOOKUP('Données projet'!$B$12,Paramètres!$A$1:$I$89,3,0)*VLOOKUP('Données projet'!$B$12,Paramètres!$A$1:$I$89,5,0)</f>
        <v>349.72353000000055</v>
      </c>
      <c r="CA112" s="13">
        <f t="shared" si="93"/>
        <v>81.505580575848711</v>
      </c>
      <c r="CB112" s="20">
        <f t="shared" si="64"/>
        <v>751.05736758627074</v>
      </c>
      <c r="CC112" s="59">
        <f t="shared" si="65"/>
        <v>1030.7826879388599</v>
      </c>
      <c r="CD112" s="59">
        <f ca="1">AVERAGE(OFFSET($CC$3,0,0,'Données projet'!$E$12+1,1))-AVERAGE(OFFSET($H$3,0,0,'Données projet'!$E$12+1,1))</f>
        <v>692.2706942067415</v>
      </c>
      <c r="CE112" s="59">
        <f t="shared" si="94"/>
        <v>316.17529091924803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58.52881968373454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58.52881968373454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7.9349999999999969</v>
      </c>
      <c r="CT112" s="12">
        <f>IF('Données projet'!$A$140&gt;35,CT111+CS112-DB111,IF(A112&lt;'Données projet'!$A$140,$CQ$205^A112,IF(A112='Données projet'!$A$140,'Données projet'!$B$140,CT111+CS112-DB111)))</f>
        <v>344.89500000000049</v>
      </c>
      <c r="CU112" s="17">
        <f>CT112*VLOOKUP('Données projet'!$B$13,Paramètres!$A$1:$I$89,3,0)*VLOOKUP('Données projet'!$B$13,Paramètres!$A$1:$I$89,5,0)</f>
        <v>392.76642600000059</v>
      </c>
      <c r="CV112" s="13">
        <f t="shared" si="95"/>
        <v>90.308615150310914</v>
      </c>
      <c r="CW112" s="20">
        <f t="shared" si="67"/>
        <v>841.35569667012578</v>
      </c>
      <c r="CX112" s="59">
        <f t="shared" si="68"/>
        <v>1121.0810170227151</v>
      </c>
      <c r="CY112" s="59">
        <f ca="1">AVERAGE(OFFSET($CX$3,0,0,'Données projet'!$E$13+1,1))-AVERAGE(OFFSET($H$3,0,0,'Données projet'!$E$13+1,1))</f>
        <v>765.9523557587147</v>
      </c>
      <c r="CZ112" s="59">
        <f t="shared" si="96"/>
        <v>347.40395092312815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65.732366721732646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65.732366721732646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146.15384615384625</v>
      </c>
      <c r="DP112" s="17">
        <f>DO112*VLOOKUP('Données projet'!$B$14,Paramètres!$A$1:$I$89,3,0)*VLOOKUP('Données projet'!$B$14,Paramètres!$A$1:$I$89,5,0)</f>
        <v>127.68000000000011</v>
      </c>
      <c r="DQ112" s="13">
        <f t="shared" si="97"/>
        <v>33.45971491465221</v>
      </c>
      <c r="DR112" s="20">
        <f t="shared" si="70"/>
        <v>280.65167014301943</v>
      </c>
      <c r="DS112" s="59">
        <f t="shared" si="71"/>
        <v>560.37699049560865</v>
      </c>
      <c r="DT112" s="59">
        <f ca="1">AVERAGE(OFFSET($DS$3,0,0,'Données projet'!$E$14+1,1))-AVERAGE(OFFSET($H$3,0,0,'Données projet'!$E$14+1,1))</f>
        <v>253.82888243490106</v>
      </c>
      <c r="DU112" s="59">
        <f t="shared" si="98"/>
        <v>224.11983819941796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15.998361175911063</v>
      </c>
      <c r="EB112" s="21">
        <f>EXP(-LN(2)/25)*EB111+(1-EXP(-LN(2)/25))/(LN(2)/25)*Calculateur!DW112*Calculateur!DY112*VLOOKUP('Données projet'!$B$14,Paramètres!$A$1:$I$89,3,0)*0.475*44/12</f>
        <v>6.8756930703766921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22.874054246287756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-4.5474735088646412E-13</v>
      </c>
      <c r="O113" s="13">
        <f>N113*VLOOKUP('Données projet'!$B$9,Paramètres!$A$1:$I$89,3,0)*VLOOKUP('Données projet'!$B$9,Paramètres!$A$1:$I$89,5,0)</f>
        <v>-2.1282176021486519E-13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387.50901594883317</v>
      </c>
      <c r="T113" s="59">
        <f t="shared" si="88"/>
        <v>361.3623790401972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186.96938693840863</v>
      </c>
      <c r="AA113" s="21">
        <f>EXP(-LN(2)/25)*AA112+(1-EXP(-LN(2)/25))/(LN(2)/25)*Calculateur!V113*Calculateur!X113*VLOOKUP('Données projet'!$B$9,Paramètres!$A$1:$I$89,3,0)*0.475*44/12</f>
        <v>73.351665309956658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260.32105224836528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373.47758082856359</v>
      </c>
      <c r="AO113" s="59">
        <f t="shared" si="90"/>
        <v>277.24895424120166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94.97784081084437</v>
      </c>
      <c r="AV113" s="21">
        <f>EXP(-LN(2)/25)*AV112+(1-EXP(-LN(2)/25))/(LN(2)/25)*Calculateur!AQ113*Calculateur!AS113*VLOOKUP('Données projet'!$B$10,Paramètres!$A$1:$I$89,3,0)*0.475*44/12</f>
        <v>35.144950526866104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130.12279133771048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7.9349999999999969</v>
      </c>
      <c r="BD113" s="12">
        <f>IF('Données projet'!$A$88&gt;35,BD112+BC113-BL112,IF(A113&lt;'Données projet'!$A$88,$BA$205^A113,IF(A113='Données projet'!$A$88,'Données projet'!$B$88,BD112+BC113-BL112)))</f>
        <v>352.8300000000005</v>
      </c>
      <c r="BE113" s="13">
        <f>BD113*VLOOKUP('Données projet'!$B$11,Paramètres!$A$1:$I$89,3,0)*VLOOKUP('Données projet'!$B$11,Paramètres!$A$1:$I$89,5,0)</f>
        <v>319.24058400000041</v>
      </c>
      <c r="BF113" s="13">
        <f t="shared" si="91"/>
        <v>75.195320551435159</v>
      </c>
      <c r="BG113" s="20">
        <f t="shared" si="61"/>
        <v>686.97586709375025</v>
      </c>
      <c r="BH113" s="59">
        <f t="shared" si="62"/>
        <v>966.93725604859605</v>
      </c>
      <c r="BI113" s="59">
        <f ca="1">AVERAGE(OFFSET($BH$3,0,0,'Données projet'!$E$11+1,1))-AVERAGE(OFFSET($H$3,0,0,'Données projet'!$E$11+1,1))</f>
        <v>627.65081154031589</v>
      </c>
      <c r="BJ113" s="59">
        <f t="shared" si="92"/>
        <v>288.78083487077618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51.201601588767808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51.201601588767808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7.9349999999999969</v>
      </c>
      <c r="BY113" s="12">
        <f>IF('Données projet'!$A$114&gt;35,BY112+BX113-CG112,IF(A113&lt;'Données projet'!$A$114,$BV$205^A113,IF(A113='Données projet'!$A$114,'Données projet'!$B$114,BY112+BX113-CG112)))</f>
        <v>352.8300000000005</v>
      </c>
      <c r="BZ113" s="13">
        <f>BY113*VLOOKUP('Données projet'!$B$12,Paramètres!$A$1:$I$89,3,0)*VLOOKUP('Données projet'!$B$12,Paramètres!$A$1:$I$89,5,0)</f>
        <v>357.76962000000054</v>
      </c>
      <c r="CA113" s="13">
        <f t="shared" si="93"/>
        <v>83.160306601601619</v>
      </c>
      <c r="CB113" s="20">
        <f t="shared" si="64"/>
        <v>767.95295549779041</v>
      </c>
      <c r="CC113" s="59">
        <f t="shared" si="65"/>
        <v>1047.9143444526362</v>
      </c>
      <c r="CD113" s="59">
        <f ca="1">AVERAGE(OFFSET($CC$3,0,0,'Données projet'!$E$12+1,1))-AVERAGE(OFFSET($H$3,0,0,'Données projet'!$E$12+1,1))</f>
        <v>692.2706942067415</v>
      </c>
      <c r="CE113" s="59">
        <f t="shared" si="94"/>
        <v>316.17529091924803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57.381105228791526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57.381105228791526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7.9349999999999969</v>
      </c>
      <c r="CT113" s="12">
        <f>IF('Données projet'!$A$140&gt;35,CT112+CS113-DB112,IF(A113&lt;'Données projet'!$A$140,$CQ$205^A113,IF(A113='Données projet'!$A$140,'Données projet'!$B$140,CT112+CS113-DB112)))</f>
        <v>352.8300000000005</v>
      </c>
      <c r="CU113" s="17">
        <f>CT113*VLOOKUP('Données projet'!$B$13,Paramètres!$A$1:$I$89,3,0)*VLOOKUP('Données projet'!$B$13,Paramètres!$A$1:$I$89,5,0)</f>
        <v>401.80280400000055</v>
      </c>
      <c r="CV113" s="13">
        <f t="shared" si="95"/>
        <v>92.14206035471453</v>
      </c>
      <c r="CW113" s="20">
        <f t="shared" si="67"/>
        <v>860.28730541779544</v>
      </c>
      <c r="CX113" s="59">
        <f t="shared" si="68"/>
        <v>1140.2486943726412</v>
      </c>
      <c r="CY113" s="59">
        <f ca="1">AVERAGE(OFFSET($CX$3,0,0,'Données projet'!$E$13+1,1))-AVERAGE(OFFSET($H$3,0,0,'Données projet'!$E$13+1,1))</f>
        <v>765.9523557587147</v>
      </c>
      <c r="CZ113" s="59">
        <f t="shared" si="96"/>
        <v>347.40395092312815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64.443395103104336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64.443395103104336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146.15384615384625</v>
      </c>
      <c r="DP113" s="17">
        <f>DO113*VLOOKUP('Données projet'!$B$14,Paramètres!$A$1:$I$89,3,0)*VLOOKUP('Données projet'!$B$14,Paramètres!$A$1:$I$89,5,0)</f>
        <v>127.68000000000011</v>
      </c>
      <c r="DQ113" s="13">
        <f t="shared" si="97"/>
        <v>33.45971491465221</v>
      </c>
      <c r="DR113" s="20">
        <f t="shared" si="70"/>
        <v>280.65167014301943</v>
      </c>
      <c r="DS113" s="59">
        <f t="shared" si="71"/>
        <v>560.61305909786529</v>
      </c>
      <c r="DT113" s="59">
        <f ca="1">AVERAGE(OFFSET($DS$3,0,0,'Données projet'!$E$14+1,1))-AVERAGE(OFFSET($H$3,0,0,'Données projet'!$E$14+1,1))</f>
        <v>253.82888243490106</v>
      </c>
      <c r="DU113" s="59">
        <f t="shared" si="98"/>
        <v>224.11983819941796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15.684643071288239</v>
      </c>
      <c r="EB113" s="21">
        <f>EXP(-LN(2)/25)*EB112+(1-EXP(-LN(2)/25))/(LN(2)/25)*Calculateur!DW113*Calculateur!DY113*VLOOKUP('Données projet'!$B$14,Paramètres!$A$1:$I$89,3,0)*0.475*44/12</f>
        <v>6.6876768817902574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22.372319953078495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-4.5474735088646412E-13</v>
      </c>
      <c r="O114" s="13">
        <f>N114*VLOOKUP('Données projet'!$B$9,Paramètres!$A$1:$I$89,3,0)*VLOOKUP('Données projet'!$B$9,Paramètres!$A$1:$I$89,5,0)</f>
        <v>-2.1282176021486519E-13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387.50901594883317</v>
      </c>
      <c r="T114" s="59">
        <f t="shared" si="88"/>
        <v>361.3623790401972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183.30303130061196</v>
      </c>
      <c r="AA114" s="21">
        <f>EXP(-LN(2)/25)*AA113+(1-EXP(-LN(2)/25))/(LN(2)/25)*Calculateur!V114*Calculateur!X114*VLOOKUP('Données projet'!$B$9,Paramètres!$A$1:$I$89,3,0)*0.475*44/12</f>
        <v>71.345860164659456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254.64889146527142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373.47758082856359</v>
      </c>
      <c r="AO114" s="59">
        <f t="shared" si="90"/>
        <v>277.24895424120166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93.115383283306414</v>
      </c>
      <c r="AV114" s="21">
        <f>EXP(-LN(2)/25)*AV113+(1-EXP(-LN(2)/25))/(LN(2)/25)*Calculateur!AQ114*Calculateur!AS114*VLOOKUP('Données projet'!$B$10,Paramètres!$A$1:$I$89,3,0)*0.475*44/12</f>
        <v>34.183910006516328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127.29929328982274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7.9349999999999969</v>
      </c>
      <c r="BD114" s="12">
        <f>IF('Données projet'!$A$88&gt;35,BD113+BC114-BL113,IF(A114&lt;'Données projet'!$A$88,$BA$205^A114,IF(A114='Données projet'!$A$88,'Données projet'!$B$88,BD113+BC114-BL113)))</f>
        <v>360.7650000000005</v>
      </c>
      <c r="BE114" s="13">
        <f>BD114*VLOOKUP('Données projet'!$B$11,Paramètres!$A$1:$I$89,3,0)*VLOOKUP('Données projet'!$B$11,Paramètres!$A$1:$I$89,5,0)</f>
        <v>326.42017200000043</v>
      </c>
      <c r="BF114" s="13">
        <f t="shared" si="91"/>
        <v>76.687647008791089</v>
      </c>
      <c r="BG114" s="20">
        <f t="shared" si="61"/>
        <v>702.07945144031191</v>
      </c>
      <c r="BH114" s="59">
        <f t="shared" si="62"/>
        <v>982.27281373493543</v>
      </c>
      <c r="BI114" s="59">
        <f ca="1">AVERAGE(OFFSET($BH$3,0,0,'Données projet'!$E$11+1,1))-AVERAGE(OFFSET($H$3,0,0,'Données projet'!$E$11+1,1))</f>
        <v>627.65081154031589</v>
      </c>
      <c r="BJ114" s="59">
        <f t="shared" si="92"/>
        <v>288.78083487077618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50.197569411505341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50.197569411505341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7.9349999999999969</v>
      </c>
      <c r="BY114" s="12">
        <f>IF('Données projet'!$A$114&gt;35,BY113+BX114-CG113,IF(A114&lt;'Données projet'!$A$114,$BV$205^A114,IF(A114='Données projet'!$A$114,'Données projet'!$B$114,BY113+BX114-CG113)))</f>
        <v>360.7650000000005</v>
      </c>
      <c r="BZ114" s="13">
        <f>BY114*VLOOKUP('Données projet'!$B$12,Paramètres!$A$1:$I$89,3,0)*VLOOKUP('Données projet'!$B$12,Paramètres!$A$1:$I$89,5,0)</f>
        <v>365.81571000000054</v>
      </c>
      <c r="CA114" s="13">
        <f t="shared" si="93"/>
        <v>84.810706185422944</v>
      </c>
      <c r="CB114" s="20">
        <f t="shared" si="64"/>
        <v>784.84100818961235</v>
      </c>
      <c r="CC114" s="59">
        <f t="shared" si="65"/>
        <v>1065.034370484236</v>
      </c>
      <c r="CD114" s="59">
        <f ca="1">AVERAGE(OFFSET($CC$3,0,0,'Données projet'!$E$12+1,1))-AVERAGE(OFFSET($H$3,0,0,'Données projet'!$E$12+1,1))</f>
        <v>692.2706942067415</v>
      </c>
      <c r="CE114" s="59">
        <f t="shared" si="94"/>
        <v>316.17529091924803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56.255896754273245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56.255896754273245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7.9349999999999969</v>
      </c>
      <c r="CT114" s="12">
        <f>IF('Données projet'!$A$140&gt;35,CT113+CS114-DB113,IF(A114&lt;'Données projet'!$A$140,$CQ$205^A114,IF(A114='Données projet'!$A$140,'Données projet'!$B$140,CT113+CS114-DB113)))</f>
        <v>360.7650000000005</v>
      </c>
      <c r="CU114" s="17">
        <f>CT114*VLOOKUP('Données projet'!$B$13,Paramètres!$A$1:$I$89,3,0)*VLOOKUP('Données projet'!$B$13,Paramètres!$A$1:$I$89,5,0)</f>
        <v>410.83918200000056</v>
      </c>
      <c r="CV114" s="13">
        <f t="shared" si="95"/>
        <v>93.970711838533532</v>
      </c>
      <c r="CW114" s="20">
        <f t="shared" si="67"/>
        <v>879.21056510211349</v>
      </c>
      <c r="CX114" s="59">
        <f t="shared" si="68"/>
        <v>1159.4039273967371</v>
      </c>
      <c r="CY114" s="59">
        <f ca="1">AVERAGE(OFFSET($CX$3,0,0,'Données projet'!$E$13+1,1))-AVERAGE(OFFSET($H$3,0,0,'Données projet'!$E$13+1,1))</f>
        <v>765.9523557587147</v>
      </c>
      <c r="CZ114" s="59">
        <f t="shared" si="96"/>
        <v>347.40395092312815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63.17969943172227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63.17969943172227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146.15384615384625</v>
      </c>
      <c r="DP114" s="17">
        <f>DO114*VLOOKUP('Données projet'!$B$14,Paramètres!$A$1:$I$89,3,0)*VLOOKUP('Données projet'!$B$14,Paramètres!$A$1:$I$89,5,0)</f>
        <v>127.68000000000011</v>
      </c>
      <c r="DQ114" s="13">
        <f t="shared" si="97"/>
        <v>33.45971491465221</v>
      </c>
      <c r="DR114" s="20">
        <f t="shared" si="70"/>
        <v>280.65167014301943</v>
      </c>
      <c r="DS114" s="59">
        <f t="shared" si="71"/>
        <v>560.845032437643</v>
      </c>
      <c r="DT114" s="59">
        <f ca="1">AVERAGE(OFFSET($DS$3,0,0,'Données projet'!$E$14+1,1))-AVERAGE(OFFSET($H$3,0,0,'Données projet'!$E$14+1,1))</f>
        <v>253.82888243490106</v>
      </c>
      <c r="DU114" s="59">
        <f t="shared" si="98"/>
        <v>224.11983819941796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15.377076787347917</v>
      </c>
      <c r="EB114" s="21">
        <f>EXP(-LN(2)/25)*EB113+(1-EXP(-LN(2)/25))/(LN(2)/25)*Calculateur!DW114*Calculateur!DY114*VLOOKUP('Données projet'!$B$14,Paramètres!$A$1:$I$89,3,0)*0.475*44/12</f>
        <v>6.5048020057680604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21.881878793115977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-4.5474735088646412E-13</v>
      </c>
      <c r="O115" s="13">
        <f>N115*VLOOKUP('Données projet'!$B$9,Paramètres!$A$1:$I$89,3,0)*VLOOKUP('Données projet'!$B$9,Paramètres!$A$1:$I$89,5,0)</f>
        <v>-2.1282176021486519E-13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387.50901594883317</v>
      </c>
      <c r="T115" s="59">
        <f t="shared" si="88"/>
        <v>361.3623790401972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179.70857066061635</v>
      </c>
      <c r="AA115" s="21">
        <f>EXP(-LN(2)/25)*AA114+(1-EXP(-LN(2)/25))/(LN(2)/25)*Calculateur!V115*Calculateur!X115*VLOOKUP('Données projet'!$B$9,Paramètres!$A$1:$I$89,3,0)*0.475*44/12</f>
        <v>69.394903866541114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249.10347452715746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373.47758082856359</v>
      </c>
      <c r="AO115" s="59">
        <f t="shared" si="90"/>
        <v>277.24895424120166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91.28944741189656</v>
      </c>
      <c r="AV115" s="21">
        <f>EXP(-LN(2)/25)*AV114+(1-EXP(-LN(2)/25))/(LN(2)/25)*Calculateur!AQ115*Calculateur!AS115*VLOOKUP('Données projet'!$B$10,Paramètres!$A$1:$I$89,3,0)*0.475*44/12</f>
        <v>33.249149189734439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124.538596601631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7.9349999999999969</v>
      </c>
      <c r="BD115" s="12">
        <f>IF('Données projet'!$A$88&gt;35,BD114+BC115-BL114,IF(A115&lt;'Données projet'!$A$88,$BA$205^A115,IF(A115='Données projet'!$A$88,'Données projet'!$B$88,BD114+BC115-BL114)))</f>
        <v>368.7000000000005</v>
      </c>
      <c r="BE115" s="13">
        <f>BD115*VLOOKUP('Données projet'!$B$11,Paramètres!$A$1:$I$89,3,0)*VLOOKUP('Données projet'!$B$11,Paramètres!$A$1:$I$89,5,0)</f>
        <v>333.59976000000046</v>
      </c>
      <c r="BF115" s="13">
        <f t="shared" si="91"/>
        <v>78.17615735915706</v>
      </c>
      <c r="BG115" s="20">
        <f t="shared" si="61"/>
        <v>717.17638940053257</v>
      </c>
      <c r="BH115" s="59">
        <f t="shared" si="62"/>
        <v>997.5977008161035</v>
      </c>
      <c r="BI115" s="59">
        <f ca="1">AVERAGE(OFFSET($BH$3,0,0,'Données projet'!$E$11+1,1))-AVERAGE(OFFSET($H$3,0,0,'Données projet'!$E$11+1,1))</f>
        <v>627.65081154031589</v>
      </c>
      <c r="BJ115" s="59">
        <f t="shared" si="92"/>
        <v>288.78083487077618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49.213225692839835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49.213225692839835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7.9349999999999969</v>
      </c>
      <c r="BY115" s="12">
        <f>IF('Données projet'!$A$114&gt;35,BY114+BX115-CG114,IF(A115&lt;'Données projet'!$A$114,$BV$205^A115,IF(A115='Données projet'!$A$114,'Données projet'!$B$114,BY114+BX115-CG114)))</f>
        <v>368.7000000000005</v>
      </c>
      <c r="BZ115" s="13">
        <f>BY115*VLOOKUP('Données projet'!$B$12,Paramètres!$A$1:$I$89,3,0)*VLOOKUP('Données projet'!$B$12,Paramètres!$A$1:$I$89,5,0)</f>
        <v>373.86180000000053</v>
      </c>
      <c r="CA115" s="13">
        <f t="shared" si="93"/>
        <v>86.456885445094045</v>
      </c>
      <c r="CB115" s="20">
        <f t="shared" si="64"/>
        <v>801.7217104835396</v>
      </c>
      <c r="CC115" s="59">
        <f t="shared" si="65"/>
        <v>1082.1430218991104</v>
      </c>
      <c r="CD115" s="59">
        <f ca="1">AVERAGE(OFFSET($CC$3,0,0,'Données projet'!$E$12+1,1))-AVERAGE(OFFSET($H$3,0,0,'Données projet'!$E$12+1,1))</f>
        <v>692.2706942067415</v>
      </c>
      <c r="CE115" s="59">
        <f t="shared" si="94"/>
        <v>316.17529091924803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55.152752931630864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55.152752931630864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7.9349999999999969</v>
      </c>
      <c r="CT115" s="12">
        <f>IF('Données projet'!$A$140&gt;35,CT114+CS115-DB114,IF(A115&lt;'Données projet'!$A$140,$CQ$205^A115,IF(A115='Données projet'!$A$140,'Données projet'!$B$140,CT114+CS115-DB114)))</f>
        <v>368.7000000000005</v>
      </c>
      <c r="CU115" s="17">
        <f>CT115*VLOOKUP('Données projet'!$B$13,Paramètres!$A$1:$I$89,3,0)*VLOOKUP('Données projet'!$B$13,Paramètres!$A$1:$I$89,5,0)</f>
        <v>419.87556000000058</v>
      </c>
      <c r="CV115" s="13">
        <f t="shared" si="95"/>
        <v>95.794687180831971</v>
      </c>
      <c r="CW115" s="20">
        <f t="shared" si="67"/>
        <v>898.12568050661673</v>
      </c>
      <c r="CX115" s="59">
        <f t="shared" si="68"/>
        <v>1178.5469919221875</v>
      </c>
      <c r="CY115" s="59">
        <f ca="1">AVERAGE(OFFSET($CX$3,0,0,'Données projet'!$E$13+1,1))-AVERAGE(OFFSET($H$3,0,0,'Données projet'!$E$13+1,1))</f>
        <v>765.9523557587147</v>
      </c>
      <c r="CZ115" s="59">
        <f t="shared" si="96"/>
        <v>347.40395092312815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61.940784061677753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61.940784061677753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146.15384615384625</v>
      </c>
      <c r="DP115" s="17">
        <f>DO115*VLOOKUP('Données projet'!$B$14,Paramètres!$A$1:$I$89,3,0)*VLOOKUP('Données projet'!$B$14,Paramètres!$A$1:$I$89,5,0)</f>
        <v>127.68000000000011</v>
      </c>
      <c r="DQ115" s="13">
        <f t="shared" si="97"/>
        <v>33.45971491465221</v>
      </c>
      <c r="DR115" s="20">
        <f t="shared" si="70"/>
        <v>280.65167014301943</v>
      </c>
      <c r="DS115" s="59">
        <f t="shared" si="71"/>
        <v>561.0729815585903</v>
      </c>
      <c r="DT115" s="59">
        <f ca="1">AVERAGE(OFFSET($DS$3,0,0,'Données projet'!$E$14+1,1))-AVERAGE(OFFSET($H$3,0,0,'Données projet'!$E$14+1,1))</f>
        <v>253.82888243490106</v>
      </c>
      <c r="DU115" s="59">
        <f t="shared" si="98"/>
        <v>224.11983819941796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15.075541690638756</v>
      </c>
      <c r="EB115" s="21">
        <f>EXP(-LN(2)/25)*EB114+(1-EXP(-LN(2)/25))/(LN(2)/25)*Calculateur!DW115*Calculateur!DY115*VLOOKUP('Données projet'!$B$14,Paramètres!$A$1:$I$89,3,0)*0.475*44/12</f>
        <v>6.3269278528476622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21.402469543486419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-4.5474735088646412E-13</v>
      </c>
      <c r="O116" s="13">
        <f>N116*VLOOKUP('Données projet'!$B$9,Paramètres!$A$1:$I$89,3,0)*VLOOKUP('Données projet'!$B$9,Paramètres!$A$1:$I$89,5,0)</f>
        <v>-2.1282176021486519E-13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387.50901594883317</v>
      </c>
      <c r="T116" s="59">
        <f t="shared" si="88"/>
        <v>361.3623790401972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176.18459520136653</v>
      </c>
      <c r="AA116" s="21">
        <f>EXP(-LN(2)/25)*AA115+(1-EXP(-LN(2)/25))/(LN(2)/25)*Calculateur!V116*Calculateur!X116*VLOOKUP('Données projet'!$B$9,Paramètres!$A$1:$I$89,3,0)*0.475*44/12</f>
        <v>67.497296570991153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243.68189177235769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373.47758082856359</v>
      </c>
      <c r="AO116" s="59">
        <f t="shared" si="90"/>
        <v>277.24895424120166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89.49931702921414</v>
      </c>
      <c r="AV116" s="21">
        <f>EXP(-LN(2)/25)*AV115+(1-EXP(-LN(2)/25))/(LN(2)/25)*Calculateur!AQ116*Calculateur!AS116*VLOOKUP('Données projet'!$B$10,Paramètres!$A$1:$I$89,3,0)*0.475*44/12</f>
        <v>32.339949456644383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121.83926648585853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7.9349999999999969</v>
      </c>
      <c r="BD116" s="12">
        <f>IF('Données projet'!$A$88&gt;35,BD115+BC116-BL115,IF(A116&lt;'Données projet'!$A$88,$BA$205^A116,IF(A116='Données projet'!$A$88,'Données projet'!$B$88,BD115+BC116-BL115)))</f>
        <v>376.6350000000005</v>
      </c>
      <c r="BE116" s="13">
        <f>BD116*VLOOKUP('Données projet'!$B$11,Paramètres!$A$1:$I$89,3,0)*VLOOKUP('Données projet'!$B$11,Paramètres!$A$1:$I$89,5,0)</f>
        <v>340.77934800000043</v>
      </c>
      <c r="BF116" s="13">
        <f t="shared" si="91"/>
        <v>79.660943190415296</v>
      </c>
      <c r="BG116" s="20">
        <f t="shared" si="61"/>
        <v>732.26684048997402</v>
      </c>
      <c r="BH116" s="59">
        <f t="shared" si="62"/>
        <v>1012.9121466188617</v>
      </c>
      <c r="BI116" s="59">
        <f ca="1">AVERAGE(OFFSET($BH$3,0,0,'Données projet'!$E$11+1,1))-AVERAGE(OFFSET($H$3,0,0,'Données projet'!$E$11+1,1))</f>
        <v>627.65081154031589</v>
      </c>
      <c r="BJ116" s="59">
        <f t="shared" si="92"/>
        <v>288.78083487077618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48.248184354106975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48.248184354106975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7.9349999999999969</v>
      </c>
      <c r="BY116" s="12">
        <f>IF('Données projet'!$A$114&gt;35,BY115+BX116-CG115,IF(A116&lt;'Données projet'!$A$114,$BV$205^A116,IF(A116='Données projet'!$A$114,'Données projet'!$B$114,BY115+BX116-CG115)))</f>
        <v>376.6350000000005</v>
      </c>
      <c r="BZ116" s="13">
        <f>BY116*VLOOKUP('Données projet'!$B$12,Paramètres!$A$1:$I$89,3,0)*VLOOKUP('Données projet'!$B$12,Paramètres!$A$1:$I$89,5,0)</f>
        <v>381.90789000000052</v>
      </c>
      <c r="CA116" s="13">
        <f t="shared" si="93"/>
        <v>88.098945669848248</v>
      </c>
      <c r="CB116" s="20">
        <f t="shared" si="64"/>
        <v>818.59523879165329</v>
      </c>
      <c r="CC116" s="59">
        <f t="shared" si="65"/>
        <v>1099.240544920541</v>
      </c>
      <c r="CD116" s="59">
        <f ca="1">AVERAGE(OFFSET($CC$3,0,0,'Données projet'!$E$12+1,1))-AVERAGE(OFFSET($H$3,0,0,'Données projet'!$E$12+1,1))</f>
        <v>692.2706942067415</v>
      </c>
      <c r="CE116" s="59">
        <f t="shared" si="94"/>
        <v>316.17529091924803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54.071241086499214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54.071241086499214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7.9349999999999969</v>
      </c>
      <c r="CT116" s="12">
        <f>IF('Données projet'!$A$140&gt;35,CT115+CS116-DB115,IF(A116&lt;'Données projet'!$A$140,$CQ$205^A116,IF(A116='Données projet'!$A$140,'Données projet'!$B$140,CT115+CS116-DB115)))</f>
        <v>376.6350000000005</v>
      </c>
      <c r="CU116" s="17">
        <f>CT116*VLOOKUP('Données projet'!$B$13,Paramètres!$A$1:$I$89,3,0)*VLOOKUP('Données projet'!$B$13,Paramètres!$A$1:$I$89,5,0)</f>
        <v>428.91193800000059</v>
      </c>
      <c r="CV116" s="13">
        <f t="shared" si="95"/>
        <v>97.614098610616793</v>
      </c>
      <c r="CW116" s="20">
        <f t="shared" si="67"/>
        <v>917.03284709682532</v>
      </c>
      <c r="CX116" s="59">
        <f t="shared" si="68"/>
        <v>1197.678153225713</v>
      </c>
      <c r="CY116" s="59">
        <f ca="1">AVERAGE(OFFSET($CX$3,0,0,'Données projet'!$E$13+1,1))-AVERAGE(OFFSET($H$3,0,0,'Données projet'!$E$13+1,1))</f>
        <v>765.9523557587147</v>
      </c>
      <c r="CZ116" s="59">
        <f t="shared" si="96"/>
        <v>347.40395092312815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60.726163066376053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60.726163066376053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146.15384615384625</v>
      </c>
      <c r="DP116" s="17">
        <f>DO116*VLOOKUP('Données projet'!$B$14,Paramètres!$A$1:$I$89,3,0)*VLOOKUP('Données projet'!$B$14,Paramètres!$A$1:$I$89,5,0)</f>
        <v>127.68000000000011</v>
      </c>
      <c r="DQ116" s="13">
        <f t="shared" si="97"/>
        <v>33.45971491465221</v>
      </c>
      <c r="DR116" s="20">
        <f t="shared" si="70"/>
        <v>280.65167014301943</v>
      </c>
      <c r="DS116" s="59">
        <f t="shared" si="71"/>
        <v>561.29697627190706</v>
      </c>
      <c r="DT116" s="59">
        <f ca="1">AVERAGE(OFFSET($DS$3,0,0,'Données projet'!$E$14+1,1))-AVERAGE(OFFSET($H$3,0,0,'Données projet'!$E$14+1,1))</f>
        <v>253.82888243490106</v>
      </c>
      <c r="DU116" s="59">
        <f t="shared" si="98"/>
        <v>224.11983819941796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14.779919513257815</v>
      </c>
      <c r="EB116" s="21">
        <f>EXP(-LN(2)/25)*EB115+(1-EXP(-LN(2)/25))/(LN(2)/25)*Calculateur!DW116*Calculateur!DY116*VLOOKUP('Données projet'!$B$14,Paramètres!$A$1:$I$89,3,0)*0.475*44/12</f>
        <v>6.1539176779928679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20.933837191250682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-4.5474735088646412E-13</v>
      </c>
      <c r="O117" s="13">
        <f>N117*VLOOKUP('Données projet'!$B$9,Paramètres!$A$1:$I$89,3,0)*VLOOKUP('Données projet'!$B$9,Paramètres!$A$1:$I$89,5,0)</f>
        <v>-2.1282176021486519E-13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387.50901594883317</v>
      </c>
      <c r="T117" s="59">
        <f t="shared" si="88"/>
        <v>361.3623790401972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172.72972275145983</v>
      </c>
      <c r="AA117" s="21">
        <f>EXP(-LN(2)/25)*AA116+(1-EXP(-LN(2)/25))/(LN(2)/25)*Calculateur!V117*Calculateur!X117*VLOOKUP('Données projet'!$B$9,Paramètres!$A$1:$I$89,3,0)*0.475*44/12</f>
        <v>65.651579446728846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238.38130219818868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373.47758082856359</v>
      </c>
      <c r="AO117" s="59">
        <f t="shared" si="90"/>
        <v>277.24895424120166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87.7442900114644</v>
      </c>
      <c r="AV117" s="21">
        <f>EXP(-LN(2)/25)*AV116+(1-EXP(-LN(2)/25))/(LN(2)/25)*Calculateur!AQ117*Calculateur!AS117*VLOOKUP('Données projet'!$B$10,Paramètres!$A$1:$I$89,3,0)*0.475*44/12</f>
        <v>31.455611838068414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119.19990184953281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>
        <f>VLOOKUP(A117,'Données projet'!$A$87:$I$107,2,0)</f>
        <v>384.57</v>
      </c>
      <c r="BB117" s="12">
        <f>VLOOKUP(A117,'Données projet'!$A$87:$I$107,9,0)</f>
        <v>7.9349999999999969</v>
      </c>
      <c r="BC117" s="12">
        <f t="array" ref="BC117">INDEX(BB:BB,MIN(IF(ISNUMBER(BB117:BB313),ROW(BB117:BB313),"")))</f>
        <v>7.9349999999999969</v>
      </c>
      <c r="BD117" s="12">
        <f>IF('Données projet'!$A$88&gt;35,BD116+BC117-BL116,IF(A117&lt;'Données projet'!$A$88,$BA$205^A117,IF(A117='Données projet'!$A$88,'Données projet'!$B$88,BD116+BC117-BL116)))</f>
        <v>384.5700000000005</v>
      </c>
      <c r="BE117" s="13">
        <f>BD117*VLOOKUP('Données projet'!$B$11,Paramètres!$A$1:$I$89,3,0)*VLOOKUP('Données projet'!$B$11,Paramètres!$A$1:$I$89,5,0)</f>
        <v>347.95893600000045</v>
      </c>
      <c r="BF117" s="13">
        <f t="shared" si="91"/>
        <v>81.142092010767954</v>
      </c>
      <c r="BG117" s="20">
        <f t="shared" si="61"/>
        <v>747.35095711875499</v>
      </c>
      <c r="BH117" s="59">
        <f t="shared" si="62"/>
        <v>1028.2163721534605</v>
      </c>
      <c r="BI117" s="59">
        <f ca="1">AVERAGE(OFFSET($BH$3,0,0,'Données projet'!$E$11+1,1))-AVERAGE(OFFSET($H$3,0,0,'Données projet'!$E$11+1,1))</f>
        <v>627.65081154031589</v>
      </c>
      <c r="BJ117" s="59">
        <f t="shared" si="92"/>
        <v>288.78083487077618</v>
      </c>
      <c r="BK117" s="15">
        <f>IF(ISNA(VLOOKUP(A117,'Données projet'!$A$87:$I$107,3,0)),0,VLOOKUP(A117,'Données projet'!$A$87:$I$107,3,0))</f>
        <v>9</v>
      </c>
      <c r="BL117" s="15">
        <f>IF(ISNA(VLOOKUP(A117,'Données projet'!$A$87:$I$107,4,0)),0,VLOOKUP(A117,'Données projet'!$A$87:$I$107,4,0))</f>
        <v>56.07</v>
      </c>
      <c r="BM117" s="16">
        <f>IF(ISNA(VLOOKUP(A117,'Données projet'!$A$87:$I$107,5,0)),0%,VLOOKUP(A117,'Données projet'!$A$87:$I$107,5,0)*VLOOKUP('Données projet'!$B$11,Paramètres!$A$1:$I$89,7,0))</f>
        <v>0.25800000000000001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61.771448286126386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61.771448286126386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384.57</v>
      </c>
      <c r="BW117" s="12">
        <f>VLOOKUP(A117,'Données projet'!$A$113:$I$133,9,0)</f>
        <v>7.9349999999999969</v>
      </c>
      <c r="BX117" s="12">
        <f t="array" ref="BX117">INDEX(BW:BW,MIN(IF(ISNUMBER(BW117:BW313),ROW(BW117:BW313),"")))</f>
        <v>7.9349999999999969</v>
      </c>
      <c r="BY117" s="12">
        <f>IF('Données projet'!$A$114&gt;35,BY116+BX117-CG116,IF(A117&lt;'Données projet'!$A$114,$BV$205^A117,IF(A117='Données projet'!$A$114,'Données projet'!$B$114,BY116+BX117-CG116)))</f>
        <v>384.5700000000005</v>
      </c>
      <c r="BZ117" s="13">
        <f>BY117*VLOOKUP('Données projet'!$B$12,Paramètres!$A$1:$I$89,3,0)*VLOOKUP('Données projet'!$B$12,Paramètres!$A$1:$I$89,5,0)</f>
        <v>389.95398000000051</v>
      </c>
      <c r="CA117" s="13">
        <f t="shared" si="93"/>
        <v>89.736983637102725</v>
      </c>
      <c r="CB117" s="20">
        <f t="shared" si="64"/>
        <v>835.46176166795476</v>
      </c>
      <c r="CC117" s="59">
        <f t="shared" si="65"/>
        <v>1116.3271767026602</v>
      </c>
      <c r="CD117" s="59">
        <f ca="1">AVERAGE(OFFSET($CC$3,0,0,'Données projet'!$E$12+1,1))-AVERAGE(OFFSET($H$3,0,0,'Données projet'!$E$12+1,1))</f>
        <v>692.2706942067415</v>
      </c>
      <c r="CE117" s="59">
        <f t="shared" si="94"/>
        <v>316.17529091924803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0.25800000000000001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69.226623079279591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69.226623079279591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>
        <f>VLOOKUP(A117,'Données projet'!$A$139:$I$159,2,0)</f>
        <v>384.57</v>
      </c>
      <c r="CR117" s="12">
        <f>VLOOKUP(A117,'Données projet'!$A$139:$I$159,9,0)</f>
        <v>7.9349999999999969</v>
      </c>
      <c r="CS117" s="12">
        <f t="array" ref="CS117">INDEX(CR:CR,MIN(IF(ISNUMBER(CR117:CR313),ROW(CR117:CR313),"")))</f>
        <v>7.9349999999999969</v>
      </c>
      <c r="CT117" s="12">
        <f>IF('Données projet'!$A$140&gt;35,CT116+CS117-DB116,IF(A117&lt;'Données projet'!$A$140,$CQ$205^A117,IF(A117='Données projet'!$A$140,'Données projet'!$B$140,CT116+CS117-DB116)))</f>
        <v>384.5700000000005</v>
      </c>
      <c r="CU117" s="17">
        <f>CT117*VLOOKUP('Données projet'!$B$13,Paramètres!$A$1:$I$89,3,0)*VLOOKUP('Données projet'!$B$13,Paramètres!$A$1:$I$89,5,0)</f>
        <v>437.9483160000006</v>
      </c>
      <c r="CV117" s="13">
        <f t="shared" si="95"/>
        <v>99.429053357779594</v>
      </c>
      <c r="CW117" s="20">
        <f t="shared" si="67"/>
        <v>935.93225163146724</v>
      </c>
      <c r="CX117" s="59">
        <f t="shared" si="68"/>
        <v>1216.7976666661727</v>
      </c>
      <c r="CY117" s="59">
        <f ca="1">AVERAGE(OFFSET($CX$3,0,0,'Données projet'!$E$13+1,1))-AVERAGE(OFFSET($H$3,0,0,'Données projet'!$E$13+1,1))</f>
        <v>765.9523557587147</v>
      </c>
      <c r="CZ117" s="59">
        <f t="shared" si="96"/>
        <v>347.40395092312815</v>
      </c>
      <c r="DA117" s="15">
        <f>IF(ISNA(VLOOKUP(A117,'Données projet'!$A$139:$I$159,3,0)),0,VLOOKUP(A117,'Données projet'!$A$139:$I$159,3,0))</f>
        <v>9</v>
      </c>
      <c r="DB117" s="15">
        <f>IF(ISNA(VLOOKUP(A117,'Données projet'!$A$139:$I$159,4,0)),0,VLOOKUP(A117,'Données projet'!$A$139:$I$159,4,0))</f>
        <v>56.07</v>
      </c>
      <c r="DC117" s="16">
        <f>IF(ISNA(VLOOKUP(A117,'Données projet'!$A$139:$I$159,5,0)),0%,VLOOKUP(A117,'Données projet'!$A$139:$I$159,5,0)*VLOOKUP('Données projet'!$B$13,Paramètres!$A$1:$I$89,7,0))</f>
        <v>0.25800000000000001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77.746822842883233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77.746822842883233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146.15384615384625</v>
      </c>
      <c r="DP117" s="17">
        <f>DO117*VLOOKUP('Données projet'!$B$14,Paramètres!$A$1:$I$89,3,0)*VLOOKUP('Données projet'!$B$14,Paramètres!$A$1:$I$89,5,0)</f>
        <v>127.68000000000011</v>
      </c>
      <c r="DQ117" s="13">
        <f t="shared" si="97"/>
        <v>33.45971491465221</v>
      </c>
      <c r="DR117" s="20">
        <f t="shared" si="70"/>
        <v>280.65167014301943</v>
      </c>
      <c r="DS117" s="59">
        <f t="shared" si="71"/>
        <v>561.51708517772488</v>
      </c>
      <c r="DT117" s="59">
        <f ca="1">AVERAGE(OFFSET($DS$3,0,0,'Données projet'!$E$14+1,1))-AVERAGE(OFFSET($H$3,0,0,'Données projet'!$E$14+1,1))</f>
        <v>253.82888243490106</v>
      </c>
      <c r="DU117" s="59">
        <f t="shared" si="98"/>
        <v>224.11983819941796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14.490094306463588</v>
      </c>
      <c r="EB117" s="21">
        <f>EXP(-LN(2)/25)*EB116+(1-EXP(-LN(2)/25))/(LN(2)/25)*Calculateur!DW117*Calculateur!DY117*VLOOKUP('Données projet'!$B$14,Paramètres!$A$1:$I$89,3,0)*0.475*44/12</f>
        <v>5.9856384754676872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20.475732781931274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-4.5474735088646412E-13</v>
      </c>
      <c r="O118" s="13">
        <f>N118*VLOOKUP('Données projet'!$B$9,Paramètres!$A$1:$I$89,3,0)*VLOOKUP('Données projet'!$B$9,Paramètres!$A$1:$I$89,5,0)</f>
        <v>-2.1282176021486519E-13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387.50901594883317</v>
      </c>
      <c r="T118" s="59">
        <f t="shared" si="88"/>
        <v>361.3623790401972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169.34259824303166</v>
      </c>
      <c r="AA118" s="21">
        <f>EXP(-LN(2)/25)*AA117+(1-EXP(-LN(2)/25))/(LN(2)/25)*Calculateur!V118*Calculateur!X118*VLOOKUP('Données projet'!$B$9,Paramètres!$A$1:$I$89,3,0)*0.475*44/12</f>
        <v>63.856333554291531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233.19893179732318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373.47758082856359</v>
      </c>
      <c r="AO118" s="59">
        <f t="shared" si="90"/>
        <v>277.24895424120166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86.02367800307195</v>
      </c>
      <c r="AV118" s="21">
        <f>EXP(-LN(2)/25)*AV117+(1-EXP(-LN(2)/25))/(LN(2)/25)*Calculateur!AQ118*Calculateur!AS118*VLOOKUP('Données projet'!$B$10,Paramètres!$A$1:$I$89,3,0)*0.475*44/12</f>
        <v>30.595456478177699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116.61913448124965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7.9920000000000018</v>
      </c>
      <c r="BD118" s="12">
        <f>IF('Données projet'!$A$88&gt;35,BD117+BC118-BL117,IF(A118&lt;'Données projet'!$A$88,$BA$205^A118,IF(A118='Données projet'!$A$88,'Données projet'!$B$88,BD117+BC118-BL117)))</f>
        <v>336.49200000000053</v>
      </c>
      <c r="BE118" s="13">
        <f>BD118*VLOOKUP('Données projet'!$B$11,Paramètres!$A$1:$I$89,3,0)*VLOOKUP('Données projet'!$B$11,Paramètres!$A$1:$I$89,5,0)</f>
        <v>304.45796160000049</v>
      </c>
      <c r="BF118" s="13">
        <f t="shared" si="91"/>
        <v>72.11021964481435</v>
      </c>
      <c r="BG118" s="20">
        <f t="shared" si="61"/>
        <v>655.85624900138566</v>
      </c>
      <c r="BH118" s="59">
        <f t="shared" si="62"/>
        <v>936.93795454448286</v>
      </c>
      <c r="BI118" s="59">
        <f ca="1">AVERAGE(OFFSET($BH$3,0,0,'Données projet'!$E$11+1,1))-AVERAGE(OFFSET($H$3,0,0,'Données projet'!$E$11+1,1))</f>
        <v>627.65081154031589</v>
      </c>
      <c r="BJ118" s="59">
        <f t="shared" si="92"/>
        <v>288.78083487077618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60.560147862098624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60.560147862098624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7.9920000000000018</v>
      </c>
      <c r="BY118" s="12">
        <f>IF('Données projet'!$A$114&gt;35,BY117+BX118-CG117,IF(A118&lt;'Données projet'!$A$114,$BV$205^A118,IF(A118='Données projet'!$A$114,'Données projet'!$B$114,BY117+BX118-CG117)))</f>
        <v>336.49200000000053</v>
      </c>
      <c r="BZ118" s="13">
        <f>BY118*VLOOKUP('Données projet'!$B$12,Paramètres!$A$1:$I$89,3,0)*VLOOKUP('Données projet'!$B$12,Paramètres!$A$1:$I$89,5,0)</f>
        <v>341.2028880000006</v>
      </c>
      <c r="CA118" s="13">
        <f t="shared" si="93"/>
        <v>79.748419593074587</v>
      </c>
      <c r="CB118" s="20">
        <f t="shared" si="64"/>
        <v>733.15686072460585</v>
      </c>
      <c r="CC118" s="59">
        <f t="shared" si="65"/>
        <v>1014.2385662677032</v>
      </c>
      <c r="CD118" s="59">
        <f ca="1">AVERAGE(OFFSET($CC$3,0,0,'Données projet'!$E$12+1,1))-AVERAGE(OFFSET($H$3,0,0,'Données projet'!$E$12+1,1))</f>
        <v>692.2706942067415</v>
      </c>
      <c r="CE118" s="59">
        <f t="shared" si="94"/>
        <v>316.17529091924803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67.869131224765709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67.869131224765709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7.9920000000000018</v>
      </c>
      <c r="CT118" s="12">
        <f>IF('Données projet'!$A$140&gt;35,CT117+CS118-DB117,IF(A118&lt;'Données projet'!$A$140,$CQ$205^A118,IF(A118='Données projet'!$A$140,'Données projet'!$B$140,CT117+CS118-DB117)))</f>
        <v>336.49200000000053</v>
      </c>
      <c r="CU118" s="17">
        <f>CT118*VLOOKUP('Données projet'!$B$13,Paramètres!$A$1:$I$89,3,0)*VLOOKUP('Données projet'!$B$13,Paramètres!$A$1:$I$89,5,0)</f>
        <v>383.1970896000006</v>
      </c>
      <c r="CV118" s="13">
        <f t="shared" si="95"/>
        <v>88.361671470757386</v>
      </c>
      <c r="CW118" s="20">
        <f t="shared" si="67"/>
        <v>821.29817553157011</v>
      </c>
      <c r="CX118" s="59">
        <f t="shared" si="68"/>
        <v>1102.3798810746673</v>
      </c>
      <c r="CY118" s="59">
        <f ca="1">AVERAGE(OFFSET($CX$3,0,0,'Données projet'!$E$13+1,1))-AVERAGE(OFFSET($H$3,0,0,'Données projet'!$E$13+1,1))</f>
        <v>765.9523557587147</v>
      </c>
      <c r="CZ118" s="59">
        <f t="shared" si="96"/>
        <v>347.40395092312815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76.222255067813805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76.222255067813805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146.15384615384625</v>
      </c>
      <c r="DP118" s="17">
        <f>DO118*VLOOKUP('Données projet'!$B$14,Paramètres!$A$1:$I$89,3,0)*VLOOKUP('Données projet'!$B$14,Paramètres!$A$1:$I$89,5,0)</f>
        <v>127.68000000000011</v>
      </c>
      <c r="DQ118" s="13">
        <f t="shared" si="97"/>
        <v>33.45971491465221</v>
      </c>
      <c r="DR118" s="20">
        <f t="shared" si="70"/>
        <v>280.65167014301943</v>
      </c>
      <c r="DS118" s="59">
        <f t="shared" si="71"/>
        <v>561.73337568611669</v>
      </c>
      <c r="DT118" s="59">
        <f ca="1">AVERAGE(OFFSET($DS$3,0,0,'Données projet'!$E$14+1,1))-AVERAGE(OFFSET($H$3,0,0,'Données projet'!$E$14+1,1))</f>
        <v>253.82888243490106</v>
      </c>
      <c r="DU118" s="59">
        <f t="shared" si="98"/>
        <v>224.11983819941796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14.205952395198675</v>
      </c>
      <c r="EB118" s="21">
        <f>EXP(-LN(2)/25)*EB117+(1-EXP(-LN(2)/25))/(LN(2)/25)*Calculateur!DW118*Calculateur!DY118*VLOOKUP('Données projet'!$B$14,Paramètres!$A$1:$I$89,3,0)*0.475*44/12</f>
        <v>5.821960876584976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20.027913271783653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-4.5474735088646412E-13</v>
      </c>
      <c r="O119" s="13">
        <f>N119*VLOOKUP('Données projet'!$B$9,Paramètres!$A$1:$I$89,3,0)*VLOOKUP('Données projet'!$B$9,Paramètres!$A$1:$I$89,5,0)</f>
        <v>-2.1282176021486519E-13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387.50901594883317</v>
      </c>
      <c r="T119" s="59">
        <f t="shared" si="88"/>
        <v>361.3623790401972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166.0218931802718</v>
      </c>
      <c r="AA119" s="21">
        <f>EXP(-LN(2)/25)*AA118+(1-EXP(-LN(2)/25))/(LN(2)/25)*Calculateur!V119*Calculateur!X119*VLOOKUP('Données projet'!$B$9,Paramètres!$A$1:$I$89,3,0)*0.475*44/12</f>
        <v>62.110178755190795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228.13207193546259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373.47758082856359</v>
      </c>
      <c r="AO119" s="59">
        <f t="shared" si="90"/>
        <v>277.24895424120166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84.336806146694386</v>
      </c>
      <c r="AV119" s="21">
        <f>EXP(-LN(2)/25)*AV118+(1-EXP(-LN(2)/25))/(LN(2)/25)*Calculateur!AQ119*Calculateur!AS119*VLOOKUP('Données projet'!$B$10,Paramètres!$A$1:$I$89,3,0)*0.475*44/12</f>
        <v>29.7588221118368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114.09562825853118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7.9920000000000018</v>
      </c>
      <c r="BD119" s="12">
        <f>IF('Données projet'!$A$88&gt;35,BD118+BC119-BL118,IF(A119&lt;'Données projet'!$A$88,$BA$205^A119,IF(A119='Données projet'!$A$88,'Données projet'!$B$88,BD118+BC119-BL118)))</f>
        <v>344.48400000000055</v>
      </c>
      <c r="BE119" s="13">
        <f>BD119*VLOOKUP('Données projet'!$B$11,Paramètres!$A$1:$I$89,3,0)*VLOOKUP('Données projet'!$B$11,Paramètres!$A$1:$I$89,5,0)</f>
        <v>311.68912320000049</v>
      </c>
      <c r="BF119" s="13">
        <f t="shared" si="91"/>
        <v>73.621474685301479</v>
      </c>
      <c r="BG119" s="20">
        <f t="shared" si="61"/>
        <v>671.08262465023415</v>
      </c>
      <c r="BH119" s="59">
        <f t="shared" si="62"/>
        <v>952.37686854495564</v>
      </c>
      <c r="BI119" s="59">
        <f ca="1">AVERAGE(OFFSET($BH$3,0,0,'Données projet'!$E$11+1,1))-AVERAGE(OFFSET($H$3,0,0,'Données projet'!$E$11+1,1))</f>
        <v>627.65081154031589</v>
      </c>
      <c r="BJ119" s="59">
        <f t="shared" si="92"/>
        <v>288.78083487077618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59.372600300565736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59.372600300565736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7.9920000000000018</v>
      </c>
      <c r="BY119" s="12">
        <f>IF('Données projet'!$A$114&gt;35,BY118+BX119-CG118,IF(A119&lt;'Données projet'!$A$114,$BV$205^A119,IF(A119='Données projet'!$A$114,'Données projet'!$B$114,BY118+BX119-CG118)))</f>
        <v>344.48400000000055</v>
      </c>
      <c r="BZ119" s="13">
        <f>BY119*VLOOKUP('Données projet'!$B$12,Paramètres!$A$1:$I$89,3,0)*VLOOKUP('Données projet'!$B$12,Paramètres!$A$1:$I$89,5,0)</f>
        <v>349.30677600000058</v>
      </c>
      <c r="CA119" s="13">
        <f t="shared" si="93"/>
        <v>81.419752750490431</v>
      </c>
      <c r="CB119" s="20">
        <f t="shared" si="64"/>
        <v>750.18203757377194</v>
      </c>
      <c r="CC119" s="59">
        <f t="shared" si="65"/>
        <v>1031.4762814684934</v>
      </c>
      <c r="CD119" s="59">
        <f ca="1">AVERAGE(OFFSET($CC$3,0,0,'Données projet'!$E$12+1,1))-AVERAGE(OFFSET($H$3,0,0,'Données projet'!$E$12+1,1))</f>
        <v>692.2706942067415</v>
      </c>
      <c r="CE119" s="59">
        <f t="shared" si="94"/>
        <v>316.17529091924803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66.538258957530573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66.538258957530573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7.9920000000000018</v>
      </c>
      <c r="CT119" s="12">
        <f>IF('Données projet'!$A$140&gt;35,CT118+CS119-DB118,IF(A119&lt;'Données projet'!$A$140,$CQ$205^A119,IF(A119='Données projet'!$A$140,'Données projet'!$B$140,CT118+CS119-DB118)))</f>
        <v>344.48400000000055</v>
      </c>
      <c r="CU119" s="17">
        <f>CT119*VLOOKUP('Données projet'!$B$13,Paramètres!$A$1:$I$89,3,0)*VLOOKUP('Données projet'!$B$13,Paramètres!$A$1:$I$89,5,0)</f>
        <v>392.29837920000062</v>
      </c>
      <c r="CV119" s="13">
        <f t="shared" si="95"/>
        <v>90.213517465039473</v>
      </c>
      <c r="CW119" s="20">
        <f t="shared" si="67"/>
        <v>840.37488669161155</v>
      </c>
      <c r="CX119" s="59">
        <f t="shared" si="68"/>
        <v>1121.669130586333</v>
      </c>
      <c r="CY119" s="59">
        <f ca="1">AVERAGE(OFFSET($CX$3,0,0,'Données projet'!$E$13+1,1))-AVERAGE(OFFSET($H$3,0,0,'Données projet'!$E$13+1,1))</f>
        <v>765.9523557587147</v>
      </c>
      <c r="CZ119" s="59">
        <f t="shared" si="96"/>
        <v>347.40395092312815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74.727583136918966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74.727583136918966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146.15384615384625</v>
      </c>
      <c r="DP119" s="17">
        <f>DO119*VLOOKUP('Données projet'!$B$14,Paramètres!$A$1:$I$89,3,0)*VLOOKUP('Données projet'!$B$14,Paramètres!$A$1:$I$89,5,0)</f>
        <v>127.68000000000011</v>
      </c>
      <c r="DQ119" s="13">
        <f t="shared" si="97"/>
        <v>33.45971491465221</v>
      </c>
      <c r="DR119" s="20">
        <f t="shared" si="70"/>
        <v>280.65167014301943</v>
      </c>
      <c r="DS119" s="59">
        <f t="shared" si="71"/>
        <v>561.94591403774098</v>
      </c>
      <c r="DT119" s="59">
        <f ca="1">AVERAGE(OFFSET($DS$3,0,0,'Données projet'!$E$14+1,1))-AVERAGE(OFFSET($H$3,0,0,'Données projet'!$E$14+1,1))</f>
        <v>253.82888243490106</v>
      </c>
      <c r="DU119" s="59">
        <f t="shared" si="98"/>
        <v>224.11983819941796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13.927382333504214</v>
      </c>
      <c r="EB119" s="21">
        <f>EXP(-LN(2)/25)*EB118+(1-EXP(-LN(2)/25))/(LN(2)/25)*Calculateur!DW119*Calculateur!DY119*VLOOKUP('Données projet'!$B$14,Paramètres!$A$1:$I$89,3,0)*0.475*44/12</f>
        <v>5.662759050251144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19.590141383755359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-4.5474735088646412E-13</v>
      </c>
      <c r="O120" s="13">
        <f>N120*VLOOKUP('Données projet'!$B$9,Paramètres!$A$1:$I$89,3,0)*VLOOKUP('Données projet'!$B$9,Paramètres!$A$1:$I$89,5,0)</f>
        <v>-2.1282176021486519E-13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387.50901594883317</v>
      </c>
      <c r="T120" s="59">
        <f t="shared" si="88"/>
        <v>361.3623790401972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162.7663051183626</v>
      </c>
      <c r="AA120" s="21">
        <f>EXP(-LN(2)/25)*AA119+(1-EXP(-LN(2)/25))/(LN(2)/25)*Calculateur!V120*Calculateur!X120*VLOOKUP('Données projet'!$B$9,Paramètres!$A$1:$I$89,3,0)*0.475*44/12</f>
        <v>60.41177265089776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223.17807776926037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373.47758082856359</v>
      </c>
      <c r="AO120" s="59">
        <f t="shared" si="90"/>
        <v>277.24895424120166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82.683012818530145</v>
      </c>
      <c r="AV120" s="21">
        <f>EXP(-LN(2)/25)*AV119+(1-EXP(-LN(2)/25))/(LN(2)/25)*Calculateur!AQ120*Calculateur!AS120*VLOOKUP('Données projet'!$B$10,Paramètres!$A$1:$I$89,3,0)*0.475*44/12</f>
        <v>28.945065556240181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111.62807837477033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7.9920000000000018</v>
      </c>
      <c r="BD120" s="12">
        <f>IF('Données projet'!$A$88&gt;35,BD119+BC120-BL119,IF(A120&lt;'Données projet'!$A$88,$BA$205^A120,IF(A120='Données projet'!$A$88,'Données projet'!$B$88,BD119+BC120-BL119)))</f>
        <v>352.47600000000057</v>
      </c>
      <c r="BE120" s="13">
        <f>BD120*VLOOKUP('Données projet'!$B$11,Paramètres!$A$1:$I$89,3,0)*VLOOKUP('Données projet'!$B$11,Paramètres!$A$1:$I$89,5,0)</f>
        <v>318.9202848000005</v>
      </c>
      <c r="BF120" s="13">
        <f t="shared" si="91"/>
        <v>75.128653745521831</v>
      </c>
      <c r="BG120" s="20">
        <f t="shared" si="61"/>
        <v>686.30190130011806</v>
      </c>
      <c r="BH120" s="59">
        <f t="shared" si="62"/>
        <v>967.8049964812277</v>
      </c>
      <c r="BI120" s="59">
        <f ca="1">AVERAGE(OFFSET($BH$3,0,0,'Données projet'!$E$11+1,1))-AVERAGE(OFFSET($H$3,0,0,'Données projet'!$E$11+1,1))</f>
        <v>627.65081154031589</v>
      </c>
      <c r="BJ120" s="59">
        <f t="shared" si="92"/>
        <v>288.78083487077618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58.208339822382015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58.208339822382015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7.9920000000000018</v>
      </c>
      <c r="BY120" s="12">
        <f>IF('Données projet'!$A$114&gt;35,BY119+BX120-CG119,IF(A120&lt;'Données projet'!$A$114,$BV$205^A120,IF(A120='Données projet'!$A$114,'Données projet'!$B$114,BY119+BX120-CG119)))</f>
        <v>352.47600000000057</v>
      </c>
      <c r="BZ120" s="13">
        <f>BY120*VLOOKUP('Données projet'!$B$12,Paramètres!$A$1:$I$89,3,0)*VLOOKUP('Données projet'!$B$12,Paramètres!$A$1:$I$89,5,0)</f>
        <v>357.41066400000057</v>
      </c>
      <c r="CA120" s="13">
        <f t="shared" si="93"/>
        <v>83.086578183672941</v>
      </c>
      <c r="CB120" s="20">
        <f t="shared" si="64"/>
        <v>767.199363469898</v>
      </c>
      <c r="CC120" s="59">
        <f t="shared" si="65"/>
        <v>1048.7024586510076</v>
      </c>
      <c r="CD120" s="59">
        <f ca="1">AVERAGE(OFFSET($CC$3,0,0,'Données projet'!$E$12+1,1))-AVERAGE(OFFSET($H$3,0,0,'Données projet'!$E$12+1,1))</f>
        <v>692.2706942067415</v>
      </c>
      <c r="CE120" s="59">
        <f t="shared" si="94"/>
        <v>316.17529091924803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65.233484283703987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65.233484283703987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7.9920000000000018</v>
      </c>
      <c r="CT120" s="12">
        <f>IF('Données projet'!$A$140&gt;35,CT119+CS120-DB119,IF(A120&lt;'Données projet'!$A$140,$CQ$205^A120,IF(A120='Données projet'!$A$140,'Données projet'!$B$140,CT119+CS120-DB119)))</f>
        <v>352.47600000000057</v>
      </c>
      <c r="CU120" s="17">
        <f>CT120*VLOOKUP('Données projet'!$B$13,Paramètres!$A$1:$I$89,3,0)*VLOOKUP('Données projet'!$B$13,Paramètres!$A$1:$I$89,5,0)</f>
        <v>401.39966880000065</v>
      </c>
      <c r="CV120" s="13">
        <f t="shared" si="95"/>
        <v>92.060368876986018</v>
      </c>
      <c r="CW120" s="20">
        <f t="shared" si="67"/>
        <v>859.44289895408508</v>
      </c>
      <c r="CX120" s="59">
        <f t="shared" si="68"/>
        <v>1140.9459941351947</v>
      </c>
      <c r="CY120" s="59">
        <f ca="1">AVERAGE(OFFSET($CX$3,0,0,'Données projet'!$E$13+1,1))-AVERAGE(OFFSET($H$3,0,0,'Données projet'!$E$13+1,1))</f>
        <v>765.9523557587147</v>
      </c>
      <c r="CZ120" s="59">
        <f t="shared" si="96"/>
        <v>347.40395092312815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73.262220810929108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73.262220810929108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146.15384615384625</v>
      </c>
      <c r="DP120" s="17">
        <f>DO120*VLOOKUP('Données projet'!$B$14,Paramètres!$A$1:$I$89,3,0)*VLOOKUP('Données projet'!$B$14,Paramètres!$A$1:$I$89,5,0)</f>
        <v>127.68000000000011</v>
      </c>
      <c r="DQ120" s="13">
        <f t="shared" si="97"/>
        <v>33.45971491465221</v>
      </c>
      <c r="DR120" s="20">
        <f t="shared" si="70"/>
        <v>280.65167014301943</v>
      </c>
      <c r="DS120" s="59">
        <f t="shared" si="71"/>
        <v>562.15476532412913</v>
      </c>
      <c r="DT120" s="59">
        <f ca="1">AVERAGE(OFFSET($DS$3,0,0,'Données projet'!$E$14+1,1))-AVERAGE(OFFSET($H$3,0,0,'Données projet'!$E$14+1,1))</f>
        <v>253.82888243490106</v>
      </c>
      <c r="DU120" s="59">
        <f t="shared" si="98"/>
        <v>224.11983819941796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13.654274860808622</v>
      </c>
      <c r="EB120" s="21">
        <f>EXP(-LN(2)/25)*EB119+(1-EXP(-LN(2)/25))/(LN(2)/25)*Calculateur!DW120*Calculateur!DY120*VLOOKUP('Données projet'!$B$14,Paramètres!$A$1:$I$89,3,0)*0.475*44/12</f>
        <v>5.5079106062304701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19.162185467039091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-4.5474735088646412E-13</v>
      </c>
      <c r="O121" s="13">
        <f>N121*VLOOKUP('Données projet'!$B$9,Paramètres!$A$1:$I$89,3,0)*VLOOKUP('Données projet'!$B$9,Paramètres!$A$1:$I$89,5,0)</f>
        <v>-2.1282176021486519E-13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387.50901594883317</v>
      </c>
      <c r="T121" s="59">
        <f t="shared" si="88"/>
        <v>361.3623790401972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159.57455715263478</v>
      </c>
      <c r="AA121" s="21">
        <f>EXP(-LN(2)/25)*AA120+(1-EXP(-LN(2)/25))/(LN(2)/25)*Calculateur!V121*Calculateur!X121*VLOOKUP('Données projet'!$B$9,Paramètres!$A$1:$I$89,3,0)*0.475*44/12</f>
        <v>58.759809550841908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218.33436670347669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373.47758082856359</v>
      </c>
      <c r="AO121" s="59">
        <f t="shared" si="90"/>
        <v>277.24895424120166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81.061649368816873</v>
      </c>
      <c r="AV121" s="21">
        <f>EXP(-LN(2)/25)*AV120+(1-EXP(-LN(2)/25))/(LN(2)/25)*Calculateur!AQ121*Calculateur!AS121*VLOOKUP('Données projet'!$B$10,Paramètres!$A$1:$I$89,3,0)*0.475*44/12</f>
        <v>28.153561216449951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109.21521058526682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7.9920000000000018</v>
      </c>
      <c r="BD121" s="12">
        <f>IF('Données projet'!$A$88&gt;35,BD120+BC121-BL120,IF(A121&lt;'Données projet'!$A$88,$BA$205^A121,IF(A121='Données projet'!$A$88,'Données projet'!$B$88,BD120+BC121-BL120)))</f>
        <v>360.46800000000059</v>
      </c>
      <c r="BE121" s="13">
        <f>BD121*VLOOKUP('Données projet'!$B$11,Paramètres!$A$1:$I$89,3,0)*VLOOKUP('Données projet'!$B$11,Paramètres!$A$1:$I$89,5,0)</f>
        <v>326.15144640000051</v>
      </c>
      <c r="BF121" s="13">
        <f t="shared" si="91"/>
        <v>76.631859883081802</v>
      </c>
      <c r="BG121" s="20">
        <f t="shared" si="61"/>
        <v>701.51425844303503</v>
      </c>
      <c r="BH121" s="59">
        <f t="shared" si="62"/>
        <v>983.22258180763538</v>
      </c>
      <c r="BI121" s="59">
        <f ca="1">AVERAGE(OFFSET($BH$3,0,0,'Données projet'!$E$11+1,1))-AVERAGE(OFFSET($H$3,0,0,'Données projet'!$E$11+1,1))</f>
        <v>627.65081154031589</v>
      </c>
      <c r="BJ121" s="59">
        <f t="shared" si="92"/>
        <v>288.78083487077618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57.066909782046707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57.066909782046707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7.9920000000000018</v>
      </c>
      <c r="BY121" s="12">
        <f>IF('Données projet'!$A$114&gt;35,BY120+BX121-CG120,IF(A121&lt;'Données projet'!$A$114,$BV$205^A121,IF(A121='Données projet'!$A$114,'Données projet'!$B$114,BY120+BX121-CG120)))</f>
        <v>360.46800000000059</v>
      </c>
      <c r="BZ121" s="13">
        <f>BY121*VLOOKUP('Données projet'!$B$12,Paramètres!$A$1:$I$89,3,0)*VLOOKUP('Données projet'!$B$12,Paramètres!$A$1:$I$89,5,0)</f>
        <v>365.51455200000061</v>
      </c>
      <c r="CA121" s="13">
        <f t="shared" si="93"/>
        <v>84.749009866498071</v>
      </c>
      <c r="CB121" s="20">
        <f t="shared" si="64"/>
        <v>784.20903691748515</v>
      </c>
      <c r="CC121" s="59">
        <f t="shared" si="65"/>
        <v>1065.9173602820856</v>
      </c>
      <c r="CD121" s="59">
        <f ca="1">AVERAGE(OFFSET($CC$3,0,0,'Données projet'!$E$12+1,1))-AVERAGE(OFFSET($H$3,0,0,'Données projet'!$E$12+1,1))</f>
        <v>692.2706942067415</v>
      </c>
      <c r="CE121" s="59">
        <f t="shared" si="94"/>
        <v>316.17529091924803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63.954295445397179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63.954295445397179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7.9920000000000018</v>
      </c>
      <c r="CT121" s="12">
        <f>IF('Données projet'!$A$140&gt;35,CT120+CS121-DB120,IF(A121&lt;'Données projet'!$A$140,$CQ$205^A121,IF(A121='Données projet'!$A$140,'Données projet'!$B$140,CT120+CS121-DB120)))</f>
        <v>360.46800000000059</v>
      </c>
      <c r="CU121" s="17">
        <f>CT121*VLOOKUP('Données projet'!$B$13,Paramètres!$A$1:$I$89,3,0)*VLOOKUP('Données projet'!$B$13,Paramètres!$A$1:$I$89,5,0)</f>
        <v>410.50095840000063</v>
      </c>
      <c r="CV121" s="13">
        <f t="shared" si="95"/>
        <v>93.902351990255497</v>
      </c>
      <c r="CW121" s="20">
        <f t="shared" si="67"/>
        <v>878.50243226302939</v>
      </c>
      <c r="CX121" s="59">
        <f t="shared" si="68"/>
        <v>1160.2107556276299</v>
      </c>
      <c r="CY121" s="59">
        <f ca="1">AVERAGE(OFFSET($CX$3,0,0,'Données projet'!$E$13+1,1))-AVERAGE(OFFSET($H$3,0,0,'Données projet'!$E$13+1,1))</f>
        <v>765.9523557587147</v>
      </c>
      <c r="CZ121" s="59">
        <f t="shared" si="96"/>
        <v>347.40395092312815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71.825593346369146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71.825593346369146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146.15384615384625</v>
      </c>
      <c r="DP121" s="17">
        <f>DO121*VLOOKUP('Données projet'!$B$14,Paramètres!$A$1:$I$89,3,0)*VLOOKUP('Données projet'!$B$14,Paramètres!$A$1:$I$89,5,0)</f>
        <v>127.68000000000011</v>
      </c>
      <c r="DQ121" s="13">
        <f t="shared" si="97"/>
        <v>33.45971491465221</v>
      </c>
      <c r="DR121" s="20">
        <f t="shared" si="70"/>
        <v>280.65167014301943</v>
      </c>
      <c r="DS121" s="59">
        <f t="shared" si="71"/>
        <v>562.35999350761983</v>
      </c>
      <c r="DT121" s="59">
        <f ca="1">AVERAGE(OFFSET($DS$3,0,0,'Données projet'!$E$14+1,1))-AVERAGE(OFFSET($H$3,0,0,'Données projet'!$E$14+1,1))</f>
        <v>253.82888243490106</v>
      </c>
      <c r="DU121" s="59">
        <f t="shared" si="98"/>
        <v>224.11983819941796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13.38652285907348</v>
      </c>
      <c r="EB121" s="21">
        <f>EXP(-LN(2)/25)*EB120+(1-EXP(-LN(2)/25))/(LN(2)/25)*Calculateur!DW121*Calculateur!DY121*VLOOKUP('Données projet'!$B$14,Paramètres!$A$1:$I$89,3,0)*0.475*44/12</f>
        <v>5.3572965010546678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18.74381936012815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-4.5474735088646412E-13</v>
      </c>
      <c r="O122" s="13">
        <f>N122*VLOOKUP('Données projet'!$B$9,Paramètres!$A$1:$I$89,3,0)*VLOOKUP('Données projet'!$B$9,Paramètres!$A$1:$I$89,5,0)</f>
        <v>-2.1282176021486519E-13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387.50901594883317</v>
      </c>
      <c r="T122" s="59">
        <f t="shared" si="88"/>
        <v>361.3623790401972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156.44539741774085</v>
      </c>
      <c r="AA122" s="21">
        <f>EXP(-LN(2)/25)*AA121+(1-EXP(-LN(2)/25))/(LN(2)/25)*Calculateur!V122*Calculateur!X122*VLOOKUP('Données projet'!$B$9,Paramètres!$A$1:$I$89,3,0)*0.475*44/12</f>
        <v>57.153019468630049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213.5984168863709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373.47758082856359</v>
      </c>
      <c r="AO122" s="59">
        <f t="shared" si="90"/>
        <v>277.24895424120166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79.472079867418429</v>
      </c>
      <c r="AV122" s="21">
        <f>EXP(-LN(2)/25)*AV121+(1-EXP(-LN(2)/25))/(LN(2)/25)*Calculateur!AQ122*Calculateur!AS122*VLOOKUP('Données projet'!$B$10,Paramètres!$A$1:$I$89,3,0)*0.475*44/12</f>
        <v>27.383700604454688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106.85578047187312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7.9920000000000018</v>
      </c>
      <c r="BD122" s="12">
        <f>IF('Données projet'!$A$88&gt;35,BD121+BC122-BL121,IF(A122&lt;'Données projet'!$A$88,$BA$205^A122,IF(A122='Données projet'!$A$88,'Données projet'!$B$88,BD121+BC122-BL121)))</f>
        <v>368.4600000000006</v>
      </c>
      <c r="BE122" s="13">
        <f>BD122*VLOOKUP('Données projet'!$B$11,Paramètres!$A$1:$I$89,3,0)*VLOOKUP('Données projet'!$B$11,Paramètres!$A$1:$I$89,5,0)</f>
        <v>333.38260800000052</v>
      </c>
      <c r="BF122" s="13">
        <f t="shared" si="91"/>
        <v>78.13119132485231</v>
      </c>
      <c r="BG122" s="20">
        <f t="shared" si="61"/>
        <v>716.71986715745197</v>
      </c>
      <c r="BH122" s="59">
        <f t="shared" si="62"/>
        <v>998.62985845538105</v>
      </c>
      <c r="BI122" s="59">
        <f ca="1">AVERAGE(OFFSET($BH$3,0,0,'Données projet'!$E$11+1,1))-AVERAGE(OFFSET($H$3,0,0,'Données projet'!$E$11+1,1))</f>
        <v>627.65081154031589</v>
      </c>
      <c r="BJ122" s="59">
        <f t="shared" si="92"/>
        <v>288.78083487077618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55.947862488598794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55.947862488598794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7.9920000000000018</v>
      </c>
      <c r="BY122" s="12">
        <f>IF('Données projet'!$A$114&gt;35,BY121+BX122-CG121,IF(A122&lt;'Données projet'!$A$114,$BV$205^A122,IF(A122='Données projet'!$A$114,'Données projet'!$B$114,BY121+BX122-CG121)))</f>
        <v>368.4600000000006</v>
      </c>
      <c r="BZ122" s="13">
        <f>BY122*VLOOKUP('Données projet'!$B$12,Paramètres!$A$1:$I$89,3,0)*VLOOKUP('Données projet'!$B$12,Paramètres!$A$1:$I$89,5,0)</f>
        <v>373.61844000000065</v>
      </c>
      <c r="CA122" s="13">
        <f t="shared" si="93"/>
        <v>86.407156430415824</v>
      </c>
      <c r="CB122" s="20">
        <f t="shared" si="64"/>
        <v>801.21124711630875</v>
      </c>
      <c r="CC122" s="59">
        <f t="shared" si="65"/>
        <v>1083.121238414238</v>
      </c>
      <c r="CD122" s="59">
        <f ca="1">AVERAGE(OFFSET($CC$3,0,0,'Données projet'!$E$12+1,1))-AVERAGE(OFFSET($H$3,0,0,'Données projet'!$E$12+1,1))</f>
        <v>692.2706942067415</v>
      </c>
      <c r="CE122" s="59">
        <f t="shared" si="94"/>
        <v>316.17529091924803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62.700190719981414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62.700190719981414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7.9920000000000018</v>
      </c>
      <c r="CT122" s="12">
        <f>IF('Données projet'!$A$140&gt;35,CT121+CS122-DB121,IF(A122&lt;'Données projet'!$A$140,$CQ$205^A122,IF(A122='Données projet'!$A$140,'Données projet'!$B$140,CT121+CS122-DB121)))</f>
        <v>368.4600000000006</v>
      </c>
      <c r="CU122" s="17">
        <f>CT122*VLOOKUP('Données projet'!$B$13,Paramètres!$A$1:$I$89,3,0)*VLOOKUP('Données projet'!$B$13,Paramètres!$A$1:$I$89,5,0)</f>
        <v>419.60224800000071</v>
      </c>
      <c r="CV122" s="13">
        <f t="shared" si="95"/>
        <v>95.73958716907012</v>
      </c>
      <c r="CW122" s="20">
        <f t="shared" si="67"/>
        <v>897.5536962527982</v>
      </c>
      <c r="CX122" s="59">
        <f t="shared" si="68"/>
        <v>1179.4636875507274</v>
      </c>
      <c r="CY122" s="59">
        <f ca="1">AVERAGE(OFFSET($CX$3,0,0,'Données projet'!$E$13+1,1))-AVERAGE(OFFSET($H$3,0,0,'Données projet'!$E$13+1,1))</f>
        <v>765.9523557587147</v>
      </c>
      <c r="CZ122" s="59">
        <f t="shared" si="96"/>
        <v>347.40395092312815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70.417137270132983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70.417137270132983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146.15384615384625</v>
      </c>
      <c r="DP122" s="17">
        <f>DO122*VLOOKUP('Données projet'!$B$14,Paramètres!$A$1:$I$89,3,0)*VLOOKUP('Données projet'!$B$14,Paramètres!$A$1:$I$89,5,0)</f>
        <v>127.68000000000011</v>
      </c>
      <c r="DQ122" s="13">
        <f t="shared" si="97"/>
        <v>33.45971491465221</v>
      </c>
      <c r="DR122" s="20">
        <f t="shared" si="70"/>
        <v>280.65167014301943</v>
      </c>
      <c r="DS122" s="59">
        <f t="shared" si="71"/>
        <v>562.56166144094857</v>
      </c>
      <c r="DT122" s="59">
        <f ca="1">AVERAGE(OFFSET($DS$3,0,0,'Données projet'!$E$14+1,1))-AVERAGE(OFFSET($H$3,0,0,'Données projet'!$E$14+1,1))</f>
        <v>253.82888243490106</v>
      </c>
      <c r="DU122" s="59">
        <f t="shared" si="98"/>
        <v>224.11983819941796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13.124021310779769</v>
      </c>
      <c r="EB122" s="21">
        <f>EXP(-LN(2)/25)*EB121+(1-EXP(-LN(2)/25))/(LN(2)/25)*Calculateur!DW122*Calculateur!DY122*VLOOKUP('Données projet'!$B$14,Paramètres!$A$1:$I$89,3,0)*0.475*44/12</f>
        <v>5.2108009465053495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18.334822257285118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-4.5474735088646412E-13</v>
      </c>
      <c r="O123" s="13">
        <f>N123*VLOOKUP('Données projet'!$B$9,Paramètres!$A$1:$I$89,3,0)*VLOOKUP('Données projet'!$B$9,Paramètres!$A$1:$I$89,5,0)</f>
        <v>-2.1282176021486519E-13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387.50901594883317</v>
      </c>
      <c r="T123" s="59">
        <f t="shared" si="88"/>
        <v>361.3623790401972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153.37759859664922</v>
      </c>
      <c r="AA123" s="21">
        <f>EXP(-LN(2)/25)*AA122+(1-EXP(-LN(2)/25))/(LN(2)/25)*Calculateur!V123*Calculateur!X123*VLOOKUP('Données projet'!$B$9,Paramètres!$A$1:$I$89,3,0)*0.475*44/12</f>
        <v>55.590167145713693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208.96776574236293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373.47758082856359</v>
      </c>
      <c r="AO123" s="59">
        <f t="shared" si="90"/>
        <v>277.24895424120166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77.913680854400738</v>
      </c>
      <c r="AV123" s="21">
        <f>EXP(-LN(2)/25)*AV122+(1-EXP(-LN(2)/25))/(LN(2)/25)*Calculateur!AQ123*Calculateur!AS123*VLOOKUP('Données projet'!$B$10,Paramètres!$A$1:$I$89,3,0)*0.475*44/12</f>
        <v>26.634891871379647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104.54857272578039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7.9920000000000018</v>
      </c>
      <c r="BD123" s="12">
        <f>IF('Données projet'!$A$88&gt;35,BD122+BC123-BL122,IF(A123&lt;'Données projet'!$A$88,$BA$205^A123,IF(A123='Données projet'!$A$88,'Données projet'!$B$88,BD122+BC123-BL122)))</f>
        <v>376.45200000000062</v>
      </c>
      <c r="BE123" s="13">
        <f>BD123*VLOOKUP('Données projet'!$B$11,Paramètres!$A$1:$I$89,3,0)*VLOOKUP('Données projet'!$B$11,Paramètres!$A$1:$I$89,5,0)</f>
        <v>340.61376960000058</v>
      </c>
      <c r="BF123" s="13">
        <f t="shared" si="91"/>
        <v>79.626741793195919</v>
      </c>
      <c r="BG123" s="20">
        <f t="shared" si="61"/>
        <v>731.9188906764839</v>
      </c>
      <c r="BH123" s="59">
        <f t="shared" si="62"/>
        <v>1014.0270514199606</v>
      </c>
      <c r="BI123" s="59">
        <f ca="1">AVERAGE(OFFSET($BH$3,0,0,'Données projet'!$E$11+1,1))-AVERAGE(OFFSET($H$3,0,0,'Données projet'!$E$11+1,1))</f>
        <v>627.65081154031589</v>
      </c>
      <c r="BJ123" s="59">
        <f t="shared" si="92"/>
        <v>288.78083487077618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54.850759030023944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54.850759030023944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7.9920000000000018</v>
      </c>
      <c r="BY123" s="12">
        <f>IF('Données projet'!$A$114&gt;35,BY122+BX123-CG122,IF(A123&lt;'Données projet'!$A$114,$BV$205^A123,IF(A123='Données projet'!$A$114,'Données projet'!$B$114,BY122+BX123-CG122)))</f>
        <v>376.45200000000062</v>
      </c>
      <c r="BZ123" s="13">
        <f>BY123*VLOOKUP('Données projet'!$B$12,Paramètres!$A$1:$I$89,3,0)*VLOOKUP('Données projet'!$B$12,Paramètres!$A$1:$I$89,5,0)</f>
        <v>381.72232800000063</v>
      </c>
      <c r="CA123" s="13">
        <f t="shared" si="93"/>
        <v>88.061121525232409</v>
      </c>
      <c r="CB123" s="20">
        <f t="shared" si="64"/>
        <v>818.20617458978086</v>
      </c>
      <c r="CC123" s="59">
        <f t="shared" si="65"/>
        <v>1100.3143353332575</v>
      </c>
      <c r="CD123" s="59">
        <f ca="1">AVERAGE(OFFSET($CC$3,0,0,'Données projet'!$E$12+1,1))-AVERAGE(OFFSET($H$3,0,0,'Données projet'!$E$12+1,1))</f>
        <v>692.2706942067415</v>
      </c>
      <c r="CE123" s="59">
        <f t="shared" si="94"/>
        <v>316.17529091924803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61.470678223302698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61.470678223302698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7.9920000000000018</v>
      </c>
      <c r="CT123" s="12">
        <f>IF('Données projet'!$A$140&gt;35,CT122+CS123-DB122,IF(A123&lt;'Données projet'!$A$140,$CQ$205^A123,IF(A123='Données projet'!$A$140,'Données projet'!$B$140,CT122+CS123-DB122)))</f>
        <v>376.45200000000062</v>
      </c>
      <c r="CU123" s="17">
        <f>CT123*VLOOKUP('Données projet'!$B$13,Paramètres!$A$1:$I$89,3,0)*VLOOKUP('Données projet'!$B$13,Paramètres!$A$1:$I$89,5,0)</f>
        <v>428.70353760000069</v>
      </c>
      <c r="CV123" s="13">
        <f t="shared" si="95"/>
        <v>97.572189257964354</v>
      </c>
      <c r="CW123" s="20">
        <f t="shared" si="67"/>
        <v>916.59689094428916</v>
      </c>
      <c r="CX123" s="59">
        <f t="shared" si="68"/>
        <v>1198.7050516877657</v>
      </c>
      <c r="CY123" s="59">
        <f ca="1">AVERAGE(OFFSET($CX$3,0,0,'Données projet'!$E$13+1,1))-AVERAGE(OFFSET($H$3,0,0,'Données projet'!$E$13+1,1))</f>
        <v>765.9523557587147</v>
      </c>
      <c r="CZ123" s="59">
        <f t="shared" si="96"/>
        <v>347.40395092312815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69.036300158478426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69.036300158478426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146.15384615384625</v>
      </c>
      <c r="DP123" s="17">
        <f>DO123*VLOOKUP('Données projet'!$B$14,Paramètres!$A$1:$I$89,3,0)*VLOOKUP('Données projet'!$B$14,Paramètres!$A$1:$I$89,5,0)</f>
        <v>127.68000000000011</v>
      </c>
      <c r="DQ123" s="13">
        <f t="shared" si="97"/>
        <v>33.45971491465221</v>
      </c>
      <c r="DR123" s="20">
        <f t="shared" si="70"/>
        <v>280.65167014301943</v>
      </c>
      <c r="DS123" s="59">
        <f t="shared" si="71"/>
        <v>562.75983088649605</v>
      </c>
      <c r="DT123" s="59">
        <f ca="1">AVERAGE(OFFSET($DS$3,0,0,'Données projet'!$E$14+1,1))-AVERAGE(OFFSET($H$3,0,0,'Données projet'!$E$14+1,1))</f>
        <v>253.82888243490106</v>
      </c>
      <c r="DU123" s="59">
        <f t="shared" si="98"/>
        <v>224.11983819941796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12.866667257737962</v>
      </c>
      <c r="EB123" s="21">
        <f>EXP(-LN(2)/25)*EB122+(1-EXP(-LN(2)/25))/(LN(2)/25)*Calculateur!DW123*Calculateur!DY123*VLOOKUP('Données projet'!$B$14,Paramètres!$A$1:$I$89,3,0)*0.475*44/12</f>
        <v>5.0683113205990482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17.934978578337009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-4.5474735088646412E-13</v>
      </c>
      <c r="O124" s="13">
        <f>N124*VLOOKUP('Données projet'!$B$9,Paramètres!$A$1:$I$89,3,0)*VLOOKUP('Données projet'!$B$9,Paramètres!$A$1:$I$89,5,0)</f>
        <v>-2.1282176021486519E-13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387.50901594883317</v>
      </c>
      <c r="T124" s="59">
        <f t="shared" si="88"/>
        <v>361.3623790401972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150.36995743926667</v>
      </c>
      <c r="AA124" s="21">
        <f>EXP(-LN(2)/25)*AA123+(1-EXP(-LN(2)/25))/(LN(2)/25)*Calculateur!V124*Calculateur!X124*VLOOKUP('Données projet'!$B$9,Paramètres!$A$1:$I$89,3,0)*0.475*44/12</f>
        <v>54.070051101754316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204.44000854102097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373.47758082856359</v>
      </c>
      <c r="AO124" s="59">
        <f t="shared" si="90"/>
        <v>277.24895424120166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76.38584109549879</v>
      </c>
      <c r="AV124" s="21">
        <f>EXP(-LN(2)/25)*AV123+(1-EXP(-LN(2)/25))/(LN(2)/25)*Calculateur!AQ124*Calculateur!AS124*VLOOKUP('Données projet'!$B$10,Paramètres!$A$1:$I$89,3,0)*0.475*44/12</f>
        <v>25.906559352488681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102.29240044798748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7.9920000000000018</v>
      </c>
      <c r="BD124" s="12">
        <f>IF('Données projet'!$A$88&gt;35,BD123+BC124-BL123,IF(A124&lt;'Données projet'!$A$88,$BA$205^A124,IF(A124='Données projet'!$A$88,'Données projet'!$B$88,BD123+BC124-BL123)))</f>
        <v>384.44400000000064</v>
      </c>
      <c r="BE124" s="13">
        <f>BD124*VLOOKUP('Données projet'!$B$11,Paramètres!$A$1:$I$89,3,0)*VLOOKUP('Données projet'!$B$11,Paramètres!$A$1:$I$89,5,0)</f>
        <v>347.84493120000059</v>
      </c>
      <c r="BF124" s="13">
        <f t="shared" si="91"/>
        <v>81.11860080370937</v>
      </c>
      <c r="BG124" s="20">
        <f t="shared" si="61"/>
        <v>747.11148490646144</v>
      </c>
      <c r="BH124" s="59">
        <f t="shared" si="62"/>
        <v>1029.4143772986458</v>
      </c>
      <c r="BI124" s="59">
        <f ca="1">AVERAGE(OFFSET($BH$3,0,0,'Données projet'!$E$11+1,1))-AVERAGE(OFFSET($H$3,0,0,'Données projet'!$E$11+1,1))</f>
        <v>627.65081154031589</v>
      </c>
      <c r="BJ124" s="59">
        <f t="shared" si="92"/>
        <v>288.78083487077618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53.775169101104709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53.775169101104709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7.9920000000000018</v>
      </c>
      <c r="BY124" s="12">
        <f>IF('Données projet'!$A$114&gt;35,BY123+BX124-CG123,IF(A124&lt;'Données projet'!$A$114,$BV$205^A124,IF(A124='Données projet'!$A$114,'Données projet'!$B$114,BY123+BX124-CG123)))</f>
        <v>384.44400000000064</v>
      </c>
      <c r="BZ124" s="13">
        <f>BY124*VLOOKUP('Données projet'!$B$12,Paramètres!$A$1:$I$89,3,0)*VLOOKUP('Données projet'!$B$12,Paramètres!$A$1:$I$89,5,0)</f>
        <v>389.82621600000067</v>
      </c>
      <c r="CA124" s="13">
        <f t="shared" si="93"/>
        <v>89.711004148391098</v>
      </c>
      <c r="CB124" s="20">
        <f t="shared" si="64"/>
        <v>835.19399175844899</v>
      </c>
      <c r="CC124" s="59">
        <f t="shared" si="65"/>
        <v>1117.4968841506334</v>
      </c>
      <c r="CD124" s="59">
        <f ca="1">AVERAGE(OFFSET($CC$3,0,0,'Données projet'!$E$12+1,1))-AVERAGE(OFFSET($H$3,0,0,'Données projet'!$E$12+1,1))</f>
        <v>692.2706942067415</v>
      </c>
      <c r="CE124" s="59">
        <f t="shared" si="94"/>
        <v>316.17529091924803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60.265275716755283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60.265275716755283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7.9920000000000018</v>
      </c>
      <c r="CT124" s="12">
        <f>IF('Données projet'!$A$140&gt;35,CT123+CS124-DB123,IF(A124&lt;'Données projet'!$A$140,$CQ$205^A124,IF(A124='Données projet'!$A$140,'Données projet'!$B$140,CT123+CS124-DB123)))</f>
        <v>384.44400000000064</v>
      </c>
      <c r="CU124" s="17">
        <f>CT124*VLOOKUP('Données projet'!$B$13,Paramètres!$A$1:$I$89,3,0)*VLOOKUP('Données projet'!$B$13,Paramètres!$A$1:$I$89,5,0)</f>
        <v>437.80482720000072</v>
      </c>
      <c r="CV124" s="13">
        <f t="shared" si="95"/>
        <v>99.400267946629938</v>
      </c>
      <c r="CW124" s="20">
        <f t="shared" si="67"/>
        <v>935.63220738038171</v>
      </c>
      <c r="CX124" s="59">
        <f t="shared" si="68"/>
        <v>1217.935099772566</v>
      </c>
      <c r="CY124" s="59">
        <f ca="1">AVERAGE(OFFSET($CX$3,0,0,'Données projet'!$E$13+1,1))-AVERAGE(OFFSET($H$3,0,0,'Données projet'!$E$13+1,1))</f>
        <v>765.9523557587147</v>
      </c>
      <c r="CZ124" s="59">
        <f t="shared" si="96"/>
        <v>347.40395092312815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67.682540420355949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67.682540420355949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146.15384615384625</v>
      </c>
      <c r="DP124" s="17">
        <f>DO124*VLOOKUP('Données projet'!$B$14,Paramètres!$A$1:$I$89,3,0)*VLOOKUP('Données projet'!$B$14,Paramètres!$A$1:$I$89,5,0)</f>
        <v>127.68000000000011</v>
      </c>
      <c r="DQ124" s="13">
        <f t="shared" si="97"/>
        <v>33.45971491465221</v>
      </c>
      <c r="DR124" s="20">
        <f t="shared" si="70"/>
        <v>280.65167014301943</v>
      </c>
      <c r="DS124" s="59">
        <f t="shared" si="71"/>
        <v>562.95456253520388</v>
      </c>
      <c r="DT124" s="59">
        <f ca="1">AVERAGE(OFFSET($DS$3,0,0,'Données projet'!$E$14+1,1))-AVERAGE(OFFSET($H$3,0,0,'Données projet'!$E$14+1,1))</f>
        <v>253.82888243490106</v>
      </c>
      <c r="DU124" s="59">
        <f t="shared" si="98"/>
        <v>224.11983819941796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12.614359760705833</v>
      </c>
      <c r="EB124" s="21">
        <f>EXP(-LN(2)/25)*EB123+(1-EXP(-LN(2)/25))/(LN(2)/25)*Calculateur!DW124*Calculateur!DY124*VLOOKUP('Données projet'!$B$14,Paramètres!$A$1:$I$89,3,0)*0.475*44/12</f>
        <v>4.9297180810063583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17.544077841712191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-4.5474735088646412E-13</v>
      </c>
      <c r="O125" s="13">
        <f>N125*VLOOKUP('Données projet'!$B$9,Paramètres!$A$1:$I$89,3,0)*VLOOKUP('Données projet'!$B$9,Paramètres!$A$1:$I$89,5,0)</f>
        <v>-2.1282176021486519E-13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387.50901594883317</v>
      </c>
      <c r="T125" s="59">
        <f t="shared" si="88"/>
        <v>361.3623790401972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147.42129429050041</v>
      </c>
      <c r="AA125" s="21">
        <f>EXP(-LN(2)/25)*AA124+(1-EXP(-LN(2)/25))/(LN(2)/25)*Calculateur!V125*Calculateur!X125*VLOOKUP('Données projet'!$B$9,Paramètres!$A$1:$I$89,3,0)*0.475*44/12</f>
        <v>52.591502710956433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200.01279700145685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373.47758082856359</v>
      </c>
      <c r="AO125" s="59">
        <f t="shared" si="90"/>
        <v>277.24895424120166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74.887961342378674</v>
      </c>
      <c r="AV125" s="21">
        <f>EXP(-LN(2)/25)*AV124+(1-EXP(-LN(2)/25))/(LN(2)/25)*Calculateur!AQ125*Calculateur!AS125*VLOOKUP('Données projet'!$B$10,Paramètres!$A$1:$I$89,3,0)*0.475*44/12</f>
        <v>25.198143124628132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100.08610446700681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7.9920000000000018</v>
      </c>
      <c r="BD125" s="12">
        <f>IF('Données projet'!$A$88&gt;35,BD124+BC125-BL124,IF(A125&lt;'Données projet'!$A$88,$BA$205^A125,IF(A125='Données projet'!$A$88,'Données projet'!$B$88,BD124+BC125-BL124)))</f>
        <v>392.43600000000066</v>
      </c>
      <c r="BE125" s="13">
        <f>BD125*VLOOKUP('Données projet'!$B$11,Paramètres!$A$1:$I$89,3,0)*VLOOKUP('Données projet'!$B$11,Paramètres!$A$1:$I$89,5,0)</f>
        <v>355.07609280000059</v>
      </c>
      <c r="BF125" s="13">
        <f t="shared" si="91"/>
        <v>82.606853937508674</v>
      </c>
      <c r="BG125" s="20">
        <f t="shared" si="61"/>
        <v>762.29779890116197</v>
      </c>
      <c r="BH125" s="59">
        <f t="shared" si="62"/>
        <v>1044.7920447833037</v>
      </c>
      <c r="BI125" s="59">
        <f ca="1">AVERAGE(OFFSET($BH$3,0,0,'Données projet'!$E$11+1,1))-AVERAGE(OFFSET($H$3,0,0,'Données projet'!$E$11+1,1))</f>
        <v>627.65081154031589</v>
      </c>
      <c r="BJ125" s="59">
        <f t="shared" si="92"/>
        <v>288.78083487077618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52.720670834646505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52.720670834646505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7.9920000000000018</v>
      </c>
      <c r="BY125" s="12">
        <f>IF('Données projet'!$A$114&gt;35,BY124+BX125-CG124,IF(A125&lt;'Données projet'!$A$114,$BV$205^A125,IF(A125='Données projet'!$A$114,'Données projet'!$B$114,BY124+BX125-CG124)))</f>
        <v>392.43600000000066</v>
      </c>
      <c r="BZ125" s="13">
        <f>BY125*VLOOKUP('Données projet'!$B$12,Paramètres!$A$1:$I$89,3,0)*VLOOKUP('Données projet'!$B$12,Paramètres!$A$1:$I$89,5,0)</f>
        <v>397.93010400000071</v>
      </c>
      <c r="CA125" s="13">
        <f t="shared" si="93"/>
        <v>91.356898946098624</v>
      </c>
      <c r="CB125" s="20">
        <f t="shared" si="64"/>
        <v>852.17486346445639</v>
      </c>
      <c r="CC125" s="59">
        <f t="shared" si="65"/>
        <v>1134.6691093465981</v>
      </c>
      <c r="CD125" s="59">
        <f ca="1">AVERAGE(OFFSET($CC$3,0,0,'Données projet'!$E$12+1,1))-AVERAGE(OFFSET($H$3,0,0,'Données projet'!$E$12+1,1))</f>
        <v>692.2706942067415</v>
      </c>
      <c r="CE125" s="59">
        <f t="shared" si="94"/>
        <v>316.17529091924803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59.083510418138331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59.083510418138331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7.9920000000000018</v>
      </c>
      <c r="CT125" s="12">
        <f>IF('Données projet'!$A$140&gt;35,CT124+CS125-DB124,IF(A125&lt;'Données projet'!$A$140,$CQ$205^A125,IF(A125='Données projet'!$A$140,'Données projet'!$B$140,CT124+CS125-DB124)))</f>
        <v>392.43600000000066</v>
      </c>
      <c r="CU125" s="17">
        <f>CT125*VLOOKUP('Données projet'!$B$13,Paramètres!$A$1:$I$89,3,0)*VLOOKUP('Données projet'!$B$13,Paramètres!$A$1:$I$89,5,0)</f>
        <v>446.9061168000008</v>
      </c>
      <c r="CV125" s="13">
        <f t="shared" si="95"/>
        <v>101.22392810356538</v>
      </c>
      <c r="CW125" s="20">
        <f t="shared" si="67"/>
        <v>954.65982820704437</v>
      </c>
      <c r="CX125" s="59">
        <f t="shared" si="68"/>
        <v>1237.1540740891862</v>
      </c>
      <c r="CY125" s="59">
        <f ca="1">AVERAGE(OFFSET($CX$3,0,0,'Données projet'!$E$13+1,1))-AVERAGE(OFFSET($H$3,0,0,'Données projet'!$E$13+1,1))</f>
        <v>765.9523557587147</v>
      </c>
      <c r="CZ125" s="59">
        <f t="shared" si="96"/>
        <v>347.40395092312815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66.355327084986143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66.355327084986143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146.15384615384625</v>
      </c>
      <c r="DP125" s="17">
        <f>DO125*VLOOKUP('Données projet'!$B$14,Paramètres!$A$1:$I$89,3,0)*VLOOKUP('Données projet'!$B$14,Paramètres!$A$1:$I$89,5,0)</f>
        <v>127.68000000000011</v>
      </c>
      <c r="DQ125" s="13">
        <f t="shared" si="97"/>
        <v>33.45971491465221</v>
      </c>
      <c r="DR125" s="20">
        <f t="shared" si="70"/>
        <v>280.65167014301943</v>
      </c>
      <c r="DS125" s="59">
        <f t="shared" si="71"/>
        <v>563.14591602516123</v>
      </c>
      <c r="DT125" s="59">
        <f ca="1">AVERAGE(OFFSET($DS$3,0,0,'Données projet'!$E$14+1,1))-AVERAGE(OFFSET($H$3,0,0,'Données projet'!$E$14+1,1))</f>
        <v>253.82888243490106</v>
      </c>
      <c r="DU125" s="59">
        <f t="shared" si="98"/>
        <v>224.11983819941796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12.366999859798126</v>
      </c>
      <c r="EB125" s="21">
        <f>EXP(-LN(2)/25)*EB124+(1-EXP(-LN(2)/25))/(LN(2)/25)*Calculateur!DW125*Calculateur!DY125*VLOOKUP('Données projet'!$B$14,Paramètres!$A$1:$I$89,3,0)*0.475*44/12</f>
        <v>4.7949146808386329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17.161914540636758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-4.5474735088646412E-13</v>
      </c>
      <c r="O126" s="13">
        <f>N126*VLOOKUP('Données projet'!$B$9,Paramètres!$A$1:$I$89,3,0)*VLOOKUP('Données projet'!$B$9,Paramètres!$A$1:$I$89,5,0)</f>
        <v>-2.1282176021486519E-13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387.50901594883317</v>
      </c>
      <c r="T126" s="59">
        <f t="shared" si="88"/>
        <v>361.3623790401972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144.53045262757453</v>
      </c>
      <c r="AA126" s="21">
        <f>EXP(-LN(2)/25)*AA125+(1-EXP(-LN(2)/25))/(LN(2)/25)*Calculateur!V126*Calculateur!X126*VLOOKUP('Données projet'!$B$9,Paramètres!$A$1:$I$89,3,0)*0.475*44/12</f>
        <v>51.153385303658403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195.68383793123294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373.47758082856359</v>
      </c>
      <c r="AO126" s="59">
        <f t="shared" si="90"/>
        <v>277.24895424120166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73.419454097600806</v>
      </c>
      <c r="AV126" s="21">
        <f>EXP(-LN(2)/25)*AV125+(1-EXP(-LN(2)/25))/(LN(2)/25)*Calculateur!AQ126*Calculateur!AS126*VLOOKUP('Données projet'!$B$10,Paramètres!$A$1:$I$89,3,0)*0.475*44/12</f>
        <v>24.50909857577242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97.928552673373218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7.9920000000000018</v>
      </c>
      <c r="BD126" s="12">
        <f>IF('Données projet'!$A$88&gt;35,BD125+BC126-BL125,IF(A126&lt;'Données projet'!$A$88,$BA$205^A126,IF(A126='Données projet'!$A$88,'Données projet'!$B$88,BD125+BC126-BL125)))</f>
        <v>400.42800000000068</v>
      </c>
      <c r="BE126" s="13">
        <f>BD126*VLOOKUP('Données projet'!$B$11,Paramètres!$A$1:$I$89,3,0)*VLOOKUP('Données projet'!$B$11,Paramètres!$A$1:$I$89,5,0)</f>
        <v>362.3072544000006</v>
      </c>
      <c r="BF126" s="13">
        <f t="shared" si="91"/>
        <v>84.09158309070763</v>
      </c>
      <c r="BG126" s="20">
        <f t="shared" si="61"/>
        <v>777.4779752963168</v>
      </c>
      <c r="BH126" s="59">
        <f t="shared" si="62"/>
        <v>1060.1602551131675</v>
      </c>
      <c r="BI126" s="59">
        <f ca="1">AVERAGE(OFFSET($BH$3,0,0,'Données projet'!$E$11+1,1))-AVERAGE(OFFSET($H$3,0,0,'Données projet'!$E$11+1,1))</f>
        <v>627.65081154031589</v>
      </c>
      <c r="BJ126" s="59">
        <f t="shared" si="92"/>
        <v>288.78083487077618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51.686850636013112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51.686850636013112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7.9920000000000018</v>
      </c>
      <c r="BY126" s="12">
        <f>IF('Données projet'!$A$114&gt;35,BY125+BX126-CG125,IF(A126&lt;'Données projet'!$A$114,$BV$205^A126,IF(A126='Données projet'!$A$114,'Données projet'!$B$114,BY125+BX126-CG125)))</f>
        <v>400.42800000000068</v>
      </c>
      <c r="BZ126" s="13">
        <f>BY126*VLOOKUP('Données projet'!$B$12,Paramètres!$A$1:$I$89,3,0)*VLOOKUP('Données projet'!$B$12,Paramètres!$A$1:$I$89,5,0)</f>
        <v>406.03399200000069</v>
      </c>
      <c r="CA126" s="13">
        <f t="shared" si="93"/>
        <v>92.998896489228883</v>
      </c>
      <c r="CB126" s="20">
        <f t="shared" si="64"/>
        <v>869.14894745207482</v>
      </c>
      <c r="CC126" s="59">
        <f t="shared" si="65"/>
        <v>1151.8312272689254</v>
      </c>
      <c r="CD126" s="59">
        <f ca="1">AVERAGE(OFFSET($CC$3,0,0,'Données projet'!$E$12+1,1))-AVERAGE(OFFSET($H$3,0,0,'Données projet'!$E$12+1,1))</f>
        <v>692.2706942067415</v>
      </c>
      <c r="CE126" s="59">
        <f t="shared" si="94"/>
        <v>316.17529091924803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57.924918816221599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57.924918816221599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7.9920000000000018</v>
      </c>
      <c r="CT126" s="12">
        <f>IF('Données projet'!$A$140&gt;35,CT125+CS126-DB125,IF(A126&lt;'Données projet'!$A$140,$CQ$205^A126,IF(A126='Données projet'!$A$140,'Données projet'!$B$140,CT125+CS126-DB125)))</f>
        <v>400.42800000000068</v>
      </c>
      <c r="CU126" s="17">
        <f>CT126*VLOOKUP('Données projet'!$B$13,Paramètres!$A$1:$I$89,3,0)*VLOOKUP('Données projet'!$B$13,Paramètres!$A$1:$I$89,5,0)</f>
        <v>456.00740640000078</v>
      </c>
      <c r="CV126" s="13">
        <f t="shared" si="95"/>
        <v>103.04327008177891</v>
      </c>
      <c r="CW126" s="20">
        <f t="shared" si="67"/>
        <v>973.67992820576626</v>
      </c>
      <c r="CX126" s="59">
        <f t="shared" si="68"/>
        <v>1256.3622080226169</v>
      </c>
      <c r="CY126" s="59">
        <f ca="1">AVERAGE(OFFSET($CX$3,0,0,'Données projet'!$E$13+1,1))-AVERAGE(OFFSET($H$3,0,0,'Données projet'!$E$13+1,1))</f>
        <v>765.9523557587147</v>
      </c>
      <c r="CZ126" s="59">
        <f t="shared" si="96"/>
        <v>347.40395092312815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65.054139593602741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65.054139593602741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146.15384615384625</v>
      </c>
      <c r="DP126" s="17">
        <f>DO126*VLOOKUP('Données projet'!$B$14,Paramètres!$A$1:$I$89,3,0)*VLOOKUP('Données projet'!$B$14,Paramètres!$A$1:$I$89,5,0)</f>
        <v>127.68000000000011</v>
      </c>
      <c r="DQ126" s="13">
        <f t="shared" si="97"/>
        <v>33.45971491465221</v>
      </c>
      <c r="DR126" s="20">
        <f t="shared" si="70"/>
        <v>280.65167014301943</v>
      </c>
      <c r="DS126" s="59">
        <f t="shared" si="71"/>
        <v>563.3339499598701</v>
      </c>
      <c r="DT126" s="59">
        <f ca="1">AVERAGE(OFFSET($DS$3,0,0,'Données projet'!$E$14+1,1))-AVERAGE(OFFSET($H$3,0,0,'Données projet'!$E$14+1,1))</f>
        <v>253.82888243490106</v>
      </c>
      <c r="DU126" s="59">
        <f t="shared" si="98"/>
        <v>224.11983819941796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12.124490535672578</v>
      </c>
      <c r="EB126" s="21">
        <f>EXP(-LN(2)/25)*EB125+(1-EXP(-LN(2)/25))/(LN(2)/25)*Calculateur!DW126*Calculateur!DY126*VLOOKUP('Données projet'!$B$14,Paramètres!$A$1:$I$89,3,0)*0.475*44/12</f>
        <v>4.6637974867374963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16.788288022410075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-4.5474735088646412E-13</v>
      </c>
      <c r="O127" s="13">
        <f>N127*VLOOKUP('Données projet'!$B$9,Paramètres!$A$1:$I$89,3,0)*VLOOKUP('Données projet'!$B$9,Paramètres!$A$1:$I$89,5,0)</f>
        <v>-2.1282176021486519E-13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387.50901594883317</v>
      </c>
      <c r="T127" s="59">
        <f t="shared" si="88"/>
        <v>361.3623790401972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141.69629860641933</v>
      </c>
      <c r="AA127" s="21">
        <f>EXP(-LN(2)/25)*AA126+(1-EXP(-LN(2)/25))/(LN(2)/25)*Calculateur!V127*Calculateur!X127*VLOOKUP('Données projet'!$B$9,Paramètres!$A$1:$I$89,3,0)*0.475*44/12</f>
        <v>49.754593292490242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191.45089189890956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373.47758082856359</v>
      </c>
      <c r="AO127" s="59">
        <f t="shared" si="90"/>
        <v>277.24895424120166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71.979743384192048</v>
      </c>
      <c r="AV127" s="21">
        <f>EXP(-LN(2)/25)*AV126+(1-EXP(-LN(2)/25))/(LN(2)/25)*Calculateur!AQ127*Calculateur!AS127*VLOOKUP('Données projet'!$B$10,Paramètres!$A$1:$I$89,3,0)*0.475*44/12</f>
        <v>23.838895986340447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95.818639370532495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>
        <f>VLOOKUP(A127,'Données projet'!$A$87:$I$107,2,0)</f>
        <v>408.42</v>
      </c>
      <c r="BB127" s="12">
        <f>VLOOKUP(A127,'Données projet'!$A$87:$I$107,9,0)</f>
        <v>7.9920000000000018</v>
      </c>
      <c r="BC127" s="12">
        <f t="array" ref="BC127">INDEX(BB:BB,MIN(IF(ISNUMBER(BB127:BB323),ROW(BB127:BB323),"")))</f>
        <v>7.9920000000000018</v>
      </c>
      <c r="BD127" s="12">
        <f>IF('Données projet'!$A$88&gt;35,BD126+BC127-BL126,IF(A127&lt;'Données projet'!$A$88,$BA$205^A127,IF(A127='Données projet'!$A$88,'Données projet'!$B$88,BD126+BC127-BL126)))</f>
        <v>408.4200000000007</v>
      </c>
      <c r="BE127" s="13">
        <f>BD127*VLOOKUP('Données projet'!$B$11,Paramètres!$A$1:$I$89,3,0)*VLOOKUP('Données projet'!$B$11,Paramètres!$A$1:$I$89,5,0)</f>
        <v>369.53841600000061</v>
      </c>
      <c r="BF127" s="13">
        <f t="shared" si="91"/>
        <v>85.572866703416025</v>
      </c>
      <c r="BG127" s="20">
        <f t="shared" si="61"/>
        <v>792.65215070845068</v>
      </c>
      <c r="BH127" s="59">
        <f t="shared" si="62"/>
        <v>1075.5192024916241</v>
      </c>
      <c r="BI127" s="59">
        <f ca="1">AVERAGE(OFFSET($BH$3,0,0,'Données projet'!$E$11+1,1))-AVERAGE(OFFSET($H$3,0,0,'Données projet'!$E$11+1,1))</f>
        <v>627.65081154031589</v>
      </c>
      <c r="BJ127" s="59">
        <f t="shared" si="92"/>
        <v>288.78083487077618</v>
      </c>
      <c r="BK127" s="15">
        <f>IF(ISNA(VLOOKUP(A127,'Données projet'!$A$87:$I$107,3,0)),0,VLOOKUP(A127,'Données projet'!$A$87:$I$107,3,0))</f>
        <v>10</v>
      </c>
      <c r="BL127" s="15">
        <f>IF(ISNA(VLOOKUP(A127,'Données projet'!$A$87:$I$107,4,0)),0,VLOOKUP(A127,'Données projet'!$A$87:$I$107,4,0))</f>
        <v>52.53</v>
      </c>
      <c r="BM127" s="16">
        <f>IF(ISNA(VLOOKUP(A127,'Données projet'!$A$87:$I$107,5,0)),0%,VLOOKUP(A127,'Données projet'!$A$87:$I$107,5,0)*VLOOKUP('Données projet'!$B$11,Paramètres!$A$1:$I$89,7,0))</f>
        <v>0.25800000000000001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64.229154721898368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64.229154721898368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408.42</v>
      </c>
      <c r="BW127" s="12">
        <f>VLOOKUP(A127,'Données projet'!$A$113:$I$133,9,0)</f>
        <v>7.9920000000000018</v>
      </c>
      <c r="BX127" s="12">
        <f t="array" ref="BX127">INDEX(BW:BW,MIN(IF(ISNUMBER(BW127:BW323),ROW(BW127:BW323),"")))</f>
        <v>7.9920000000000018</v>
      </c>
      <c r="BY127" s="12">
        <f>IF('Données projet'!$A$114&gt;35,BY126+BX127-CG126,IF(A127&lt;'Données projet'!$A$114,$BV$205^A127,IF(A127='Données projet'!$A$114,'Données projet'!$B$114,BY126+BX127-CG126)))</f>
        <v>408.4200000000007</v>
      </c>
      <c r="BZ127" s="13">
        <f>BY127*VLOOKUP('Données projet'!$B$12,Paramètres!$A$1:$I$89,3,0)*VLOOKUP('Données projet'!$B$12,Paramètres!$A$1:$I$89,5,0)</f>
        <v>414.13788000000073</v>
      </c>
      <c r="CA127" s="13">
        <f t="shared" si="93"/>
        <v>94.637083526579147</v>
      </c>
      <c r="CB127" s="20">
        <f t="shared" si="64"/>
        <v>886.1163948087933</v>
      </c>
      <c r="CC127" s="59">
        <f t="shared" si="65"/>
        <v>1168.9834465919666</v>
      </c>
      <c r="CD127" s="59">
        <f ca="1">AVERAGE(OFFSET($CC$3,0,0,'Données projet'!$E$12+1,1))-AVERAGE(OFFSET($H$3,0,0,'Données projet'!$E$12+1,1))</f>
        <v>692.2706942067415</v>
      </c>
      <c r="CE127" s="59">
        <f t="shared" si="94"/>
        <v>316.17529091924803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0.25800000000000001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71.980949257299912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71.980949257299912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>
        <f>VLOOKUP(A127,'Données projet'!$A$139:$I$159,2,0)</f>
        <v>408.42</v>
      </c>
      <c r="CR127" s="12">
        <f>VLOOKUP(A127,'Données projet'!$A$139:$I$159,9,0)</f>
        <v>7.9920000000000018</v>
      </c>
      <c r="CS127" s="12">
        <f t="array" ref="CS127">INDEX(CR:CR,MIN(IF(ISNUMBER(CR127:CR323),ROW(CR127:CR323),"")))</f>
        <v>7.9920000000000018</v>
      </c>
      <c r="CT127" s="12">
        <f>IF('Données projet'!$A$140&gt;35,CT126+CS127-DB126,IF(A127&lt;'Données projet'!$A$140,$CQ$205^A127,IF(A127='Données projet'!$A$140,'Données projet'!$B$140,CT126+CS127-DB126)))</f>
        <v>408.4200000000007</v>
      </c>
      <c r="CU127" s="17">
        <f>CT127*VLOOKUP('Données projet'!$B$13,Paramètres!$A$1:$I$89,3,0)*VLOOKUP('Données projet'!$B$13,Paramètres!$A$1:$I$89,5,0)</f>
        <v>465.1086960000008</v>
      </c>
      <c r="CV127" s="13">
        <f t="shared" si="95"/>
        <v>104.85838999939763</v>
      </c>
      <c r="CW127" s="20">
        <f t="shared" si="67"/>
        <v>992.69267478228574</v>
      </c>
      <c r="CX127" s="59">
        <f t="shared" si="68"/>
        <v>1275.5597265654592</v>
      </c>
      <c r="CY127" s="59">
        <f ca="1">AVERAGE(OFFSET($CX$3,0,0,'Données projet'!$E$13+1,1))-AVERAGE(OFFSET($H$3,0,0,'Données projet'!$E$13+1,1))</f>
        <v>765.9523557587147</v>
      </c>
      <c r="CZ127" s="59">
        <f t="shared" si="96"/>
        <v>347.40395092312815</v>
      </c>
      <c r="DA127" s="15">
        <f>IF(ISNA(VLOOKUP(A127,'Données projet'!$A$139:$I$159,3,0)),0,VLOOKUP(A127,'Données projet'!$A$139:$I$159,3,0))</f>
        <v>10</v>
      </c>
      <c r="DB127" s="15">
        <f>IF(ISNA(VLOOKUP(A127,'Données projet'!$A$139:$I$159,4,0)),0,VLOOKUP(A127,'Données projet'!$A$139:$I$159,4,0))</f>
        <v>52.53</v>
      </c>
      <c r="DC127" s="16">
        <f>IF(ISNA(VLOOKUP(A127,'Données projet'!$A$139:$I$159,5,0)),0%,VLOOKUP(A127,'Données projet'!$A$139:$I$159,5,0)*VLOOKUP('Données projet'!$B$13,Paramètres!$A$1:$I$89,7,0))</f>
        <v>0.25800000000000001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80.840143012044535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80.840143012044535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146.15384615384625</v>
      </c>
      <c r="DP127" s="17">
        <f>DO127*VLOOKUP('Données projet'!$B$14,Paramètres!$A$1:$I$89,3,0)*VLOOKUP('Données projet'!$B$14,Paramètres!$A$1:$I$89,5,0)</f>
        <v>127.68000000000011</v>
      </c>
      <c r="DQ127" s="13">
        <f t="shared" si="97"/>
        <v>33.45971491465221</v>
      </c>
      <c r="DR127" s="20">
        <f t="shared" si="70"/>
        <v>280.65167014301943</v>
      </c>
      <c r="DS127" s="59">
        <f t="shared" si="71"/>
        <v>563.51872192619271</v>
      </c>
      <c r="DT127" s="59">
        <f ca="1">AVERAGE(OFFSET($DS$3,0,0,'Données projet'!$E$14+1,1))-AVERAGE(OFFSET($H$3,0,0,'Données projet'!$E$14+1,1))</f>
        <v>253.82888243490106</v>
      </c>
      <c r="DU127" s="59">
        <f t="shared" si="98"/>
        <v>224.11983819941796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11.886736671477049</v>
      </c>
      <c r="EB127" s="21">
        <f>EXP(-LN(2)/25)*EB126+(1-EXP(-LN(2)/25))/(LN(2)/25)*Calculateur!DW127*Calculateur!DY127*VLOOKUP('Données projet'!$B$14,Paramètres!$A$1:$I$89,3,0)*0.475*44/12</f>
        <v>4.5362656992042085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16.423002370681257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-4.5474735088646412E-13</v>
      </c>
      <c r="O128" s="13">
        <f>N128*VLOOKUP('Données projet'!$B$9,Paramètres!$A$1:$I$89,3,0)*VLOOKUP('Données projet'!$B$9,Paramètres!$A$1:$I$89,5,0)</f>
        <v>-2.1282176021486519E-13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387.50901594883317</v>
      </c>
      <c r="T128" s="59">
        <f t="shared" si="88"/>
        <v>361.3623790401972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138.91772061695573</v>
      </c>
      <c r="AA128" s="21">
        <f>EXP(-LN(2)/25)*AA127+(1-EXP(-LN(2)/25))/(LN(2)/25)*Calculateur!V128*Calculateur!X128*VLOOKUP('Données projet'!$B$9,Paramètres!$A$1:$I$89,3,0)*0.475*44/12</f>
        <v>48.394051322426748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187.31177193938248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373.47758082856359</v>
      </c>
      <c r="AO128" s="59">
        <f t="shared" si="90"/>
        <v>277.24895424120166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70.568264519736417</v>
      </c>
      <c r="AV128" s="21">
        <f>EXP(-LN(2)/25)*AV127+(1-EXP(-LN(2)/25))/(LN(2)/25)*Calculateur!AQ128*Calculateur!AS128*VLOOKUP('Données projet'!$B$10,Paramètres!$A$1:$I$89,3,0)*0.475*44/12</f>
        <v>23.187020121960913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93.75528464169733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8.0699999999999985</v>
      </c>
      <c r="BD128" s="12">
        <f>IF('Données projet'!$A$88&gt;35,BD127+BC128-BL127,IF(A128&lt;'Données projet'!$A$88,$BA$205^A128,IF(A128='Données projet'!$A$88,'Données projet'!$B$88,BD127+BC128-BL127)))</f>
        <v>363.96000000000072</v>
      </c>
      <c r="BE128" s="13">
        <f>BD128*VLOOKUP('Données projet'!$B$11,Paramètres!$A$1:$I$89,3,0)*VLOOKUP('Données projet'!$B$11,Paramètres!$A$1:$I$89,5,0)</f>
        <v>329.31100800000064</v>
      </c>
      <c r="BF128" s="13">
        <f t="shared" si="91"/>
        <v>77.287444180583748</v>
      </c>
      <c r="BG128" s="20">
        <f t="shared" si="61"/>
        <v>708.15897088118447</v>
      </c>
      <c r="BH128" s="59">
        <f t="shared" si="62"/>
        <v>991.20758925015298</v>
      </c>
      <c r="BI128" s="59">
        <f ca="1">AVERAGE(OFFSET($BH$3,0,0,'Données projet'!$E$11+1,1))-AVERAGE(OFFSET($H$3,0,0,'Données projet'!$E$11+1,1))</f>
        <v>627.65081154031589</v>
      </c>
      <c r="BJ128" s="59">
        <f t="shared" si="92"/>
        <v>288.78083487077618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62.969660173718019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62.969660173718019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8.0699999999999985</v>
      </c>
      <c r="BY128" s="12">
        <f>IF('Données projet'!$A$114&gt;35,BY127+BX128-CG127,IF(A128&lt;'Données projet'!$A$114,$BV$205^A128,IF(A128='Données projet'!$A$114,'Données projet'!$B$114,BY127+BX128-CG127)))</f>
        <v>363.96000000000072</v>
      </c>
      <c r="BZ128" s="13">
        <f>BY128*VLOOKUP('Données projet'!$B$12,Paramètres!$A$1:$I$89,3,0)*VLOOKUP('Données projet'!$B$12,Paramètres!$A$1:$I$89,5,0)</f>
        <v>369.05544000000071</v>
      </c>
      <c r="CA128" s="13">
        <f t="shared" si="93"/>
        <v>85.474036248241589</v>
      </c>
      <c r="CB128" s="20">
        <f t="shared" si="64"/>
        <v>791.63883779902199</v>
      </c>
      <c r="CC128" s="59">
        <f t="shared" si="65"/>
        <v>1074.6874561679906</v>
      </c>
      <c r="CD128" s="59">
        <f ca="1">AVERAGE(OFFSET($CC$3,0,0,'Données projet'!$E$12+1,1))-AVERAGE(OFFSET($H$3,0,0,'Données projet'!$E$12+1,1))</f>
        <v>692.2706942067415</v>
      </c>
      <c r="CE128" s="59">
        <f t="shared" si="94"/>
        <v>316.17529091924803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70.569446746408147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70.569446746408147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8.0699999999999985</v>
      </c>
      <c r="CT128" s="12">
        <f>IF('Données projet'!$A$140&gt;35,CT127+CS128-DB127,IF(A128&lt;'Données projet'!$A$140,$CQ$205^A128,IF(A128='Données projet'!$A$140,'Données projet'!$B$140,CT127+CS128-DB127)))</f>
        <v>363.96000000000072</v>
      </c>
      <c r="CU128" s="17">
        <f>CT128*VLOOKUP('Données projet'!$B$13,Paramètres!$A$1:$I$89,3,0)*VLOOKUP('Données projet'!$B$13,Paramètres!$A$1:$I$89,5,0)</f>
        <v>414.47764800000084</v>
      </c>
      <c r="CV128" s="13">
        <f t="shared" si="95"/>
        <v>94.705685062912679</v>
      </c>
      <c r="CW128" s="20">
        <f t="shared" si="67"/>
        <v>886.82763841790768</v>
      </c>
      <c r="CX128" s="59">
        <f t="shared" si="68"/>
        <v>1169.8762567868762</v>
      </c>
      <c r="CY128" s="59">
        <f ca="1">AVERAGE(OFFSET($CX$3,0,0,'Données projet'!$E$13+1,1))-AVERAGE(OFFSET($H$3,0,0,'Données projet'!$E$13+1,1))</f>
        <v>765.9523557587147</v>
      </c>
      <c r="CZ128" s="59">
        <f t="shared" si="96"/>
        <v>347.40395092312815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79.254917115196861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79.254917115196861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146.15384615384625</v>
      </c>
      <c r="DP128" s="17">
        <f>DO128*VLOOKUP('Données projet'!$B$14,Paramètres!$A$1:$I$89,3,0)*VLOOKUP('Données projet'!$B$14,Paramètres!$A$1:$I$89,5,0)</f>
        <v>127.68000000000011</v>
      </c>
      <c r="DQ128" s="13">
        <f t="shared" si="97"/>
        <v>33.45971491465221</v>
      </c>
      <c r="DR128" s="20">
        <f t="shared" si="70"/>
        <v>280.65167014301943</v>
      </c>
      <c r="DS128" s="59">
        <f t="shared" si="71"/>
        <v>563.70028851198799</v>
      </c>
      <c r="DT128" s="59">
        <f ca="1">AVERAGE(OFFSET($DS$3,0,0,'Données projet'!$E$14+1,1))-AVERAGE(OFFSET($H$3,0,0,'Données projet'!$E$14+1,1))</f>
        <v>253.82888243490106</v>
      </c>
      <c r="DU128" s="59">
        <f t="shared" si="98"/>
        <v>224.11983819941796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11.653645015542857</v>
      </c>
      <c r="EB128" s="21">
        <f>EXP(-LN(2)/25)*EB127+(1-EXP(-LN(2)/25))/(LN(2)/25)*Calculateur!DW128*Calculateur!DY128*VLOOKUP('Données projet'!$B$14,Paramètres!$A$1:$I$89,3,0)*0.475*44/12</f>
        <v>4.4122212751076244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16.065866290650483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-4.5474735088646412E-13</v>
      </c>
      <c r="O129" s="13">
        <f>N129*VLOOKUP('Données projet'!$B$9,Paramètres!$A$1:$I$89,3,0)*VLOOKUP('Données projet'!$B$9,Paramètres!$A$1:$I$89,5,0)</f>
        <v>-2.1282176021486519E-13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387.50901594883317</v>
      </c>
      <c r="T129" s="59">
        <f t="shared" si="88"/>
        <v>361.3623790401972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136.19362884710029</v>
      </c>
      <c r="AA129" s="21">
        <f>EXP(-LN(2)/25)*AA128+(1-EXP(-LN(2)/25))/(LN(2)/25)*Calculateur!V129*Calculateur!X129*VLOOKUP('Données projet'!$B$9,Paramètres!$A$1:$I$89,3,0)*0.475*44/12</f>
        <v>47.070713444082436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183.26434229118271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373.47758082856359</v>
      </c>
      <c r="AO129" s="59">
        <f t="shared" si="90"/>
        <v>277.24895424120166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69.184463894895657</v>
      </c>
      <c r="AV129" s="21">
        <f>EXP(-LN(2)/25)*AV128+(1-EXP(-LN(2)/25))/(LN(2)/25)*Calculateur!AQ129*Calculateur!AS129*VLOOKUP('Données projet'!$B$10,Paramètres!$A$1:$I$89,3,0)*0.475*44/12</f>
        <v>22.552969837373499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91.737433732269153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8.0699999999999985</v>
      </c>
      <c r="BD129" s="12">
        <f>IF('Données projet'!$A$88&gt;35,BD128+BC129-BL128,IF(A129&lt;'Données projet'!$A$88,$BA$205^A129,IF(A129='Données projet'!$A$88,'Données projet'!$B$88,BD128+BC129-BL128)))</f>
        <v>372.03000000000071</v>
      </c>
      <c r="BE129" s="13">
        <f>BD129*VLOOKUP('Données projet'!$B$11,Paramètres!$A$1:$I$89,3,0)*VLOOKUP('Données projet'!$B$11,Paramètres!$A$1:$I$89,5,0)</f>
        <v>336.61274400000065</v>
      </c>
      <c r="BF129" s="13">
        <f t="shared" si="91"/>
        <v>78.799710600410648</v>
      </c>
      <c r="BG129" s="20">
        <f t="shared" si="61"/>
        <v>723.51002509571629</v>
      </c>
      <c r="BH129" s="59">
        <f t="shared" si="62"/>
        <v>1006.7370602761384</v>
      </c>
      <c r="BI129" s="59">
        <f ca="1">AVERAGE(OFFSET($BH$3,0,0,'Données projet'!$E$11+1,1))-AVERAGE(OFFSET($H$3,0,0,'Données projet'!$E$11+1,1))</f>
        <v>627.65081154031589</v>
      </c>
      <c r="BJ129" s="59">
        <f t="shared" si="92"/>
        <v>288.78083487077618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61.73486354541167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61.73486354541167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8.0699999999999985</v>
      </c>
      <c r="BY129" s="12">
        <f>IF('Données projet'!$A$114&gt;35,BY128+BX129-CG128,IF(A129&lt;'Données projet'!$A$114,$BV$205^A129,IF(A129='Données projet'!$A$114,'Données projet'!$B$114,BY128+BX129-CG128)))</f>
        <v>372.03000000000071</v>
      </c>
      <c r="BZ129" s="13">
        <f>BY129*VLOOKUP('Données projet'!$B$12,Paramètres!$A$1:$I$89,3,0)*VLOOKUP('Données projet'!$B$12,Paramètres!$A$1:$I$89,5,0)</f>
        <v>377.23842000000076</v>
      </c>
      <c r="CA129" s="13">
        <f t="shared" si="93"/>
        <v>87.146487914300891</v>
      </c>
      <c r="CB129" s="20">
        <f t="shared" si="64"/>
        <v>808.80371461740867</v>
      </c>
      <c r="CC129" s="59">
        <f t="shared" si="65"/>
        <v>1092.0307497978308</v>
      </c>
      <c r="CD129" s="59">
        <f ca="1">AVERAGE(OFFSET($CC$3,0,0,'Données projet'!$E$12+1,1))-AVERAGE(OFFSET($H$3,0,0,'Données projet'!$E$12+1,1))</f>
        <v>692.2706942067415</v>
      </c>
      <c r="CE129" s="59">
        <f t="shared" si="94"/>
        <v>316.17529091924803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69.185622938823442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69.185622938823442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8.0699999999999985</v>
      </c>
      <c r="CT129" s="12">
        <f>IF('Données projet'!$A$140&gt;35,CT128+CS129-DB128,IF(A129&lt;'Données projet'!$A$140,$CQ$205^A129,IF(A129='Données projet'!$A$140,'Données projet'!$B$140,CT128+CS129-DB128)))</f>
        <v>372.03000000000071</v>
      </c>
      <c r="CU129" s="17">
        <f>CT129*VLOOKUP('Données projet'!$B$13,Paramètres!$A$1:$I$89,3,0)*VLOOKUP('Données projet'!$B$13,Paramètres!$A$1:$I$89,5,0)</f>
        <v>423.66776400000083</v>
      </c>
      <c r="CV129" s="13">
        <f t="shared" si="95"/>
        <v>96.558770370698269</v>
      </c>
      <c r="CW129" s="20">
        <f t="shared" si="67"/>
        <v>906.0612140289677</v>
      </c>
      <c r="CX129" s="59">
        <f t="shared" si="68"/>
        <v>1189.28824920939</v>
      </c>
      <c r="CY129" s="59">
        <f ca="1">AVERAGE(OFFSET($CX$3,0,0,'Données projet'!$E$13+1,1))-AVERAGE(OFFSET($H$3,0,0,'Données projet'!$E$13+1,1))</f>
        <v>765.9523557587147</v>
      </c>
      <c r="CZ129" s="59">
        <f t="shared" si="96"/>
        <v>347.40395092312815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77.700776531294039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77.700776531294039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146.15384615384625</v>
      </c>
      <c r="DP129" s="17">
        <f>DO129*VLOOKUP('Données projet'!$B$14,Paramètres!$A$1:$I$89,3,0)*VLOOKUP('Données projet'!$B$14,Paramètres!$A$1:$I$89,5,0)</f>
        <v>127.68000000000011</v>
      </c>
      <c r="DQ129" s="13">
        <f t="shared" si="97"/>
        <v>33.45971491465221</v>
      </c>
      <c r="DR129" s="20">
        <f t="shared" si="70"/>
        <v>280.65167014301943</v>
      </c>
      <c r="DS129" s="59">
        <f t="shared" si="71"/>
        <v>563.87870532344164</v>
      </c>
      <c r="DT129" s="59">
        <f ca="1">AVERAGE(OFFSET($DS$3,0,0,'Données projet'!$E$14+1,1))-AVERAGE(OFFSET($H$3,0,0,'Données projet'!$E$14+1,1))</f>
        <v>253.82888243490106</v>
      </c>
      <c r="DU129" s="59">
        <f t="shared" si="98"/>
        <v>224.11983819941796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11.425124144809661</v>
      </c>
      <c r="EB129" s="21">
        <f>EXP(-LN(2)/25)*EB128+(1-EXP(-LN(2)/25))/(LN(2)/25)*Calculateur!DW129*Calculateur!DY129*VLOOKUP('Données projet'!$B$14,Paramètres!$A$1:$I$89,3,0)*0.475*44/12</f>
        <v>4.2915688523111735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15.716692997120834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-4.5474735088646412E-13</v>
      </c>
      <c r="O130" s="13">
        <f>N130*VLOOKUP('Données projet'!$B$9,Paramètres!$A$1:$I$89,3,0)*VLOOKUP('Données projet'!$B$9,Paramètres!$A$1:$I$89,5,0)</f>
        <v>-2.1282176021486519E-13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387.50901594883317</v>
      </c>
      <c r="T130" s="59">
        <f t="shared" si="88"/>
        <v>361.3623790401972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133.52295485531977</v>
      </c>
      <c r="AA130" s="21">
        <f>EXP(-LN(2)/25)*AA129+(1-EXP(-LN(2)/25))/(LN(2)/25)*Calculateur!V130*Calculateur!X130*VLOOKUP('Données projet'!$B$9,Paramètres!$A$1:$I$89,3,0)*0.475*44/12</f>
        <v>45.783562309612762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179.30651716493253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373.47758082856359</v>
      </c>
      <c r="AO130" s="59">
        <f t="shared" si="90"/>
        <v>277.24895424120166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67.827798756272983</v>
      </c>
      <c r="AV130" s="21">
        <f>EXP(-LN(2)/25)*AV129+(1-EXP(-LN(2)/25))/(LN(2)/25)*Calculateur!AQ130*Calculateur!AS130*VLOOKUP('Données projet'!$B$10,Paramètres!$A$1:$I$89,3,0)*0.475*44/12</f>
        <v>21.936257691161384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89.764056447434371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8.0699999999999985</v>
      </c>
      <c r="BD130" s="12">
        <f>IF('Données projet'!$A$88&gt;35,BD129+BC130-BL129,IF(A130&lt;'Données projet'!$A$88,$BA$205^A130,IF(A130='Données projet'!$A$88,'Données projet'!$B$88,BD129+BC130-BL129)))</f>
        <v>380.1000000000007</v>
      </c>
      <c r="BE130" s="13">
        <f>BD130*VLOOKUP('Données projet'!$B$11,Paramètres!$A$1:$I$89,3,0)*VLOOKUP('Données projet'!$B$11,Paramètres!$A$1:$I$89,5,0)</f>
        <v>343.91448000000065</v>
      </c>
      <c r="BF130" s="13">
        <f t="shared" si="91"/>
        <v>80.308163160675235</v>
      </c>
      <c r="BG130" s="20">
        <f t="shared" si="61"/>
        <v>738.85443683817709</v>
      </c>
      <c r="BH130" s="59">
        <f t="shared" si="62"/>
        <v>1022.2567936972546</v>
      </c>
      <c r="BI130" s="59">
        <f ca="1">AVERAGE(OFFSET($BH$3,0,0,'Données projet'!$E$11+1,1))-AVERAGE(OFFSET($H$3,0,0,'Données projet'!$E$11+1,1))</f>
        <v>627.65081154031589</v>
      </c>
      <c r="BJ130" s="59">
        <f t="shared" si="92"/>
        <v>288.78083487077618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60.524280525834833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60.524280525834833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8.0699999999999985</v>
      </c>
      <c r="BY130" s="12">
        <f>IF('Données projet'!$A$114&gt;35,BY129+BX130-CG129,IF(A130&lt;'Données projet'!$A$114,$BV$205^A130,IF(A130='Données projet'!$A$114,'Données projet'!$B$114,BY129+BX130-CG129)))</f>
        <v>380.1000000000007</v>
      </c>
      <c r="BZ130" s="13">
        <f>BY130*VLOOKUP('Données projet'!$B$12,Paramètres!$A$1:$I$89,3,0)*VLOOKUP('Données projet'!$B$12,Paramètres!$A$1:$I$89,5,0)</f>
        <v>385.42140000000074</v>
      </c>
      <c r="CA130" s="13">
        <f t="shared" si="93"/>
        <v>88.814721741694029</v>
      </c>
      <c r="CB130" s="20">
        <f t="shared" si="64"/>
        <v>825.96124536678508</v>
      </c>
      <c r="CC130" s="59">
        <f t="shared" si="65"/>
        <v>1109.3636022258625</v>
      </c>
      <c r="CD130" s="59">
        <f ca="1">AVERAGE(OFFSET($CC$3,0,0,'Données projet'!$E$12+1,1))-AVERAGE(OFFSET($H$3,0,0,'Données projet'!$E$12+1,1))</f>
        <v>692.2706942067415</v>
      </c>
      <c r="CE130" s="59">
        <f t="shared" si="94"/>
        <v>316.17529091924803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67.828935072056296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67.828935072056296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8.0699999999999985</v>
      </c>
      <c r="CT130" s="12">
        <f>IF('Données projet'!$A$140&gt;35,CT129+CS130-DB129,IF(A130&lt;'Données projet'!$A$140,$CQ$205^A130,IF(A130='Données projet'!$A$140,'Données projet'!$B$140,CT129+CS130-DB129)))</f>
        <v>380.1000000000007</v>
      </c>
      <c r="CU130" s="17">
        <f>CT130*VLOOKUP('Données projet'!$B$13,Paramètres!$A$1:$I$89,3,0)*VLOOKUP('Données projet'!$B$13,Paramètres!$A$1:$I$89,5,0)</f>
        <v>432.85788000000082</v>
      </c>
      <c r="CV130" s="13">
        <f t="shared" si="95"/>
        <v>98.407182290892834</v>
      </c>
      <c r="CW130" s="20">
        <f t="shared" si="67"/>
        <v>925.28665015663967</v>
      </c>
      <c r="CX130" s="59">
        <f t="shared" si="68"/>
        <v>1208.6890070157172</v>
      </c>
      <c r="CY130" s="59">
        <f ca="1">AVERAGE(OFFSET($CX$3,0,0,'Données projet'!$E$13+1,1))-AVERAGE(OFFSET($H$3,0,0,'Données projet'!$E$13+1,1))</f>
        <v>765.9523557587147</v>
      </c>
      <c r="CZ130" s="59">
        <f t="shared" si="96"/>
        <v>347.40395092312815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76.177111696309396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76.177111696309396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146.15384615384625</v>
      </c>
      <c r="DP130" s="17">
        <f>DO130*VLOOKUP('Données projet'!$B$14,Paramètres!$A$1:$I$89,3,0)*VLOOKUP('Données projet'!$B$14,Paramètres!$A$1:$I$89,5,0)</f>
        <v>127.68000000000011</v>
      </c>
      <c r="DQ130" s="13">
        <f t="shared" si="97"/>
        <v>33.45971491465221</v>
      </c>
      <c r="DR130" s="20">
        <f t="shared" si="70"/>
        <v>280.65167014301943</v>
      </c>
      <c r="DS130" s="59">
        <f t="shared" si="71"/>
        <v>564.05402700209686</v>
      </c>
      <c r="DT130" s="59">
        <f ca="1">AVERAGE(OFFSET($DS$3,0,0,'Données projet'!$E$14+1,1))-AVERAGE(OFFSET($H$3,0,0,'Données projet'!$E$14+1,1))</f>
        <v>253.82888243490106</v>
      </c>
      <c r="DU130" s="59">
        <f t="shared" si="98"/>
        <v>224.11983819941796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11.201084428967576</v>
      </c>
      <c r="EB130" s="21">
        <f>EXP(-LN(2)/25)*EB129+(1-EXP(-LN(2)/25))/(LN(2)/25)*Calculateur!DW130*Calculateur!DY130*VLOOKUP('Données projet'!$B$14,Paramètres!$A$1:$I$89,3,0)*0.475*44/12</f>
        <v>4.1742156763609266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15.375300105328503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-4.5474735088646412E-13</v>
      </c>
      <c r="O131" s="13">
        <f>N131*VLOOKUP('Données projet'!$B$9,Paramètres!$A$1:$I$89,3,0)*VLOOKUP('Données projet'!$B$9,Paramètres!$A$1:$I$89,5,0)</f>
        <v>-2.1282176021486519E-13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387.50901594883317</v>
      </c>
      <c r="T131" s="59">
        <f t="shared" si="88"/>
        <v>361.3623790401972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130.90465115156778</v>
      </c>
      <c r="AA131" s="21">
        <f>EXP(-LN(2)/25)*AA130+(1-EXP(-LN(2)/25))/(LN(2)/25)*Calculateur!V131*Calculateur!X131*VLOOKUP('Données projet'!$B$9,Paramètres!$A$1:$I$89,3,0)*0.475*44/12</f>
        <v>44.531608390603502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175.43625954217129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373.47758082856359</v>
      </c>
      <c r="AO131" s="59">
        <f t="shared" si="90"/>
        <v>277.24895424120166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66.497736993534673</v>
      </c>
      <c r="AV131" s="21">
        <f>EXP(-LN(2)/25)*AV130+(1-EXP(-LN(2)/25))/(LN(2)/25)*Calculateur!AQ131*Calculateur!AS131*VLOOKUP('Données projet'!$B$10,Paramètres!$A$1:$I$89,3,0)*0.475*44/12</f>
        <v>21.336409571018919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87.834146564553592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8.0699999999999985</v>
      </c>
      <c r="BD131" s="12">
        <f>IF('Données projet'!$A$88&gt;35,BD130+BC131-BL130,IF(A131&lt;'Données projet'!$A$88,$BA$205^A131,IF(A131='Données projet'!$A$88,'Données projet'!$B$88,BD130+BC131-BL130)))</f>
        <v>388.1700000000007</v>
      </c>
      <c r="BE131" s="13">
        <f>BD131*VLOOKUP('Données projet'!$B$11,Paramètres!$A$1:$I$89,3,0)*VLOOKUP('Données projet'!$B$11,Paramètres!$A$1:$I$89,5,0)</f>
        <v>351.2162160000006</v>
      </c>
      <c r="BF131" s="13">
        <f t="shared" si="91"/>
        <v>81.812892161752615</v>
      </c>
      <c r="BG131" s="20">
        <f t="shared" si="61"/>
        <v>754.19236338172016</v>
      </c>
      <c r="BH131" s="59">
        <f t="shared" si="62"/>
        <v>1037.7670004802887</v>
      </c>
      <c r="BI131" s="59">
        <f ca="1">AVERAGE(OFFSET($BH$3,0,0,'Données projet'!$E$11+1,1))-AVERAGE(OFFSET($H$3,0,0,'Données projet'!$E$11+1,1))</f>
        <v>627.65081154031589</v>
      </c>
      <c r="BJ131" s="59">
        <f t="shared" si="92"/>
        <v>288.78083487077618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59.337436300889166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59.337436300889166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8.0699999999999985</v>
      </c>
      <c r="BY131" s="12">
        <f>IF('Données projet'!$A$114&gt;35,BY130+BX131-CG130,IF(A131&lt;'Données projet'!$A$114,$BV$205^A131,IF(A131='Données projet'!$A$114,'Données projet'!$B$114,BY130+BX131-CG130)))</f>
        <v>388.1700000000007</v>
      </c>
      <c r="BZ131" s="13">
        <f>BY131*VLOOKUP('Données projet'!$B$12,Paramètres!$A$1:$I$89,3,0)*VLOOKUP('Données projet'!$B$12,Paramètres!$A$1:$I$89,5,0)</f>
        <v>393.60438000000073</v>
      </c>
      <c r="CA131" s="13">
        <f t="shared" si="93"/>
        <v>90.478837595769321</v>
      </c>
      <c r="CB131" s="20">
        <f t="shared" si="64"/>
        <v>843.1116039792995</v>
      </c>
      <c r="CC131" s="59">
        <f t="shared" si="65"/>
        <v>1126.6862410778681</v>
      </c>
      <c r="CD131" s="59">
        <f ca="1">AVERAGE(OFFSET($CC$3,0,0,'Données projet'!$E$12+1,1))-AVERAGE(OFFSET($H$3,0,0,'Données projet'!$E$12+1,1))</f>
        <v>692.2706942067415</v>
      </c>
      <c r="CE131" s="59">
        <f t="shared" si="94"/>
        <v>316.17529091924803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66.49885102685856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66.49885102685856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8.0699999999999985</v>
      </c>
      <c r="CT131" s="12">
        <f>IF('Données projet'!$A$140&gt;35,CT130+CS131-DB130,IF(A131&lt;'Données projet'!$A$140,$CQ$205^A131,IF(A131='Données projet'!$A$140,'Données projet'!$B$140,CT130+CS131-DB130)))</f>
        <v>388.1700000000007</v>
      </c>
      <c r="CU131" s="17">
        <f>CT131*VLOOKUP('Données projet'!$B$13,Paramètres!$A$1:$I$89,3,0)*VLOOKUP('Données projet'!$B$13,Paramètres!$A$1:$I$89,5,0)</f>
        <v>442.04799600000081</v>
      </c>
      <c r="CV131" s="13">
        <f t="shared" si="95"/>
        <v>100.25103147483138</v>
      </c>
      <c r="CW131" s="20">
        <f t="shared" si="67"/>
        <v>944.50413951866597</v>
      </c>
      <c r="CX131" s="59">
        <f t="shared" si="68"/>
        <v>1228.0787766172346</v>
      </c>
      <c r="CY131" s="59">
        <f ca="1">AVERAGE(OFFSET($CX$3,0,0,'Données projet'!$E$13+1,1))-AVERAGE(OFFSET($H$3,0,0,'Données projet'!$E$13+1,1))</f>
        <v>765.9523557587147</v>
      </c>
      <c r="CZ131" s="59">
        <f t="shared" si="96"/>
        <v>347.40395092312815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74.683324999395012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74.683324999395012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146.15384615384625</v>
      </c>
      <c r="DP131" s="17">
        <f>DO131*VLOOKUP('Données projet'!$B$14,Paramètres!$A$1:$I$89,3,0)*VLOOKUP('Données projet'!$B$14,Paramètres!$A$1:$I$89,5,0)</f>
        <v>127.68000000000011</v>
      </c>
      <c r="DQ131" s="13">
        <f t="shared" si="97"/>
        <v>33.45971491465221</v>
      </c>
      <c r="DR131" s="20">
        <f t="shared" si="70"/>
        <v>280.65167014301943</v>
      </c>
      <c r="DS131" s="59">
        <f t="shared" si="71"/>
        <v>564.22630724158796</v>
      </c>
      <c r="DT131" s="59">
        <f ca="1">AVERAGE(OFFSET($DS$3,0,0,'Données projet'!$E$14+1,1))-AVERAGE(OFFSET($H$3,0,0,'Données projet'!$E$14+1,1))</f>
        <v>253.82888243490106</v>
      </c>
      <c r="DU131" s="59">
        <f t="shared" si="98"/>
        <v>224.11983819941796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10.981437995302421</v>
      </c>
      <c r="EB131" s="21">
        <f>EXP(-LN(2)/25)*EB130+(1-EXP(-LN(2)/25))/(LN(2)/25)*Calculateur!DW131*Calculateur!DY131*VLOOKUP('Données projet'!$B$14,Paramètres!$A$1:$I$89,3,0)*0.475*44/12</f>
        <v>4.0600715291783747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15.041509524480796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-4.5474735088646412E-13</v>
      </c>
      <c r="O132" s="13">
        <f>N132*VLOOKUP('Données projet'!$B$9,Paramètres!$A$1:$I$89,3,0)*VLOOKUP('Données projet'!$B$9,Paramètres!$A$1:$I$89,5,0)</f>
        <v>-2.1282176021486519E-13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387.50901594883317</v>
      </c>
      <c r="T132" s="59">
        <f t="shared" si="88"/>
        <v>361.3623790401972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128.3376907864388</v>
      </c>
      <c r="AA132" s="21">
        <f>EXP(-LN(2)/25)*AA131+(1-EXP(-LN(2)/25))/(LN(2)/25)*Calculateur!V132*Calculateur!X132*VLOOKUP('Données projet'!$B$9,Paramètres!$A$1:$I$89,3,0)*0.475*44/12</f>
        <v>43.31388921734694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171.65158000378574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373.47758082856359</v>
      </c>
      <c r="AO132" s="59">
        <f t="shared" si="90"/>
        <v>277.24895424120166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65.193756930706101</v>
      </c>
      <c r="AV132" s="21">
        <f>EXP(-LN(2)/25)*AV131+(1-EXP(-LN(2)/25))/(LN(2)/25)*Calculateur!AQ132*Calculateur!AS132*VLOOKUP('Données projet'!$B$10,Paramètres!$A$1:$I$89,3,0)*0.475*44/12</f>
        <v>20.752964329266394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85.946721259972492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8.0699999999999985</v>
      </c>
      <c r="BD132" s="12">
        <f>IF('Données projet'!$A$88&gt;35,BD131+BC132-BL131,IF(A132&lt;'Données projet'!$A$88,$BA$205^A132,IF(A132='Données projet'!$A$88,'Données projet'!$B$88,BD131+BC132-BL131)))</f>
        <v>396.24000000000069</v>
      </c>
      <c r="BE132" s="13">
        <f>BD132*VLOOKUP('Données projet'!$B$11,Paramètres!$A$1:$I$89,3,0)*VLOOKUP('Données projet'!$B$11,Paramètres!$A$1:$I$89,5,0)</f>
        <v>358.51795200000061</v>
      </c>
      <c r="BF132" s="13">
        <f t="shared" si="91"/>
        <v>83.313983934777241</v>
      </c>
      <c r="BG132" s="20">
        <f t="shared" ref="BG132:BG153" si="115">(BE132+BF132)*0.475*44/12</f>
        <v>769.52395508640473</v>
      </c>
      <c r="BH132" s="59">
        <f t="shared" ref="BH132:BH195" si="116">BG132+(AY132+AZ132)*44/12</f>
        <v>1053.26788374747</v>
      </c>
      <c r="BI132" s="59">
        <f ca="1">AVERAGE(OFFSET($BH$3,0,0,'Données projet'!$E$11+1,1))-AVERAGE(OFFSET($H$3,0,0,'Données projet'!$E$11+1,1))</f>
        <v>627.65081154031589</v>
      </c>
      <c r="BJ132" s="59">
        <f t="shared" si="92"/>
        <v>288.78083487077618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58.173865367291185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58.173865367291185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8.0699999999999985</v>
      </c>
      <c r="BY132" s="12">
        <f>IF('Données projet'!$A$114&gt;35,BY131+BX132-CG131,IF(A132&lt;'Données projet'!$A$114,$BV$205^A132,IF(A132='Données projet'!$A$114,'Données projet'!$B$114,BY131+BX132-CG131)))</f>
        <v>396.24000000000069</v>
      </c>
      <c r="BZ132" s="13">
        <f>BY132*VLOOKUP('Données projet'!$B$12,Paramètres!$A$1:$I$89,3,0)*VLOOKUP('Données projet'!$B$12,Paramètres!$A$1:$I$89,5,0)</f>
        <v>401.78736000000072</v>
      </c>
      <c r="CA132" s="13">
        <f t="shared" si="93"/>
        <v>92.138930952196844</v>
      </c>
      <c r="CB132" s="20">
        <f t="shared" ref="CB132:CB153" si="118">(BZ132+CA132)*0.475*44/12</f>
        <v>860.25495674174408</v>
      </c>
      <c r="CC132" s="59">
        <f t="shared" ref="CC132:CC195" si="119">CB132+(BT132+BU132)*44/12</f>
        <v>1143.9988854028095</v>
      </c>
      <c r="CD132" s="59">
        <f ca="1">AVERAGE(OFFSET($CC$3,0,0,'Données projet'!$E$12+1,1))-AVERAGE(OFFSET($H$3,0,0,'Données projet'!$E$12+1,1))</f>
        <v>692.2706942067415</v>
      </c>
      <c r="CE132" s="59">
        <f t="shared" si="94"/>
        <v>316.17529091924803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65.19484911851599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65.19484911851599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8.0699999999999985</v>
      </c>
      <c r="CT132" s="12">
        <f>IF('Données projet'!$A$140&gt;35,CT131+CS132-DB131,IF(A132&lt;'Données projet'!$A$140,$CQ$205^A132,IF(A132='Données projet'!$A$140,'Données projet'!$B$140,CT131+CS132-DB131)))</f>
        <v>396.24000000000069</v>
      </c>
      <c r="CU132" s="17">
        <f>CT132*VLOOKUP('Données projet'!$B$13,Paramètres!$A$1:$I$89,3,0)*VLOOKUP('Données projet'!$B$13,Paramètres!$A$1:$I$89,5,0)</f>
        <v>451.2381120000008</v>
      </c>
      <c r="CV132" s="13">
        <f t="shared" si="95"/>
        <v>102.09042371006227</v>
      </c>
      <c r="CW132" s="20">
        <f t="shared" ref="CW132:CW153" si="121">(CU132+CV132)*0.475*44/12</f>
        <v>963.71386636169325</v>
      </c>
      <c r="CX132" s="59">
        <f t="shared" ref="CX132:CX195" si="122">CW132+(CO132+CP132)*44/12</f>
        <v>1247.4577950227585</v>
      </c>
      <c r="CY132" s="59">
        <f ca="1">AVERAGE(OFFSET($CX$3,0,0,'Données projet'!$E$13+1,1))-AVERAGE(OFFSET($H$3,0,0,'Données projet'!$E$13+1,1))</f>
        <v>765.9523557587147</v>
      </c>
      <c r="CZ132" s="59">
        <f t="shared" si="96"/>
        <v>347.40395092312815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73.218830548487205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73.218830548487205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146.15384615384625</v>
      </c>
      <c r="DP132" s="17">
        <f>DO132*VLOOKUP('Données projet'!$B$14,Paramètres!$A$1:$I$89,3,0)*VLOOKUP('Données projet'!$B$14,Paramètres!$A$1:$I$89,5,0)</f>
        <v>127.68000000000011</v>
      </c>
      <c r="DQ132" s="13">
        <f t="shared" si="97"/>
        <v>33.45971491465221</v>
      </c>
      <c r="DR132" s="20">
        <f t="shared" ref="DR132:DR153" si="124">(DP132+DQ132)*0.475*44/12</f>
        <v>280.65167014301943</v>
      </c>
      <c r="DS132" s="59">
        <f t="shared" ref="DS132:DS195" si="125">DR132+(DJ132+DK132)*44/12</f>
        <v>564.39559880408478</v>
      </c>
      <c r="DT132" s="59">
        <f ca="1">AVERAGE(OFFSET($DS$3,0,0,'Données projet'!$E$14+1,1))-AVERAGE(OFFSET($H$3,0,0,'Données projet'!$E$14+1,1))</f>
        <v>253.82888243490106</v>
      </c>
      <c r="DU132" s="59">
        <f t="shared" si="98"/>
        <v>224.11983819941796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10.766098694230344</v>
      </c>
      <c r="EB132" s="21">
        <f>EXP(-LN(2)/25)*EB131+(1-EXP(-LN(2)/25))/(LN(2)/25)*Calculateur!DW132*Calculateur!DY132*VLOOKUP('Données projet'!$B$14,Paramètres!$A$1:$I$89,3,0)*0.475*44/12</f>
        <v>3.9490486597031098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14.715147353933453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-4.5474735088646412E-13</v>
      </c>
      <c r="O133" s="13">
        <f>N133*VLOOKUP('Données projet'!$B$9,Paramètres!$A$1:$I$89,3,0)*VLOOKUP('Données projet'!$B$9,Paramètres!$A$1:$I$89,5,0)</f>
        <v>-2.1282176021486519E-13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387.50901594883317</v>
      </c>
      <c r="T133" s="59">
        <f t="shared" ref="T133:T196" si="142">$T$3</f>
        <v>361.3623790401972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125.82106694837877</v>
      </c>
      <c r="AA133" s="21">
        <f>EXP(-LN(2)/25)*AA132+(1-EXP(-LN(2)/25))/(LN(2)/25)*Calculateur!V133*Calculateur!X133*VLOOKUP('Données projet'!$B$9,Paramètres!$A$1:$I$89,3,0)*0.475*44/12</f>
        <v>42.129468638920152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167.95053558729893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373.47758082856359</v>
      </c>
      <c r="AO133" s="59">
        <f t="shared" ref="AO133:AO196" si="144">$AO$3</f>
        <v>277.24895424120166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63.915347121560288</v>
      </c>
      <c r="AV133" s="21">
        <f>EXP(-LN(2)/25)*AV132+(1-EXP(-LN(2)/25))/(LN(2)/25)*Calculateur!AQ133*Calculateur!AS133*VLOOKUP('Données projet'!$B$10,Paramètres!$A$1:$I$89,3,0)*0.475*44/12</f>
        <v>20.18547342833164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84.100820549891921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8.0699999999999985</v>
      </c>
      <c r="BD133" s="12">
        <f>IF('Données projet'!$A$88&gt;35,BD132+BC133-BL132,IF(A133&lt;'Données projet'!$A$88,$BA$205^A133,IF(A133='Données projet'!$A$88,'Données projet'!$B$88,BD132+BC133-BL132)))</f>
        <v>404.31000000000068</v>
      </c>
      <c r="BE133" s="13">
        <f>BD133*VLOOKUP('Données projet'!$B$11,Paramètres!$A$1:$I$89,3,0)*VLOOKUP('Données projet'!$B$11,Paramètres!$A$1:$I$89,5,0)</f>
        <v>365.81968800000061</v>
      </c>
      <c r="BF133" s="13">
        <f t="shared" ref="BF133:BF153" si="145">EXP(-1.0587+0.8836*LN(BE133)+0.284)</f>
        <v>84.811521093342051</v>
      </c>
      <c r="BG133" s="20">
        <f t="shared" si="115"/>
        <v>784.84935583757169</v>
      </c>
      <c r="BH133" s="59">
        <f t="shared" si="116"/>
        <v>1068.7596392310038</v>
      </c>
      <c r="BI133" s="59">
        <f ca="1">AVERAGE(OFFSET($BH$3,0,0,'Données projet'!$E$11+1,1))-AVERAGE(OFFSET($H$3,0,0,'Données projet'!$E$11+1,1))</f>
        <v>627.65081154031589</v>
      </c>
      <c r="BJ133" s="59">
        <f t="shared" ref="BJ133:BJ196" si="146">$BJ$3</f>
        <v>288.78083487077618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57.033111349992865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57.033111349992865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8.0699999999999985</v>
      </c>
      <c r="BY133" s="12">
        <f>IF('Données projet'!$A$114&gt;35,BY132+BX133-CG132,IF(A133&lt;'Données projet'!$A$114,$BV$205^A133,IF(A133='Données projet'!$A$114,'Données projet'!$B$114,BY132+BX133-CG132)))</f>
        <v>404.31000000000068</v>
      </c>
      <c r="BZ133" s="13">
        <f>BY133*VLOOKUP('Données projet'!$B$12,Paramètres!$A$1:$I$89,3,0)*VLOOKUP('Données projet'!$B$12,Paramètres!$A$1:$I$89,5,0)</f>
        <v>409.9703400000007</v>
      </c>
      <c r="CA133" s="13">
        <f t="shared" ref="CA133:CA153" si="147">EXP(-1.0587+0.8836*LN(BZ133)+0.284)</f>
        <v>93.795093175328134</v>
      </c>
      <c r="CB133" s="20">
        <f t="shared" si="118"/>
        <v>877.39146278036435</v>
      </c>
      <c r="CC133" s="59">
        <f t="shared" si="119"/>
        <v>1161.3017461737963</v>
      </c>
      <c r="CD133" s="59">
        <f ca="1">AVERAGE(OFFSET($CC$3,0,0,'Données projet'!$E$12+1,1))-AVERAGE(OFFSET($H$3,0,0,'Données projet'!$E$12+1,1))</f>
        <v>692.2706942067415</v>
      </c>
      <c r="CE133" s="59">
        <f t="shared" ref="CE133:CE196" si="148">$CE$3</f>
        <v>316.17529091924803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63.91641789223339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63.91641789223339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8.0699999999999985</v>
      </c>
      <c r="CT133" s="12">
        <f>IF('Données projet'!$A$140&gt;35,CT132+CS133-DB132,IF(A133&lt;'Données projet'!$A$140,$CQ$205^A133,IF(A133='Données projet'!$A$140,'Données projet'!$B$140,CT132+CS133-DB132)))</f>
        <v>404.31000000000068</v>
      </c>
      <c r="CU133" s="17">
        <f>CT133*VLOOKUP('Données projet'!$B$13,Paramètres!$A$1:$I$89,3,0)*VLOOKUP('Données projet'!$B$13,Paramètres!$A$1:$I$89,5,0)</f>
        <v>460.42822800000079</v>
      </c>
      <c r="CV133" s="13">
        <f t="shared" ref="CV133:CV153" si="149">EXP(-1.0587+0.8836*LN(CU133)+0.284)</f>
        <v>103.92546022877109</v>
      </c>
      <c r="CW133" s="20">
        <f t="shared" si="121"/>
        <v>982.91600699844412</v>
      </c>
      <c r="CX133" s="59">
        <f t="shared" si="122"/>
        <v>1266.8262903918762</v>
      </c>
      <c r="CY133" s="59">
        <f ca="1">AVERAGE(OFFSET($CX$3,0,0,'Données projet'!$E$13+1,1))-AVERAGE(OFFSET($H$3,0,0,'Données projet'!$E$13+1,1))</f>
        <v>765.9523557587147</v>
      </c>
      <c r="CZ133" s="59">
        <f t="shared" ref="CZ133:CZ196" si="150">$CZ$3</f>
        <v>347.40395092312815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71.783053940508282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71.783053940508282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146.15384615384625</v>
      </c>
      <c r="DP133" s="17">
        <f>DO133*VLOOKUP('Données projet'!$B$14,Paramètres!$A$1:$I$89,3,0)*VLOOKUP('Données projet'!$B$14,Paramètres!$A$1:$I$89,5,0)</f>
        <v>127.68000000000011</v>
      </c>
      <c r="DQ133" s="13">
        <f t="shared" ref="DQ133:DQ153" si="151">EXP(-1.0587+0.8836*LN(DP133)+0.284)</f>
        <v>33.45971491465221</v>
      </c>
      <c r="DR133" s="20">
        <f t="shared" si="124"/>
        <v>280.65167014301943</v>
      </c>
      <c r="DS133" s="59">
        <f t="shared" si="125"/>
        <v>564.56195353645148</v>
      </c>
      <c r="DT133" s="59">
        <f ca="1">AVERAGE(OFFSET($DS$3,0,0,'Données projet'!$E$14+1,1))-AVERAGE(OFFSET($H$3,0,0,'Données projet'!$E$14+1,1))</f>
        <v>253.82888243490106</v>
      </c>
      <c r="DU133" s="59">
        <f t="shared" ref="DU133:DU196" si="152">$DU$3</f>
        <v>224.11983819941796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10.554982065508286</v>
      </c>
      <c r="EB133" s="21">
        <f>EXP(-LN(2)/25)*EB132+(1-EXP(-LN(2)/25))/(LN(2)/25)*Calculateur!DW133*Calculateur!DY133*VLOOKUP('Données projet'!$B$14,Paramètres!$A$1:$I$89,3,0)*0.475*44/12</f>
        <v>3.841061716432085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14.396043781940371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-4.5474735088646412E-13</v>
      </c>
      <c r="O134" s="13">
        <f>N134*VLOOKUP('Données projet'!$B$9,Paramètres!$A$1:$I$89,3,0)*VLOOKUP('Données projet'!$B$9,Paramètres!$A$1:$I$89,5,0)</f>
        <v>-2.1282176021486519E-13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387.50901594883317</v>
      </c>
      <c r="T134" s="59">
        <f t="shared" si="142"/>
        <v>361.3623790401972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123.35379256879413</v>
      </c>
      <c r="AA134" s="21">
        <f>EXP(-LN(2)/25)*AA133+(1-EXP(-LN(2)/25))/(LN(2)/25)*Calculateur!V134*Calculateur!X134*VLOOKUP('Données projet'!$B$9,Paramètres!$A$1:$I$89,3,0)*0.475*44/12</f>
        <v>40.977436103496416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164.33122867229054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373.47758082856359</v>
      </c>
      <c r="AO134" s="59">
        <f t="shared" si="144"/>
        <v>277.24895424120166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62.662006149018836</v>
      </c>
      <c r="AV134" s="21">
        <f>EXP(-LN(2)/25)*AV133+(1-EXP(-LN(2)/25))/(LN(2)/25)*Calculateur!AQ134*Calculateur!AS134*VLOOKUP('Données projet'!$B$10,Paramètres!$A$1:$I$89,3,0)*0.475*44/12</f>
        <v>19.633500595925998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82.295506744944831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8.0699999999999985</v>
      </c>
      <c r="BD134" s="12">
        <f>IF('Données projet'!$A$88&gt;35,BD133+BC134-BL133,IF(A134&lt;'Données projet'!$A$88,$BA$205^A134,IF(A134='Données projet'!$A$88,'Données projet'!$B$88,BD133+BC134-BL133)))</f>
        <v>412.38000000000068</v>
      </c>
      <c r="BE134" s="13">
        <f>BD134*VLOOKUP('Données projet'!$B$11,Paramètres!$A$1:$I$89,3,0)*VLOOKUP('Données projet'!$B$11,Paramètres!$A$1:$I$89,5,0)</f>
        <v>373.12142400000062</v>
      </c>
      <c r="BF134" s="13">
        <f t="shared" si="145"/>
        <v>86.305582764533938</v>
      </c>
      <c r="BG134" s="20">
        <f t="shared" si="115"/>
        <v>800.16870344823099</v>
      </c>
      <c r="BH134" s="59">
        <f t="shared" si="116"/>
        <v>1084.2424556913368</v>
      </c>
      <c r="BI134" s="59">
        <f ca="1">AVERAGE(OFFSET($BH$3,0,0,'Données projet'!$E$11+1,1))-AVERAGE(OFFSET($H$3,0,0,'Données projet'!$E$11+1,1))</f>
        <v>627.65081154031589</v>
      </c>
      <c r="BJ134" s="59">
        <f t="shared" si="146"/>
        <v>288.78083487077618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55.914726823182519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55.914726823182519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8.0699999999999985</v>
      </c>
      <c r="BY134" s="12">
        <f>IF('Données projet'!$A$114&gt;35,BY133+BX134-CG133,IF(A134&lt;'Données projet'!$A$114,$BV$205^A134,IF(A134='Données projet'!$A$114,'Données projet'!$B$114,BY133+BX134-CG133)))</f>
        <v>412.38000000000068</v>
      </c>
      <c r="BZ134" s="13">
        <f>BY134*VLOOKUP('Données projet'!$B$12,Paramètres!$A$1:$I$89,3,0)*VLOOKUP('Données projet'!$B$12,Paramètres!$A$1:$I$89,5,0)</f>
        <v>418.15332000000069</v>
      </c>
      <c r="CA134" s="13">
        <f t="shared" si="147"/>
        <v>95.44741177370463</v>
      </c>
      <c r="CB134" s="20">
        <f t="shared" si="118"/>
        <v>894.52127450587011</v>
      </c>
      <c r="CC134" s="59">
        <f t="shared" si="119"/>
        <v>1178.5950267489759</v>
      </c>
      <c r="CD134" s="59">
        <f ca="1">AVERAGE(OFFSET($CC$3,0,0,'Données projet'!$E$12+1,1))-AVERAGE(OFFSET($H$3,0,0,'Données projet'!$E$12+1,1))</f>
        <v>692.2706942067415</v>
      </c>
      <c r="CE134" s="59">
        <f t="shared" si="148"/>
        <v>316.17529091924803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62.663055922532145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62.663055922532145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8.0699999999999985</v>
      </c>
      <c r="CT134" s="12">
        <f>IF('Données projet'!$A$140&gt;35,CT133+CS134-DB133,IF(A134&lt;'Données projet'!$A$140,$CQ$205^A134,IF(A134='Données projet'!$A$140,'Données projet'!$B$140,CT133+CS134-DB133)))</f>
        <v>412.38000000000068</v>
      </c>
      <c r="CU134" s="17">
        <f>CT134*VLOOKUP('Données projet'!$B$13,Paramètres!$A$1:$I$89,3,0)*VLOOKUP('Données projet'!$B$13,Paramètres!$A$1:$I$89,5,0)</f>
        <v>469.61834400000077</v>
      </c>
      <c r="CV134" s="13">
        <f t="shared" si="149"/>
        <v>105.75623799088554</v>
      </c>
      <c r="CW134" s="20">
        <f t="shared" si="121"/>
        <v>1002.1107303007938</v>
      </c>
      <c r="CX134" s="59">
        <f t="shared" si="122"/>
        <v>1286.1844825438995</v>
      </c>
      <c r="CY134" s="59">
        <f ca="1">AVERAGE(OFFSET($CX$3,0,0,'Données projet'!$E$13+1,1))-AVERAGE(OFFSET($H$3,0,0,'Données projet'!$E$13+1,1))</f>
        <v>765.9523557587147</v>
      </c>
      <c r="CZ134" s="59">
        <f t="shared" si="150"/>
        <v>347.40395092312815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70.375432036074571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70.375432036074571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146.15384615384625</v>
      </c>
      <c r="DP134" s="17">
        <f>DO134*VLOOKUP('Données projet'!$B$14,Paramètres!$A$1:$I$89,3,0)*VLOOKUP('Données projet'!$B$14,Paramètres!$A$1:$I$89,5,0)</f>
        <v>127.68000000000011</v>
      </c>
      <c r="DQ134" s="13">
        <f t="shared" si="151"/>
        <v>33.45971491465221</v>
      </c>
      <c r="DR134" s="20">
        <f t="shared" si="124"/>
        <v>280.65167014301943</v>
      </c>
      <c r="DS134" s="59">
        <f t="shared" si="125"/>
        <v>564.72542238612516</v>
      </c>
      <c r="DT134" s="59">
        <f ca="1">AVERAGE(OFFSET($DS$3,0,0,'Données projet'!$E$14+1,1))-AVERAGE(OFFSET($H$3,0,0,'Données projet'!$E$14+1,1))</f>
        <v>253.82888243490106</v>
      </c>
      <c r="DU134" s="59">
        <f t="shared" si="152"/>
        <v>224.11983819941796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10.348005305107039</v>
      </c>
      <c r="EB134" s="21">
        <f>EXP(-LN(2)/25)*EB133+(1-EXP(-LN(2)/25))/(LN(2)/25)*Calculateur!DW134*Calculateur!DY134*VLOOKUP('Données projet'!$B$14,Paramètres!$A$1:$I$89,3,0)*0.475*44/12</f>
        <v>3.7360276818035927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14.084032986910632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-4.5474735088646412E-13</v>
      </c>
      <c r="O135" s="13">
        <f>N135*VLOOKUP('Données projet'!$B$9,Paramètres!$A$1:$I$89,3,0)*VLOOKUP('Données projet'!$B$9,Paramètres!$A$1:$I$89,5,0)</f>
        <v>-2.1282176021486519E-13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387.50901594883317</v>
      </c>
      <c r="T135" s="59">
        <f t="shared" si="142"/>
        <v>361.3623790401972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120.93489993490438</v>
      </c>
      <c r="AA135" s="21">
        <f>EXP(-LN(2)/25)*AA134+(1-EXP(-LN(2)/25))/(LN(2)/25)*Calculateur!V135*Calculateur!X135*VLOOKUP('Données projet'!$B$9,Paramètres!$A$1:$I$89,3,0)*0.475*44/12</f>
        <v>39.856905958336597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160.79180589324096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373.47758082856359</v>
      </c>
      <c r="AO135" s="59">
        <f t="shared" si="144"/>
        <v>277.24895424120166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61.433242428486409</v>
      </c>
      <c r="AV135" s="21">
        <f>EXP(-LN(2)/25)*AV134+(1-EXP(-LN(2)/25))/(LN(2)/25)*Calculateur!AQ135*Calculateur!AS135*VLOOKUP('Données projet'!$B$10,Paramètres!$A$1:$I$89,3,0)*0.475*44/12</f>
        <v>19.096621489649479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80.529863918135888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8.0699999999999985</v>
      </c>
      <c r="BD135" s="12">
        <f>IF('Données projet'!$A$88&gt;35,BD134+BC135-BL134,IF(A135&lt;'Données projet'!$A$88,$BA$205^A135,IF(A135='Données projet'!$A$88,'Données projet'!$B$88,BD134+BC135-BL134)))</f>
        <v>420.45000000000067</v>
      </c>
      <c r="BE135" s="13">
        <f>BD135*VLOOKUP('Données projet'!$B$11,Paramètres!$A$1:$I$89,3,0)*VLOOKUP('Données projet'!$B$11,Paramètres!$A$1:$I$89,5,0)</f>
        <v>380.42316000000056</v>
      </c>
      <c r="BF135" s="13">
        <f t="shared" si="145"/>
        <v>87.79624480137376</v>
      </c>
      <c r="BG135" s="20">
        <f t="shared" si="115"/>
        <v>815.48213002906016</v>
      </c>
      <c r="BH135" s="59">
        <f t="shared" si="116"/>
        <v>1099.7165153027593</v>
      </c>
      <c r="BI135" s="59">
        <f ca="1">AVERAGE(OFFSET($BH$3,0,0,'Données projet'!$E$11+1,1))-AVERAGE(OFFSET($H$3,0,0,'Données projet'!$E$11+1,1))</f>
        <v>627.65081154031589</v>
      </c>
      <c r="BJ135" s="59">
        <f t="shared" si="146"/>
        <v>288.78083487077618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54.818273134795724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54.818273134795724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8.0699999999999985</v>
      </c>
      <c r="BY135" s="12">
        <f>IF('Données projet'!$A$114&gt;35,BY134+BX135-CG134,IF(A135&lt;'Données projet'!$A$114,$BV$205^A135,IF(A135='Données projet'!$A$114,'Données projet'!$B$114,BY134+BX135-CG134)))</f>
        <v>420.45000000000067</v>
      </c>
      <c r="BZ135" s="13">
        <f>BY135*VLOOKUP('Données projet'!$B$12,Paramètres!$A$1:$I$89,3,0)*VLOOKUP('Données projet'!$B$12,Paramètres!$A$1:$I$89,5,0)</f>
        <v>426.33630000000073</v>
      </c>
      <c r="CA135" s="13">
        <f t="shared" si="147"/>
        <v>97.095970634999375</v>
      </c>
      <c r="CB135" s="20">
        <f t="shared" si="118"/>
        <v>911.64453802262517</v>
      </c>
      <c r="CC135" s="59">
        <f t="shared" si="119"/>
        <v>1195.8789232963243</v>
      </c>
      <c r="CD135" s="59">
        <f ca="1">AVERAGE(OFFSET($CC$3,0,0,'Données projet'!$E$12+1,1))-AVERAGE(OFFSET($H$3,0,0,'Données projet'!$E$12+1,1))</f>
        <v>692.2706942067415</v>
      </c>
      <c r="CE135" s="59">
        <f t="shared" si="148"/>
        <v>316.17529091924803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61.43427161658142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61.43427161658142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8.0699999999999985</v>
      </c>
      <c r="CT135" s="12">
        <f>IF('Données projet'!$A$140&gt;35,CT134+CS135-DB134,IF(A135&lt;'Données projet'!$A$140,$CQ$205^A135,IF(A135='Données projet'!$A$140,'Données projet'!$B$140,CT134+CS135-DB134)))</f>
        <v>420.45000000000067</v>
      </c>
      <c r="CU135" s="17">
        <f>CT135*VLOOKUP('Données projet'!$B$13,Paramètres!$A$1:$I$89,3,0)*VLOOKUP('Données projet'!$B$13,Paramètres!$A$1:$I$89,5,0)</f>
        <v>478.80846000000076</v>
      </c>
      <c r="CV135" s="13">
        <f t="shared" si="149"/>
        <v>107.58284994439157</v>
      </c>
      <c r="CW135" s="20">
        <f t="shared" si="121"/>
        <v>1021.2981981531499</v>
      </c>
      <c r="CX135" s="59">
        <f t="shared" si="122"/>
        <v>1305.532583426849</v>
      </c>
      <c r="CY135" s="59">
        <f ca="1">AVERAGE(OFFSET($CX$3,0,0,'Données projet'!$E$13+1,1))-AVERAGE(OFFSET($H$3,0,0,'Données projet'!$E$13+1,1))</f>
        <v>765.9523557587147</v>
      </c>
      <c r="CZ135" s="59">
        <f t="shared" si="150"/>
        <v>347.40395092312815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68.995412738622221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68.995412738622221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146.15384615384625</v>
      </c>
      <c r="DP135" s="17">
        <f>DO135*VLOOKUP('Données projet'!$B$14,Paramètres!$A$1:$I$89,3,0)*VLOOKUP('Données projet'!$B$14,Paramètres!$A$1:$I$89,5,0)</f>
        <v>127.68000000000011</v>
      </c>
      <c r="DQ135" s="13">
        <f t="shared" si="151"/>
        <v>33.45971491465221</v>
      </c>
      <c r="DR135" s="20">
        <f t="shared" si="124"/>
        <v>280.65167014301943</v>
      </c>
      <c r="DS135" s="59">
        <f t="shared" si="125"/>
        <v>564.88605541671859</v>
      </c>
      <c r="DT135" s="59">
        <f ca="1">AVERAGE(OFFSET($DS$3,0,0,'Données projet'!$E$14+1,1))-AVERAGE(OFFSET($H$3,0,0,'Données projet'!$E$14+1,1))</f>
        <v>253.82888243490106</v>
      </c>
      <c r="DU135" s="59">
        <f t="shared" si="152"/>
        <v>224.11983819941796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10.145087232733902</v>
      </c>
      <c r="EB135" s="21">
        <f>EXP(-LN(2)/25)*EB134+(1-EXP(-LN(2)/25))/(LN(2)/25)*Calculateur!DW135*Calculateur!DY135*VLOOKUP('Données projet'!$B$14,Paramètres!$A$1:$I$89,3,0)*0.475*44/12</f>
        <v>3.6338658083755164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13.778953041109418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-4.5474735088646412E-13</v>
      </c>
      <c r="O136" s="13">
        <f>N136*VLOOKUP('Données projet'!$B$9,Paramètres!$A$1:$I$89,3,0)*VLOOKUP('Données projet'!$B$9,Paramètres!$A$1:$I$89,5,0)</f>
        <v>-2.1282176021486519E-13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387.50901594883317</v>
      </c>
      <c r="T136" s="59">
        <f t="shared" si="142"/>
        <v>361.3623790401972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118.56344031018638</v>
      </c>
      <c r="AA136" s="21">
        <f>EXP(-LN(2)/25)*AA135+(1-EXP(-LN(2)/25))/(LN(2)/25)*Calculateur!V136*Calculateur!X136*VLOOKUP('Données projet'!$B$9,Paramètres!$A$1:$I$89,3,0)*0.475*44/12</f>
        <v>38.767016768922289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157.33045707910867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373.47758082856359</v>
      </c>
      <c r="AO136" s="59">
        <f t="shared" si="144"/>
        <v>277.24895424120166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60.228574015041758</v>
      </c>
      <c r="AV136" s="21">
        <f>EXP(-LN(2)/25)*AV135+(1-EXP(-LN(2)/25))/(LN(2)/25)*Calculateur!AQ136*Calculateur!AS136*VLOOKUP('Données projet'!$B$10,Paramètres!$A$1:$I$89,3,0)*0.475*44/12</f>
        <v>18.574423370767335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78.802997385809093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8.0699999999999985</v>
      </c>
      <c r="BD136" s="12">
        <f>IF('Données projet'!$A$88&gt;35,BD135+BC136-BL135,IF(A136&lt;'Données projet'!$A$88,$BA$205^A136,IF(A136='Données projet'!$A$88,'Données projet'!$B$88,BD135+BC136-BL135)))</f>
        <v>428.52000000000066</v>
      </c>
      <c r="BE136" s="13">
        <f>BD136*VLOOKUP('Données projet'!$B$11,Paramètres!$A$1:$I$89,3,0)*VLOOKUP('Données projet'!$B$11,Paramètres!$A$1:$I$89,5,0)</f>
        <v>387.72489600000057</v>
      </c>
      <c r="BF136" s="13">
        <f t="shared" si="145"/>
        <v>89.283579978484866</v>
      </c>
      <c r="BG136" s="20">
        <f t="shared" si="115"/>
        <v>830.78976232919547</v>
      </c>
      <c r="BH136" s="59">
        <f t="shared" si="116"/>
        <v>1115.1819940095288</v>
      </c>
      <c r="BI136" s="59">
        <f ca="1">AVERAGE(OFFSET($BH$3,0,0,'Données projet'!$E$11+1,1))-AVERAGE(OFFSET($H$3,0,0,'Données projet'!$E$11+1,1))</f>
        <v>627.65081154031589</v>
      </c>
      <c r="BJ136" s="59">
        <f t="shared" si="146"/>
        <v>288.78083487077618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53.743320234467475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53.743320234467475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8.0699999999999985</v>
      </c>
      <c r="BY136" s="12">
        <f>IF('Données projet'!$A$114&gt;35,BY135+BX136-CG135,IF(A136&lt;'Données projet'!$A$114,$BV$205^A136,IF(A136='Données projet'!$A$114,'Données projet'!$B$114,BY135+BX136-CG135)))</f>
        <v>428.52000000000066</v>
      </c>
      <c r="BZ136" s="13">
        <f>BY136*VLOOKUP('Données projet'!$B$12,Paramètres!$A$1:$I$89,3,0)*VLOOKUP('Données projet'!$B$12,Paramètres!$A$1:$I$89,5,0)</f>
        <v>434.51928000000072</v>
      </c>
      <c r="CA136" s="13">
        <f t="shared" si="147"/>
        <v>98.740850242411952</v>
      </c>
      <c r="CB136" s="20">
        <f t="shared" si="118"/>
        <v>928.76139350553524</v>
      </c>
      <c r="CC136" s="59">
        <f t="shared" si="119"/>
        <v>1213.1536251858686</v>
      </c>
      <c r="CD136" s="59">
        <f ca="1">AVERAGE(OFFSET($CC$3,0,0,'Données projet'!$E$12+1,1))-AVERAGE(OFFSET($H$3,0,0,'Données projet'!$E$12+1,1))</f>
        <v>692.2706942067415</v>
      </c>
      <c r="CE136" s="59">
        <f t="shared" si="148"/>
        <v>316.17529091924803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60.22958302138597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60.22958302138597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8.0699999999999985</v>
      </c>
      <c r="CT136" s="12">
        <f>IF('Données projet'!$A$140&gt;35,CT135+CS136-DB135,IF(A136&lt;'Données projet'!$A$140,$CQ$205^A136,IF(A136='Données projet'!$A$140,'Données projet'!$B$140,CT135+CS136-DB135)))</f>
        <v>428.52000000000066</v>
      </c>
      <c r="CU136" s="17">
        <f>CT136*VLOOKUP('Données projet'!$B$13,Paramètres!$A$1:$I$89,3,0)*VLOOKUP('Données projet'!$B$13,Paramètres!$A$1:$I$89,5,0)</f>
        <v>487.99857600000081</v>
      </c>
      <c r="CV136" s="13">
        <f t="shared" si="149"/>
        <v>109.40538526510105</v>
      </c>
      <c r="CW136" s="20">
        <f t="shared" si="121"/>
        <v>1040.4785658700523</v>
      </c>
      <c r="CX136" s="59">
        <f t="shared" si="122"/>
        <v>1324.8707975503858</v>
      </c>
      <c r="CY136" s="59">
        <f ca="1">AVERAGE(OFFSET($CX$3,0,0,'Données projet'!$E$13+1,1))-AVERAGE(OFFSET($H$3,0,0,'Données projet'!$E$13+1,1))</f>
        <v>765.9523557587147</v>
      </c>
      <c r="CZ136" s="59">
        <f t="shared" si="150"/>
        <v>347.40395092312815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67.642454777864259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67.642454777864259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146.15384615384625</v>
      </c>
      <c r="DP136" s="17">
        <f>DO136*VLOOKUP('Données projet'!$B$14,Paramètres!$A$1:$I$89,3,0)*VLOOKUP('Données projet'!$B$14,Paramètres!$A$1:$I$89,5,0)</f>
        <v>127.68000000000011</v>
      </c>
      <c r="DQ136" s="13">
        <f t="shared" si="151"/>
        <v>33.45971491465221</v>
      </c>
      <c r="DR136" s="20">
        <f t="shared" si="124"/>
        <v>280.65167014301943</v>
      </c>
      <c r="DS136" s="59">
        <f t="shared" si="125"/>
        <v>565.04390182335283</v>
      </c>
      <c r="DT136" s="59">
        <f ca="1">AVERAGE(OFFSET($DS$3,0,0,'Données projet'!$E$14+1,1))-AVERAGE(OFFSET($H$3,0,0,'Données projet'!$E$14+1,1))</f>
        <v>253.82888243490106</v>
      </c>
      <c r="DU136" s="59">
        <f t="shared" si="152"/>
        <v>224.11983819941796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9.9461482599921975</v>
      </c>
      <c r="EB136" s="21">
        <f>EXP(-LN(2)/25)*EB135+(1-EXP(-LN(2)/25))/(LN(2)/25)*Calculateur!DW136*Calculateur!DY136*VLOOKUP('Données projet'!$B$14,Paramètres!$A$1:$I$89,3,0)*0.475*44/12</f>
        <v>3.5344975567487902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13.480645816740989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-4.5474735088646412E-13</v>
      </c>
      <c r="O137" s="13">
        <f>N137*VLOOKUP('Données projet'!$B$9,Paramètres!$A$1:$I$89,3,0)*VLOOKUP('Données projet'!$B$9,Paramètres!$A$1:$I$89,5,0)</f>
        <v>-2.1282176021486519E-13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387.50901594883317</v>
      </c>
      <c r="T137" s="59">
        <f t="shared" si="142"/>
        <v>361.3623790401972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116.23848356226155</v>
      </c>
      <c r="AA137" s="21">
        <f>EXP(-LN(2)/25)*AA136+(1-EXP(-LN(2)/25))/(LN(2)/25)*Calculateur!V137*Calculateur!X137*VLOOKUP('Données projet'!$B$9,Paramètres!$A$1:$I$89,3,0)*0.475*44/12</f>
        <v>37.7069306567073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153.94541421896884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373.47758082856359</v>
      </c>
      <c r="AO137" s="59">
        <f t="shared" si="144"/>
        <v>277.24895424120166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59.047528414409577</v>
      </c>
      <c r="AV137" s="21">
        <f>EXP(-LN(2)/25)*AV136+(1-EXP(-LN(2)/25))/(LN(2)/25)*Calculateur!AQ137*Calculateur!AS137*VLOOKUP('Données projet'!$B$10,Paramètres!$A$1:$I$89,3,0)*0.475*44/12</f>
        <v>18.066504786907227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77.114033201316801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>
        <f>VLOOKUP(A137,'Données projet'!$A$87:$I$107,2,0)</f>
        <v>436.59</v>
      </c>
      <c r="BB137" s="12">
        <f>VLOOKUP(A137,'Données projet'!$A$87:$I$107,9,0)</f>
        <v>8.0699999999999985</v>
      </c>
      <c r="BC137" s="12">
        <f t="array" ref="BC137">INDEX(BB:BB,MIN(IF(ISNUMBER(BB137:BB333),ROW(BB137:BB333),"")))</f>
        <v>8.0699999999999985</v>
      </c>
      <c r="BD137" s="12">
        <f>IF('Données projet'!$A$88&gt;35,BD136+BC137-BL136,IF(A137&lt;'Données projet'!$A$88,$BA$205^A137,IF(A137='Données projet'!$A$88,'Données projet'!$B$88,BD136+BC137-BL136)))</f>
        <v>436.59000000000066</v>
      </c>
      <c r="BE137" s="13">
        <f>BD137*VLOOKUP('Données projet'!$B$11,Paramètres!$A$1:$I$89,3,0)*VLOOKUP('Données projet'!$B$11,Paramètres!$A$1:$I$89,5,0)</f>
        <v>395.02663200000057</v>
      </c>
      <c r="BF137" s="13">
        <f t="shared" si="145"/>
        <v>90.767658172605465</v>
      </c>
      <c r="BG137" s="20">
        <f t="shared" si="115"/>
        <v>846.09172205062214</v>
      </c>
      <c r="BH137" s="59">
        <f t="shared" si="116"/>
        <v>1130.6390618553264</v>
      </c>
      <c r="BI137" s="59">
        <f ca="1">AVERAGE(OFFSET($BH$3,0,0,'Données projet'!$E$11+1,1))-AVERAGE(OFFSET($H$3,0,0,'Données projet'!$E$11+1,1))</f>
        <v>627.65081154031589</v>
      </c>
      <c r="BJ137" s="59">
        <f t="shared" si="146"/>
        <v>288.78083487077618</v>
      </c>
      <c r="BK137" s="15">
        <f>IF(ISNA(VLOOKUP(A137,'Données projet'!$A$87:$I$107,3,0)),0,VLOOKUP(A137,'Données projet'!$A$87:$I$107,3,0))</f>
        <v>11</v>
      </c>
      <c r="BL137" s="15">
        <f>IF(ISNA(VLOOKUP(A137,'Données projet'!$A$87:$I$107,4,0)),0,VLOOKUP(A137,'Données projet'!$A$87:$I$107,4,0))</f>
        <v>54.95</v>
      </c>
      <c r="BM137" s="16">
        <f>IF(ISNA(VLOOKUP(A137,'Données projet'!$A$87:$I$107,5,0)),0%,VLOOKUP(A137,'Données projet'!$A$87:$I$107,5,0)*VLOOKUP('Données projet'!$B$11,Paramètres!$A$1:$I$89,7,0))</f>
        <v>0.25800000000000001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66.869801558531918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66.869801558531918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436.59</v>
      </c>
      <c r="BW137" s="12">
        <f>VLOOKUP(A137,'Données projet'!$A$113:$I$133,9,0)</f>
        <v>8.0699999999999985</v>
      </c>
      <c r="BX137" s="12">
        <f t="array" ref="BX137">INDEX(BW:BW,MIN(IF(ISNUMBER(BW137:BW333),ROW(BW137:BW333),"")))</f>
        <v>8.0699999999999985</v>
      </c>
      <c r="BY137" s="12">
        <f>IF('Données projet'!$A$114&gt;35,BY136+BX137-CG136,IF(A137&lt;'Données projet'!$A$114,$BV$205^A137,IF(A137='Données projet'!$A$114,'Données projet'!$B$114,BY136+BX137-CG136)))</f>
        <v>436.59000000000066</v>
      </c>
      <c r="BZ137" s="13">
        <f>BY137*VLOOKUP('Données projet'!$B$12,Paramètres!$A$1:$I$89,3,0)*VLOOKUP('Données projet'!$B$12,Paramètres!$A$1:$I$89,5,0)</f>
        <v>442.70226000000071</v>
      </c>
      <c r="CA137" s="13">
        <f t="shared" si="147"/>
        <v>100.38212787430139</v>
      </c>
      <c r="CB137" s="20">
        <f t="shared" si="118"/>
        <v>945.87197554774275</v>
      </c>
      <c r="CC137" s="59">
        <f t="shared" si="119"/>
        <v>1230.419315352447</v>
      </c>
      <c r="CD137" s="59">
        <f ca="1">AVERAGE(OFFSET($CC$3,0,0,'Données projet'!$E$12+1,1))-AVERAGE(OFFSET($H$3,0,0,'Données projet'!$E$12+1,1))</f>
        <v>692.2706942067415</v>
      </c>
      <c r="CE137" s="59">
        <f t="shared" si="148"/>
        <v>316.17529091924803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0.25800000000000001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74.940294850078871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74.940294850078871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>
        <f>VLOOKUP(A137,'Données projet'!$A$139:$I$159,2,0)</f>
        <v>436.59</v>
      </c>
      <c r="CR137" s="12">
        <f>VLOOKUP(A137,'Données projet'!$A$139:$I$159,9,0)</f>
        <v>8.0699999999999985</v>
      </c>
      <c r="CS137" s="12">
        <f t="array" ref="CS137">INDEX(CR:CR,MIN(IF(ISNUMBER(CR137:CR333),ROW(CR137:CR333),"")))</f>
        <v>8.0699999999999985</v>
      </c>
      <c r="CT137" s="12">
        <f>IF('Données projet'!$A$140&gt;35,CT136+CS137-DB136,IF(A137&lt;'Données projet'!$A$140,$CQ$205^A137,IF(A137='Données projet'!$A$140,'Données projet'!$B$140,CT136+CS137-DB136)))</f>
        <v>436.59000000000066</v>
      </c>
      <c r="CU137" s="17">
        <f>CT137*VLOOKUP('Données projet'!$B$13,Paramètres!$A$1:$I$89,3,0)*VLOOKUP('Données projet'!$B$13,Paramètres!$A$1:$I$89,5,0)</f>
        <v>497.1886920000008</v>
      </c>
      <c r="CV137" s="13">
        <f t="shared" si="149"/>
        <v>111.22392957784527</v>
      </c>
      <c r="CW137" s="20">
        <f t="shared" si="121"/>
        <v>1059.651982581415</v>
      </c>
      <c r="CX137" s="59">
        <f t="shared" si="122"/>
        <v>1344.1993223861193</v>
      </c>
      <c r="CY137" s="59">
        <f ca="1">AVERAGE(OFFSET($CX$3,0,0,'Données projet'!$E$13+1,1))-AVERAGE(OFFSET($H$3,0,0,'Données projet'!$E$13+1,1))</f>
        <v>765.9523557587147</v>
      </c>
      <c r="CZ137" s="59">
        <f t="shared" si="150"/>
        <v>347.40395092312815</v>
      </c>
      <c r="DA137" s="15">
        <f>IF(ISNA(VLOOKUP(A137,'Données projet'!$A$139:$I$159,3,0)),0,VLOOKUP(A137,'Données projet'!$A$139:$I$159,3,0))</f>
        <v>11</v>
      </c>
      <c r="DB137" s="15">
        <f>IF(ISNA(VLOOKUP(A137,'Données projet'!$A$139:$I$159,4,0)),0,VLOOKUP(A137,'Données projet'!$A$139:$I$159,4,0))</f>
        <v>54.95</v>
      </c>
      <c r="DC137" s="16">
        <f>IF(ISNA(VLOOKUP(A137,'Données projet'!$A$139:$I$159,5,0)),0%,VLOOKUP(A137,'Données projet'!$A$139:$I$159,5,0)*VLOOKUP('Données projet'!$B$13,Paramètres!$A$1:$I$89,7,0))</f>
        <v>0.25800000000000001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84.163715754703972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84.163715754703972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146.15384615384625</v>
      </c>
      <c r="DP137" s="17">
        <f>DO137*VLOOKUP('Données projet'!$B$14,Paramètres!$A$1:$I$89,3,0)*VLOOKUP('Données projet'!$B$14,Paramètres!$A$1:$I$89,5,0)</f>
        <v>127.68000000000011</v>
      </c>
      <c r="DQ137" s="13">
        <f t="shared" si="151"/>
        <v>33.45971491465221</v>
      </c>
      <c r="DR137" s="20">
        <f t="shared" si="124"/>
        <v>280.65167014301943</v>
      </c>
      <c r="DS137" s="59">
        <f t="shared" si="125"/>
        <v>565.19900994772365</v>
      </c>
      <c r="DT137" s="59">
        <f ca="1">AVERAGE(OFFSET($DS$3,0,0,'Données projet'!$E$14+1,1))-AVERAGE(OFFSET($H$3,0,0,'Données projet'!$E$14+1,1))</f>
        <v>253.82888243490106</v>
      </c>
      <c r="DU137" s="59">
        <f t="shared" si="152"/>
        <v>224.11983819941796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9.7511103591651676</v>
      </c>
      <c r="EB137" s="21">
        <f>EXP(-LN(2)/25)*EB136+(1-EXP(-LN(2)/25))/(LN(2)/25)*Calculateur!DW137*Calculateur!DY137*VLOOKUP('Données projet'!$B$14,Paramètres!$A$1:$I$89,3,0)*0.475*44/12</f>
        <v>3.437846535188346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13.188956894353513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-4.5474735088646412E-13</v>
      </c>
      <c r="O138" s="13">
        <f>N138*VLOOKUP('Données projet'!$B$9,Paramètres!$A$1:$I$89,3,0)*VLOOKUP('Données projet'!$B$9,Paramètres!$A$1:$I$89,5,0)</f>
        <v>-2.1282176021486519E-13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387.50901594883317</v>
      </c>
      <c r="T138" s="59">
        <f t="shared" si="142"/>
        <v>361.3623790401972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113.95911779807993</v>
      </c>
      <c r="AA138" s="21">
        <f>EXP(-LN(2)/25)*AA137+(1-EXP(-LN(2)/25))/(LN(2)/25)*Calculateur!V138*Calculateur!X138*VLOOKUP('Données projet'!$B$9,Paramètres!$A$1:$I$89,3,0)*0.475*44/12</f>
        <v>36.675832654978336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150.63495045305825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373.47758082856359</v>
      </c>
      <c r="AO138" s="59">
        <f t="shared" si="144"/>
        <v>277.24895424120166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57.889642397639108</v>
      </c>
      <c r="AV138" s="21">
        <f>EXP(-LN(2)/25)*AV137+(1-EXP(-LN(2)/25))/(LN(2)/25)*Calculateur!AQ138*Calculateur!AS138*VLOOKUP('Données projet'!$B$10,Paramètres!$A$1:$I$89,3,0)*0.475*44/12</f>
        <v>17.572475263433056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75.46211766107217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8.1590000000000025</v>
      </c>
      <c r="BD138" s="12">
        <f>IF('Données projet'!$A$88&gt;35,BD137+BC138-BL137,IF(A138&lt;'Données projet'!$A$88,$BA$205^A138,IF(A138='Données projet'!$A$88,'Données projet'!$B$88,BD137+BC138-BL137)))</f>
        <v>389.79900000000066</v>
      </c>
      <c r="BE138" s="13">
        <f>BD138*VLOOKUP('Données projet'!$B$11,Paramètres!$A$1:$I$89,3,0)*VLOOKUP('Données projet'!$B$11,Paramètres!$A$1:$I$89,5,0)</f>
        <v>352.69013520000055</v>
      </c>
      <c r="BF138" s="13">
        <f t="shared" si="145"/>
        <v>82.116190931394016</v>
      </c>
      <c r="BG138" s="20">
        <f t="shared" si="115"/>
        <v>757.28768467884549</v>
      </c>
      <c r="BH138" s="59">
        <f t="shared" si="116"/>
        <v>1041.9874418287327</v>
      </c>
      <c r="BI138" s="59">
        <f ca="1">AVERAGE(OFFSET($BH$3,0,0,'Données projet'!$E$11+1,1))-AVERAGE(OFFSET($H$3,0,0,'Données projet'!$E$11+1,1))</f>
        <v>627.65081154031589</v>
      </c>
      <c r="BJ138" s="59">
        <f t="shared" si="146"/>
        <v>288.78083487077618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65.558525536520719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65.558525536520719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8.1590000000000025</v>
      </c>
      <c r="BY138" s="12">
        <f>IF('Données projet'!$A$114&gt;35,BY137+BX138-CG137,IF(A138&lt;'Données projet'!$A$114,$BV$205^A138,IF(A138='Données projet'!$A$114,'Données projet'!$B$114,BY137+BX138-CG137)))</f>
        <v>389.79900000000066</v>
      </c>
      <c r="BZ138" s="13">
        <f>BY138*VLOOKUP('Données projet'!$B$12,Paramètres!$A$1:$I$89,3,0)*VLOOKUP('Données projet'!$B$12,Paramètres!$A$1:$I$89,5,0)</f>
        <v>395.2561860000007</v>
      </c>
      <c r="CA138" s="13">
        <f t="shared" si="147"/>
        <v>90.814262971847356</v>
      </c>
      <c r="CB138" s="20">
        <f t="shared" si="118"/>
        <v>846.57269862596866</v>
      </c>
      <c r="CC138" s="59">
        <f t="shared" si="119"/>
        <v>1131.2724557758559</v>
      </c>
      <c r="CD138" s="59">
        <f ca="1">AVERAGE(OFFSET($CC$3,0,0,'Données projet'!$E$12+1,1))-AVERAGE(OFFSET($H$3,0,0,'Données projet'!$E$12+1,1))</f>
        <v>692.2706942067415</v>
      </c>
      <c r="CE138" s="59">
        <f t="shared" si="148"/>
        <v>316.17529091924803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73.47076137713529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73.47076137713529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8.1590000000000025</v>
      </c>
      <c r="CT138" s="12">
        <f>IF('Données projet'!$A$140&gt;35,CT137+CS138-DB137,IF(A138&lt;'Données projet'!$A$140,$CQ$205^A138,IF(A138='Données projet'!$A$140,'Données projet'!$B$140,CT137+CS138-DB137)))</f>
        <v>389.79900000000066</v>
      </c>
      <c r="CU138" s="17">
        <f>CT138*VLOOKUP('Données projet'!$B$13,Paramètres!$A$1:$I$89,3,0)*VLOOKUP('Données projet'!$B$13,Paramètres!$A$1:$I$89,5,0)</f>
        <v>443.90310120000072</v>
      </c>
      <c r="CV138" s="13">
        <f t="shared" si="149"/>
        <v>100.62268456883864</v>
      </c>
      <c r="CW138" s="20">
        <f t="shared" si="121"/>
        <v>948.38241021406191</v>
      </c>
      <c r="CX138" s="59">
        <f t="shared" si="122"/>
        <v>1233.0821673639491</v>
      </c>
      <c r="CY138" s="59">
        <f ca="1">AVERAGE(OFFSET($CX$3,0,0,'Données projet'!$E$13+1,1))-AVERAGE(OFFSET($H$3,0,0,'Données projet'!$E$13+1,1))</f>
        <v>765.9523557587147</v>
      </c>
      <c r="CZ138" s="59">
        <f t="shared" si="150"/>
        <v>347.40395092312815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82.513316623551944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82.513316623551944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146.15384615384625</v>
      </c>
      <c r="DP138" s="17">
        <f>DO138*VLOOKUP('Données projet'!$B$14,Paramètres!$A$1:$I$89,3,0)*VLOOKUP('Données projet'!$B$14,Paramètres!$A$1:$I$89,5,0)</f>
        <v>127.68000000000011</v>
      </c>
      <c r="DQ138" s="13">
        <f t="shared" si="151"/>
        <v>33.45971491465221</v>
      </c>
      <c r="DR138" s="20">
        <f t="shared" si="124"/>
        <v>280.65167014301943</v>
      </c>
      <c r="DS138" s="59">
        <f t="shared" si="125"/>
        <v>565.35142729290658</v>
      </c>
      <c r="DT138" s="59">
        <f ca="1">AVERAGE(OFFSET($DS$3,0,0,'Données projet'!$E$14+1,1))-AVERAGE(OFFSET($H$3,0,0,'Données projet'!$E$14+1,1))</f>
        <v>253.82888243490106</v>
      </c>
      <c r="DU138" s="59">
        <f t="shared" si="152"/>
        <v>224.11983819941796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9.5598970326119819</v>
      </c>
      <c r="EB138" s="21">
        <f>EXP(-LN(2)/25)*EB137+(1-EXP(-LN(2)/25))/(LN(2)/25)*Calculateur!DW138*Calculateur!DY138*VLOOKUP('Données projet'!$B$14,Paramètres!$A$1:$I$89,3,0)*0.475*44/12</f>
        <v>3.3438384408951287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12.90373547350711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-4.5474735088646412E-13</v>
      </c>
      <c r="O139" s="13">
        <f>N139*VLOOKUP('Données projet'!$B$9,Paramètres!$A$1:$I$89,3,0)*VLOOKUP('Données projet'!$B$9,Paramètres!$A$1:$I$89,5,0)</f>
        <v>-2.1282176021486519E-13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387.50901594883317</v>
      </c>
      <c r="T139" s="59">
        <f t="shared" si="142"/>
        <v>361.3623790401972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111.72444900625807</v>
      </c>
      <c r="AA139" s="21">
        <f>EXP(-LN(2)/25)*AA138+(1-EXP(-LN(2)/25))/(LN(2)/25)*Calculateur!V139*Calculateur!X139*VLOOKUP('Données projet'!$B$9,Paramètres!$A$1:$I$89,3,0)*0.475*44/12</f>
        <v>35.672930082329735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147.3973790885878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373.47758082856359</v>
      </c>
      <c r="AO139" s="59">
        <f t="shared" si="144"/>
        <v>277.24895424120166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56.754461819416775</v>
      </c>
      <c r="AV139" s="21">
        <f>EXP(-LN(2)/25)*AV138+(1-EXP(-LN(2)/25))/(LN(2)/25)*Calculateur!AQ139*Calculateur!AS139*VLOOKUP('Données projet'!$B$10,Paramètres!$A$1:$I$89,3,0)*0.475*44/12</f>
        <v>17.091955003258168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73.846416822674939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8.1590000000000025</v>
      </c>
      <c r="BD139" s="12">
        <f>IF('Données projet'!$A$88&gt;35,BD138+BC139-BL138,IF(A139&lt;'Données projet'!$A$88,$BA$205^A139,IF(A139='Données projet'!$A$88,'Données projet'!$B$88,BD138+BC139-BL138)))</f>
        <v>397.95800000000065</v>
      </c>
      <c r="BE139" s="13">
        <f>BD139*VLOOKUP('Données projet'!$B$11,Paramètres!$A$1:$I$89,3,0)*VLOOKUP('Données projet'!$B$11,Paramètres!$A$1:$I$89,5,0)</f>
        <v>360.07239840000057</v>
      </c>
      <c r="BF139" s="13">
        <f t="shared" si="145"/>
        <v>83.633085567444908</v>
      </c>
      <c r="BG139" s="20">
        <f t="shared" si="115"/>
        <v>772.78705124330099</v>
      </c>
      <c r="BH139" s="59">
        <f t="shared" si="116"/>
        <v>1057.6365816381863</v>
      </c>
      <c r="BI139" s="59">
        <f ca="1">AVERAGE(OFFSET($BH$3,0,0,'Données projet'!$E$11+1,1))-AVERAGE(OFFSET($H$3,0,0,'Données projet'!$E$11+1,1))</f>
        <v>627.65081154031589</v>
      </c>
      <c r="BJ139" s="59">
        <f t="shared" si="146"/>
        <v>288.78083487077618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64.272962837501765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64.272962837501765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8.1590000000000025</v>
      </c>
      <c r="BY139" s="12">
        <f>IF('Données projet'!$A$114&gt;35,BY138+BX139-CG138,IF(A139&lt;'Données projet'!$A$114,$BV$205^A139,IF(A139='Données projet'!$A$114,'Données projet'!$B$114,BY138+BX139-CG138)))</f>
        <v>397.95800000000065</v>
      </c>
      <c r="BZ139" s="13">
        <f>BY139*VLOOKUP('Données projet'!$B$12,Paramètres!$A$1:$I$89,3,0)*VLOOKUP('Données projet'!$B$12,Paramètres!$A$1:$I$89,5,0)</f>
        <v>403.52941200000066</v>
      </c>
      <c r="CA139" s="13">
        <f t="shared" si="147"/>
        <v>92.491833093116057</v>
      </c>
      <c r="CB139" s="20">
        <f t="shared" si="118"/>
        <v>863.90366853717831</v>
      </c>
      <c r="CC139" s="59">
        <f t="shared" si="119"/>
        <v>1148.7531989320635</v>
      </c>
      <c r="CD139" s="59">
        <f ca="1">AVERAGE(OFFSET($CC$3,0,0,'Données projet'!$E$12+1,1))-AVERAGE(OFFSET($H$3,0,0,'Données projet'!$E$12+1,1))</f>
        <v>692.2706942067415</v>
      </c>
      <c r="CE139" s="59">
        <f t="shared" si="148"/>
        <v>316.17529091924803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72.030044559269214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72.030044559269214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8.1590000000000025</v>
      </c>
      <c r="CT139" s="12">
        <f>IF('Données projet'!$A$140&gt;35,CT138+CS139-DB138,IF(A139&lt;'Données projet'!$A$140,$CQ$205^A139,IF(A139='Données projet'!$A$140,'Données projet'!$B$140,CT138+CS139-DB138)))</f>
        <v>397.95800000000065</v>
      </c>
      <c r="CU139" s="17">
        <f>CT139*VLOOKUP('Données projet'!$B$13,Paramètres!$A$1:$I$89,3,0)*VLOOKUP('Données projet'!$B$13,Paramètres!$A$1:$I$89,5,0)</f>
        <v>453.19457040000071</v>
      </c>
      <c r="CV139" s="13">
        <f t="shared" si="149"/>
        <v>102.48144115211748</v>
      </c>
      <c r="CW139" s="20">
        <f t="shared" si="121"/>
        <v>967.80238678660589</v>
      </c>
      <c r="CX139" s="59">
        <f t="shared" si="122"/>
        <v>1252.6519171814912</v>
      </c>
      <c r="CY139" s="59">
        <f ca="1">AVERAGE(OFFSET($CX$3,0,0,'Données projet'!$E$13+1,1))-AVERAGE(OFFSET($H$3,0,0,'Données projet'!$E$13+1,1))</f>
        <v>765.9523557587147</v>
      </c>
      <c r="CZ139" s="59">
        <f t="shared" si="150"/>
        <v>347.40395092312815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80.895280812717743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80.895280812717743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146.15384615384625</v>
      </c>
      <c r="DP139" s="17">
        <f>DO139*VLOOKUP('Données projet'!$B$14,Paramètres!$A$1:$I$89,3,0)*VLOOKUP('Données projet'!$B$14,Paramètres!$A$1:$I$89,5,0)</f>
        <v>127.68000000000011</v>
      </c>
      <c r="DQ139" s="13">
        <f t="shared" si="151"/>
        <v>33.45971491465221</v>
      </c>
      <c r="DR139" s="20">
        <f t="shared" si="124"/>
        <v>280.65167014301943</v>
      </c>
      <c r="DS139" s="59">
        <f t="shared" si="125"/>
        <v>565.50120053790465</v>
      </c>
      <c r="DT139" s="59">
        <f ca="1">AVERAGE(OFFSET($DS$3,0,0,'Données projet'!$E$14+1,1))-AVERAGE(OFFSET($H$3,0,0,'Données projet'!$E$14+1,1))</f>
        <v>253.82888243490106</v>
      </c>
      <c r="DU139" s="59">
        <f t="shared" si="152"/>
        <v>224.11983819941796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9.3724332827638914</v>
      </c>
      <c r="EB139" s="21">
        <f>EXP(-LN(2)/25)*EB138+(1-EXP(-LN(2)/25))/(LN(2)/25)*Calculateur!DW139*Calculateur!DY139*VLOOKUP('Données projet'!$B$14,Paramètres!$A$1:$I$89,3,0)*0.475*44/12</f>
        <v>3.2524010028840302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12.624834285647921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-4.5474735088646412E-13</v>
      </c>
      <c r="O140" s="13">
        <f>N140*VLOOKUP('Données projet'!$B$9,Paramètres!$A$1:$I$89,3,0)*VLOOKUP('Données projet'!$B$9,Paramètres!$A$1:$I$89,5,0)</f>
        <v>-2.1282176021486519E-13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387.50901594883317</v>
      </c>
      <c r="T140" s="59">
        <f t="shared" si="142"/>
        <v>361.3623790401972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109.53360070643046</v>
      </c>
      <c r="AA140" s="21">
        <f>EXP(-LN(2)/25)*AA139+(1-EXP(-LN(2)/25))/(LN(2)/25)*Calculateur!V140*Calculateur!X140*VLOOKUP('Données projet'!$B$9,Paramètres!$A$1:$I$89,3,0)*0.475*44/12</f>
        <v>34.697451933270564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144.23105263970103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373.47758082856359</v>
      </c>
      <c r="AO140" s="59">
        <f t="shared" si="144"/>
        <v>277.24895424120166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55.641541439941598</v>
      </c>
      <c r="AV140" s="21">
        <f>EXP(-LN(2)/25)*AV139+(1-EXP(-LN(2)/25))/(LN(2)/25)*Calculateur!AQ140*Calculateur!AS140*VLOOKUP('Données projet'!$B$10,Paramètres!$A$1:$I$89,3,0)*0.475*44/12</f>
        <v>16.624574594867223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72.266116034808817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8.1590000000000025</v>
      </c>
      <c r="BD140" s="12">
        <f>IF('Données projet'!$A$88&gt;35,BD139+BC140-BL139,IF(A140&lt;'Données projet'!$A$88,$BA$205^A140,IF(A140='Données projet'!$A$88,'Données projet'!$B$88,BD139+BC140-BL139)))</f>
        <v>406.11700000000064</v>
      </c>
      <c r="BE140" s="13">
        <f>BD140*VLOOKUP('Données projet'!$B$11,Paramètres!$A$1:$I$89,3,0)*VLOOKUP('Données projet'!$B$11,Paramètres!$A$1:$I$89,5,0)</f>
        <v>367.45466160000058</v>
      </c>
      <c r="BF140" s="13">
        <f t="shared" si="145"/>
        <v>85.146364255773364</v>
      </c>
      <c r="BG140" s="20">
        <f t="shared" si="115"/>
        <v>788.28012003213962</v>
      </c>
      <c r="BH140" s="59">
        <f t="shared" si="116"/>
        <v>1073.2768254410651</v>
      </c>
      <c r="BI140" s="59">
        <f ca="1">AVERAGE(OFFSET($BH$3,0,0,'Données projet'!$E$11+1,1))-AVERAGE(OFFSET($H$3,0,0,'Données projet'!$E$11+1,1))</f>
        <v>627.65081154031589</v>
      </c>
      <c r="BJ140" s="59">
        <f t="shared" si="146"/>
        <v>288.78083487077618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63.012609238894747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63.012609238894747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8.1590000000000025</v>
      </c>
      <c r="BY140" s="12">
        <f>IF('Données projet'!$A$114&gt;35,BY139+BX140-CG139,IF(A140&lt;'Données projet'!$A$114,$BV$205^A140,IF(A140='Données projet'!$A$114,'Données projet'!$B$114,BY139+BX140-CG139)))</f>
        <v>406.11700000000064</v>
      </c>
      <c r="BZ140" s="13">
        <f>BY140*VLOOKUP('Données projet'!$B$12,Paramètres!$A$1:$I$89,3,0)*VLOOKUP('Données projet'!$B$12,Paramètres!$A$1:$I$89,5,0)</f>
        <v>411.80263800000068</v>
      </c>
      <c r="CA140" s="13">
        <f t="shared" si="147"/>
        <v>94.165404251164176</v>
      </c>
      <c r="CB140" s="20">
        <f t="shared" si="118"/>
        <v>881.22767358744534</v>
      </c>
      <c r="CC140" s="59">
        <f t="shared" si="119"/>
        <v>1166.2243789963707</v>
      </c>
      <c r="CD140" s="59">
        <f ca="1">AVERAGE(OFFSET($CC$3,0,0,'Données projet'!$E$12+1,1))-AVERAGE(OFFSET($H$3,0,0,'Données projet'!$E$12+1,1))</f>
        <v>692.2706942067415</v>
      </c>
      <c r="CE140" s="59">
        <f t="shared" si="148"/>
        <v>316.17529091924803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70.617579319451011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70.617579319451011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8.1590000000000025</v>
      </c>
      <c r="CT140" s="12">
        <f>IF('Données projet'!$A$140&gt;35,CT139+CS140-DB139,IF(A140&lt;'Données projet'!$A$140,$CQ$205^A140,IF(A140='Données projet'!$A$140,'Données projet'!$B$140,CT139+CS140-DB139)))</f>
        <v>406.11700000000064</v>
      </c>
      <c r="CU140" s="17">
        <f>CT140*VLOOKUP('Données projet'!$B$13,Paramètres!$A$1:$I$89,3,0)*VLOOKUP('Données projet'!$B$13,Paramètres!$A$1:$I$89,5,0)</f>
        <v>462.48603960000077</v>
      </c>
      <c r="CV140" s="13">
        <f t="shared" si="149"/>
        <v>104.33576686295868</v>
      </c>
      <c r="CW140" s="20">
        <f t="shared" si="121"/>
        <v>987.21464625632098</v>
      </c>
      <c r="CX140" s="59">
        <f t="shared" si="122"/>
        <v>1272.2113516652464</v>
      </c>
      <c r="CY140" s="59">
        <f ca="1">AVERAGE(OFFSET($CX$3,0,0,'Données projet'!$E$13+1,1))-AVERAGE(OFFSET($H$3,0,0,'Données projet'!$E$13+1,1))</f>
        <v>765.9523557587147</v>
      </c>
      <c r="CZ140" s="59">
        <f t="shared" si="150"/>
        <v>347.40395092312815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79.308973697229604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79.308973697229604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146.15384615384625</v>
      </c>
      <c r="DP140" s="17">
        <f>DO140*VLOOKUP('Données projet'!$B$14,Paramètres!$A$1:$I$89,3,0)*VLOOKUP('Données projet'!$B$14,Paramètres!$A$1:$I$89,5,0)</f>
        <v>127.68000000000011</v>
      </c>
      <c r="DQ140" s="13">
        <f t="shared" si="151"/>
        <v>33.45971491465221</v>
      </c>
      <c r="DR140" s="20">
        <f t="shared" si="124"/>
        <v>280.65167014301943</v>
      </c>
      <c r="DS140" s="59">
        <f t="shared" si="125"/>
        <v>565.64837555194481</v>
      </c>
      <c r="DT140" s="59">
        <f ca="1">AVERAGE(OFFSET($DS$3,0,0,'Données projet'!$E$14+1,1))-AVERAGE(OFFSET($H$3,0,0,'Données projet'!$E$14+1,1))</f>
        <v>253.82888243490106</v>
      </c>
      <c r="DU140" s="59">
        <f t="shared" si="152"/>
        <v>224.11983819941796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9.188645582708725</v>
      </c>
      <c r="EB140" s="21">
        <f>EXP(-LN(2)/25)*EB139+(1-EXP(-LN(2)/25))/(LN(2)/25)*Calculateur!DW140*Calculateur!DY140*VLOOKUP('Données projet'!$B$14,Paramètres!$A$1:$I$89,3,0)*0.475*44/12</f>
        <v>3.1634639264238311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12.352109509132557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-4.5474735088646412E-13</v>
      </c>
      <c r="O141" s="13">
        <f>N141*VLOOKUP('Données projet'!$B$9,Paramètres!$A$1:$I$89,3,0)*VLOOKUP('Données projet'!$B$9,Paramètres!$A$1:$I$89,5,0)</f>
        <v>-2.1282176021486519E-13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387.50901594883317</v>
      </c>
      <c r="T141" s="59">
        <f t="shared" si="142"/>
        <v>361.3623790401972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107.38571360547697</v>
      </c>
      <c r="AA141" s="21">
        <f>EXP(-LN(2)/25)*AA140+(1-EXP(-LN(2)/25))/(LN(2)/25)*Calculateur!V141*Calculateur!X141*VLOOKUP('Données projet'!$B$9,Paramètres!$A$1:$I$89,3,0)*0.475*44/12</f>
        <v>33.748648285495584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141.13436189097254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373.47758082856359</v>
      </c>
      <c r="AO141" s="59">
        <f t="shared" si="144"/>
        <v>277.24895424120166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54.550444750293522</v>
      </c>
      <c r="AV141" s="21">
        <f>EXP(-LN(2)/25)*AV140+(1-EXP(-LN(2)/25))/(LN(2)/25)*Calculateur!AQ141*Calculateur!AS141*VLOOKUP('Données projet'!$B$10,Paramètres!$A$1:$I$89,3,0)*0.475*44/12</f>
        <v>16.169974728322195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70.720419478615725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8.1590000000000025</v>
      </c>
      <c r="BD141" s="12">
        <f>IF('Données projet'!$A$88&gt;35,BD140+BC141-BL140,IF(A141&lt;'Données projet'!$A$88,$BA$205^A141,IF(A141='Données projet'!$A$88,'Données projet'!$B$88,BD140+BC141-BL140)))</f>
        <v>414.27600000000064</v>
      </c>
      <c r="BE141" s="13">
        <f>BD141*VLOOKUP('Données projet'!$B$11,Paramètres!$A$1:$I$89,3,0)*VLOOKUP('Données projet'!$B$11,Paramètres!$A$1:$I$89,5,0)</f>
        <v>374.83692480000053</v>
      </c>
      <c r="BF141" s="13">
        <f t="shared" si="145"/>
        <v>86.656108013910185</v>
      </c>
      <c r="BG141" s="20">
        <f t="shared" si="115"/>
        <v>803.76703215089447</v>
      </c>
      <c r="BH141" s="59">
        <f t="shared" si="116"/>
        <v>1088.9083594164003</v>
      </c>
      <c r="BI141" s="59">
        <f ca="1">AVERAGE(OFFSET($BH$3,0,0,'Données projet'!$E$11+1,1))-AVERAGE(OFFSET($H$3,0,0,'Données projet'!$E$11+1,1))</f>
        <v>627.65081154031589</v>
      </c>
      <c r="BJ141" s="59">
        <f t="shared" si="146"/>
        <v>288.78083487077618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61.776970405616623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61.776970405616623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8.1590000000000025</v>
      </c>
      <c r="BY141" s="12">
        <f>IF('Données projet'!$A$114&gt;35,BY140+BX141-CG140,IF(A141&lt;'Données projet'!$A$114,$BV$205^A141,IF(A141='Données projet'!$A$114,'Données projet'!$B$114,BY140+BX141-CG140)))</f>
        <v>414.27600000000064</v>
      </c>
      <c r="BZ141" s="13">
        <f>BY141*VLOOKUP('Données projet'!$B$12,Paramètres!$A$1:$I$89,3,0)*VLOOKUP('Données projet'!$B$12,Paramètres!$A$1:$I$89,5,0)</f>
        <v>420.07586400000065</v>
      </c>
      <c r="CA141" s="13">
        <f t="shared" si="147"/>
        <v>95.835066045220003</v>
      </c>
      <c r="CB141" s="20">
        <f t="shared" si="118"/>
        <v>898.54486982875926</v>
      </c>
      <c r="CC141" s="59">
        <f t="shared" si="119"/>
        <v>1183.6861970942653</v>
      </c>
      <c r="CD141" s="59">
        <f ca="1">AVERAGE(OFFSET($CC$3,0,0,'Données projet'!$E$12+1,1))-AVERAGE(OFFSET($H$3,0,0,'Données projet'!$E$12+1,1))</f>
        <v>692.2706942067415</v>
      </c>
      <c r="CE141" s="59">
        <f t="shared" si="148"/>
        <v>316.17529091924803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69.232811661466911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69.232811661466911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8.1590000000000025</v>
      </c>
      <c r="CT141" s="12">
        <f>IF('Données projet'!$A$140&gt;35,CT140+CS141-DB140,IF(A141&lt;'Données projet'!$A$140,$CQ$205^A141,IF(A141='Données projet'!$A$140,'Données projet'!$B$140,CT140+CS141-DB140)))</f>
        <v>414.27600000000064</v>
      </c>
      <c r="CU141" s="17">
        <f>CT141*VLOOKUP('Données projet'!$B$13,Paramètres!$A$1:$I$89,3,0)*VLOOKUP('Données projet'!$B$13,Paramètres!$A$1:$I$89,5,0)</f>
        <v>471.7775088000007</v>
      </c>
      <c r="CV141" s="13">
        <f t="shared" si="149"/>
        <v>106.18576097778175</v>
      </c>
      <c r="CW141" s="20">
        <f t="shared" si="121"/>
        <v>1006.6193615296376</v>
      </c>
      <c r="CX141" s="59">
        <f t="shared" si="122"/>
        <v>1291.7606887951436</v>
      </c>
      <c r="CY141" s="59">
        <f ca="1">AVERAGE(OFFSET($CX$3,0,0,'Données projet'!$E$13+1,1))-AVERAGE(OFFSET($H$3,0,0,'Données projet'!$E$13+1,1))</f>
        <v>765.9523557587147</v>
      </c>
      <c r="CZ141" s="59">
        <f t="shared" si="150"/>
        <v>347.40395092312815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77.753773096724387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77.753773096724387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146.15384615384625</v>
      </c>
      <c r="DP141" s="17">
        <f>DO141*VLOOKUP('Données projet'!$B$14,Paramètres!$A$1:$I$89,3,0)*VLOOKUP('Données projet'!$B$14,Paramètres!$A$1:$I$89,5,0)</f>
        <v>127.68000000000011</v>
      </c>
      <c r="DQ141" s="13">
        <f t="shared" si="151"/>
        <v>33.45971491465221</v>
      </c>
      <c r="DR141" s="20">
        <f t="shared" si="124"/>
        <v>280.65167014301943</v>
      </c>
      <c r="DS141" s="59">
        <f t="shared" si="125"/>
        <v>565.79299740852537</v>
      </c>
      <c r="DT141" s="59">
        <f ca="1">AVERAGE(OFFSET($DS$3,0,0,'Données projet'!$E$14+1,1))-AVERAGE(OFFSET($H$3,0,0,'Données projet'!$E$14+1,1))</f>
        <v>253.82888243490106</v>
      </c>
      <c r="DU141" s="59">
        <f t="shared" si="152"/>
        <v>224.11983819941796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9.008461847352212</v>
      </c>
      <c r="EB141" s="21">
        <f>EXP(-LN(2)/25)*EB140+(1-EXP(-LN(2)/25))/(LN(2)/25)*Calculateur!DW141*Calculateur!DY141*VLOOKUP('Données projet'!$B$14,Paramètres!$A$1:$I$89,3,0)*0.475*44/12</f>
        <v>3.076958838996434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12.085420686348646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-4.5474735088646412E-13</v>
      </c>
      <c r="O142" s="13">
        <f>N142*VLOOKUP('Données projet'!$B$9,Paramètres!$A$1:$I$89,3,0)*VLOOKUP('Données projet'!$B$9,Paramètres!$A$1:$I$89,5,0)</f>
        <v>-2.1282176021486519E-13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387.50901594883317</v>
      </c>
      <c r="T142" s="59">
        <f t="shared" si="142"/>
        <v>361.3623790401972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105.27994526049139</v>
      </c>
      <c r="AA142" s="21">
        <f>EXP(-LN(2)/25)*AA141+(1-EXP(-LN(2)/25))/(LN(2)/25)*Calculateur!V142*Calculateur!X142*VLOOKUP('Données projet'!$B$9,Paramètres!$A$1:$I$89,3,0)*0.475*44/12</f>
        <v>32.82578972336443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138.10573498385583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373.47758082856359</v>
      </c>
      <c r="AO142" s="59">
        <f t="shared" si="144"/>
        <v>277.24895424120166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53.480743801226176</v>
      </c>
      <c r="AV142" s="21">
        <f>EXP(-LN(2)/25)*AV141+(1-EXP(-LN(2)/25))/(LN(2)/25)*Calculateur!AQ142*Calculateur!AS142*VLOOKUP('Données projet'!$B$10,Paramètres!$A$1:$I$89,3,0)*0.475*44/12</f>
        <v>15.727805919034211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69.208549720260379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8.1590000000000025</v>
      </c>
      <c r="BD142" s="12">
        <f>IF('Données projet'!$A$88&gt;35,BD141+BC142-BL141,IF(A142&lt;'Données projet'!$A$88,$BA$205^A142,IF(A142='Données projet'!$A$88,'Données projet'!$B$88,BD141+BC142-BL141)))</f>
        <v>422.43500000000063</v>
      </c>
      <c r="BE142" s="13">
        <f>BD142*VLOOKUP('Données projet'!$B$11,Paramètres!$A$1:$I$89,3,0)*VLOOKUP('Données projet'!$B$11,Paramètres!$A$1:$I$89,5,0)</f>
        <v>382.21918800000054</v>
      </c>
      <c r="BF142" s="13">
        <f t="shared" si="145"/>
        <v>88.162394485655341</v>
      </c>
      <c r="BG142" s="20">
        <f t="shared" si="115"/>
        <v>819.24792282918395</v>
      </c>
      <c r="BH142" s="59">
        <f t="shared" si="116"/>
        <v>1104.5313630853848</v>
      </c>
      <c r="BI142" s="59">
        <f ca="1">AVERAGE(OFFSET($BH$3,0,0,'Données projet'!$E$11+1,1))-AVERAGE(OFFSET($H$3,0,0,'Données projet'!$E$11+1,1))</f>
        <v>627.65081154031589</v>
      </c>
      <c r="BJ142" s="59">
        <f t="shared" si="146"/>
        <v>288.78083487077618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60.565561696193818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60.565561696193818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8.1590000000000025</v>
      </c>
      <c r="BY142" s="12">
        <f>IF('Données projet'!$A$114&gt;35,BY141+BX142-CG141,IF(A142&lt;'Données projet'!$A$114,$BV$205^A142,IF(A142='Données projet'!$A$114,'Données projet'!$B$114,BY141+BX142-CG141)))</f>
        <v>422.43500000000063</v>
      </c>
      <c r="BZ142" s="13">
        <f>BY142*VLOOKUP('Données projet'!$B$12,Paramètres!$A$1:$I$89,3,0)*VLOOKUP('Données projet'!$B$12,Paramètres!$A$1:$I$89,5,0)</f>
        <v>428.34909000000067</v>
      </c>
      <c r="CA142" s="13">
        <f t="shared" si="147"/>
        <v>97.500904343422292</v>
      </c>
      <c r="CB142" s="20">
        <f t="shared" si="118"/>
        <v>915.85540681479506</v>
      </c>
      <c r="CC142" s="59">
        <f t="shared" si="119"/>
        <v>1201.138847070996</v>
      </c>
      <c r="CD142" s="59">
        <f ca="1">AVERAGE(OFFSET($CC$3,0,0,'Données projet'!$E$12+1,1))-AVERAGE(OFFSET($H$3,0,0,'Données projet'!$E$12+1,1))</f>
        <v>692.2706942067415</v>
      </c>
      <c r="CE142" s="59">
        <f t="shared" si="148"/>
        <v>316.17529091924803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67.875198452631011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67.875198452631011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8.1590000000000025</v>
      </c>
      <c r="CT142" s="12">
        <f>IF('Données projet'!$A$140&gt;35,CT141+CS142-DB141,IF(A142&lt;'Données projet'!$A$140,$CQ$205^A142,IF(A142='Données projet'!$A$140,'Données projet'!$B$140,CT141+CS142-DB141)))</f>
        <v>422.43500000000063</v>
      </c>
      <c r="CU142" s="17">
        <f>CT142*VLOOKUP('Données projet'!$B$13,Paramètres!$A$1:$I$89,3,0)*VLOOKUP('Données projet'!$B$13,Paramètres!$A$1:$I$89,5,0)</f>
        <v>481.0689780000007</v>
      </c>
      <c r="CV142" s="13">
        <f t="shared" si="149"/>
        <v>108.0315186389397</v>
      </c>
      <c r="CW142" s="20">
        <f t="shared" si="121"/>
        <v>1026.0166983128211</v>
      </c>
      <c r="CX142" s="59">
        <f t="shared" si="122"/>
        <v>1311.300138569022</v>
      </c>
      <c r="CY142" s="59">
        <f ca="1">AVERAGE(OFFSET($CX$3,0,0,'Données projet'!$E$13+1,1))-AVERAGE(OFFSET($H$3,0,0,'Données projet'!$E$13+1,1))</f>
        <v>765.9523557587147</v>
      </c>
      <c r="CZ142" s="59">
        <f t="shared" si="150"/>
        <v>347.40395092312815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76.229069031416373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76.229069031416373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146.15384615384625</v>
      </c>
      <c r="DP142" s="17">
        <f>DO142*VLOOKUP('Données projet'!$B$14,Paramètres!$A$1:$I$89,3,0)*VLOOKUP('Données projet'!$B$14,Paramètres!$A$1:$I$89,5,0)</f>
        <v>127.68000000000011</v>
      </c>
      <c r="DQ142" s="13">
        <f t="shared" si="151"/>
        <v>33.45971491465221</v>
      </c>
      <c r="DR142" s="20">
        <f t="shared" si="124"/>
        <v>280.65167014301943</v>
      </c>
      <c r="DS142" s="59">
        <f t="shared" si="125"/>
        <v>565.93511039922032</v>
      </c>
      <c r="DT142" s="59">
        <f ca="1">AVERAGE(OFFSET($DS$3,0,0,'Données projet'!$E$14+1,1))-AVERAGE(OFFSET($H$3,0,0,'Données projet'!$E$14+1,1))</f>
        <v>253.82888243490106</v>
      </c>
      <c r="DU142" s="59">
        <f t="shared" si="152"/>
        <v>224.11983819941796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8.8318114051448138</v>
      </c>
      <c r="EB142" s="21">
        <f>EXP(-LN(2)/25)*EB141+(1-EXP(-LN(2)/25))/(LN(2)/25)*Calculateur!DW142*Calculateur!DY142*VLOOKUP('Données projet'!$B$14,Paramètres!$A$1:$I$89,3,0)*0.475*44/12</f>
        <v>2.9928192377338436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11.824630642878658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-4.5474735088646412E-13</v>
      </c>
      <c r="O143" s="13">
        <f>N143*VLOOKUP('Données projet'!$B$9,Paramètres!$A$1:$I$89,3,0)*VLOOKUP('Données projet'!$B$9,Paramètres!$A$1:$I$89,5,0)</f>
        <v>-2.1282176021486519E-13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387.50901594883317</v>
      </c>
      <c r="T143" s="59">
        <f t="shared" si="142"/>
        <v>361.3623790401972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103.21546974835911</v>
      </c>
      <c r="AA143" s="21">
        <f>EXP(-LN(2)/25)*AA142+(1-EXP(-LN(2)/25))/(LN(2)/25)*Calculateur!V143*Calculateur!X143*VLOOKUP('Données projet'!$B$9,Paramètres!$A$1:$I$89,3,0)*0.475*44/12</f>
        <v>31.928166777145773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135.14363652550489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373.47758082856359</v>
      </c>
      <c r="AO143" s="59">
        <f t="shared" si="144"/>
        <v>277.24895424120166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52.432019035316891</v>
      </c>
      <c r="AV143" s="21">
        <f>EXP(-LN(2)/25)*AV142+(1-EXP(-LN(2)/25))/(LN(2)/25)*Calculateur!AQ143*Calculateur!AS143*VLOOKUP('Données projet'!$B$10,Paramètres!$A$1:$I$89,3,0)*0.475*44/12</f>
        <v>15.297728239088853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67.729747274405739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8.1590000000000025</v>
      </c>
      <c r="BD143" s="12">
        <f>IF('Données projet'!$A$88&gt;35,BD142+BC143-BL142,IF(A143&lt;'Données projet'!$A$88,$BA$205^A143,IF(A143='Données projet'!$A$88,'Données projet'!$B$88,BD142+BC143-BL142)))</f>
        <v>430.59400000000062</v>
      </c>
      <c r="BE143" s="13">
        <f>BD143*VLOOKUP('Données projet'!$B$11,Paramètres!$A$1:$I$89,3,0)*VLOOKUP('Données projet'!$B$11,Paramètres!$A$1:$I$89,5,0)</f>
        <v>389.60145120000055</v>
      </c>
      <c r="BF143" s="13">
        <f t="shared" si="145"/>
        <v>89.665298143968485</v>
      </c>
      <c r="BG143" s="20">
        <f t="shared" si="115"/>
        <v>834.72292177407928</v>
      </c>
      <c r="BH143" s="59">
        <f t="shared" si="116"/>
        <v>1120.1460096783037</v>
      </c>
      <c r="BI143" s="59">
        <f ca="1">AVERAGE(OFFSET($BH$3,0,0,'Données projet'!$E$11+1,1))-AVERAGE(OFFSET($H$3,0,0,'Données projet'!$E$11+1,1))</f>
        <v>627.65081154031589</v>
      </c>
      <c r="BJ143" s="59">
        <f t="shared" si="146"/>
        <v>288.78083487077618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59.377907972676439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59.377907972676439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8.1590000000000025</v>
      </c>
      <c r="BY143" s="12">
        <f>IF('Données projet'!$A$114&gt;35,BY142+BX143-CG142,IF(A143&lt;'Données projet'!$A$114,$BV$205^A143,IF(A143='Données projet'!$A$114,'Données projet'!$B$114,BY142+BX143-CG142)))</f>
        <v>430.59400000000062</v>
      </c>
      <c r="BZ143" s="13">
        <f>BY143*VLOOKUP('Données projet'!$B$12,Paramètres!$A$1:$I$89,3,0)*VLOOKUP('Données projet'!$B$12,Paramètres!$A$1:$I$89,5,0)</f>
        <v>436.62231600000064</v>
      </c>
      <c r="CA143" s="13">
        <f t="shared" si="147"/>
        <v>99.163001507201159</v>
      </c>
      <c r="CB143" s="20">
        <f t="shared" si="118"/>
        <v>933.15942799170989</v>
      </c>
      <c r="CC143" s="59">
        <f t="shared" si="119"/>
        <v>1218.5825158959342</v>
      </c>
      <c r="CD143" s="59">
        <f ca="1">AVERAGE(OFFSET($CC$3,0,0,'Données projet'!$E$12+1,1))-AVERAGE(OFFSET($H$3,0,0,'Données projet'!$E$12+1,1))</f>
        <v>692.2706942067415</v>
      </c>
      <c r="CE143" s="59">
        <f t="shared" si="148"/>
        <v>316.17529091924803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66.544207210758088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66.544207210758088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8.1590000000000025</v>
      </c>
      <c r="CT143" s="12">
        <f>IF('Données projet'!$A$140&gt;35,CT142+CS143-DB142,IF(A143&lt;'Données projet'!$A$140,$CQ$205^A143,IF(A143='Données projet'!$A$140,'Données projet'!$B$140,CT142+CS143-DB142)))</f>
        <v>430.59400000000062</v>
      </c>
      <c r="CU143" s="17">
        <f>CT143*VLOOKUP('Données projet'!$B$13,Paramètres!$A$1:$I$89,3,0)*VLOOKUP('Données projet'!$B$13,Paramètres!$A$1:$I$89,5,0)</f>
        <v>490.36044720000069</v>
      </c>
      <c r="CV143" s="13">
        <f t="shared" si="149"/>
        <v>109.87313110333341</v>
      </c>
      <c r="CW143" s="20">
        <f t="shared" si="121"/>
        <v>1045.4068155449734</v>
      </c>
      <c r="CX143" s="59">
        <f t="shared" si="122"/>
        <v>1330.8299034491977</v>
      </c>
      <c r="CY143" s="59">
        <f ca="1">AVERAGE(OFFSET($CX$3,0,0,'Données projet'!$E$13+1,1))-AVERAGE(OFFSET($H$3,0,0,'Données projet'!$E$13+1,1))</f>
        <v>765.9523557587147</v>
      </c>
      <c r="CZ143" s="59">
        <f t="shared" si="150"/>
        <v>347.40395092312815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74.734263482851389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74.734263482851389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146.15384615384625</v>
      </c>
      <c r="DP143" s="17">
        <f>DO143*VLOOKUP('Données projet'!$B$14,Paramètres!$A$1:$I$89,3,0)*VLOOKUP('Données projet'!$B$14,Paramètres!$A$1:$I$89,5,0)</f>
        <v>127.68000000000011</v>
      </c>
      <c r="DQ143" s="13">
        <f t="shared" si="151"/>
        <v>33.45971491465221</v>
      </c>
      <c r="DR143" s="20">
        <f t="shared" si="124"/>
        <v>280.65167014301943</v>
      </c>
      <c r="DS143" s="59">
        <f t="shared" si="125"/>
        <v>566.07475804724379</v>
      </c>
      <c r="DT143" s="59">
        <f ca="1">AVERAGE(OFFSET($DS$3,0,0,'Données projet'!$E$14+1,1))-AVERAGE(OFFSET($H$3,0,0,'Données projet'!$E$14+1,1))</f>
        <v>253.82888243490106</v>
      </c>
      <c r="DU143" s="59">
        <f t="shared" si="152"/>
        <v>224.11983819941796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8.6586249703629719</v>
      </c>
      <c r="EB143" s="21">
        <f>EXP(-LN(2)/25)*EB142+(1-EXP(-LN(2)/25))/(LN(2)/25)*Calculateur!DW143*Calculateur!DY143*VLOOKUP('Données projet'!$B$14,Paramètres!$A$1:$I$89,3,0)*0.475*44/12</f>
        <v>2.910980438292488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11.569605408655459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-4.5474735088646412E-13</v>
      </c>
      <c r="O144" s="13">
        <f>N144*VLOOKUP('Données projet'!$B$9,Paramètres!$A$1:$I$89,3,0)*VLOOKUP('Données projet'!$B$9,Paramètres!$A$1:$I$89,5,0)</f>
        <v>-2.1282176021486519E-13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387.50901594883317</v>
      </c>
      <c r="T144" s="59">
        <f t="shared" si="142"/>
        <v>361.3623790401972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101.19147734181402</v>
      </c>
      <c r="AA144" s="21">
        <f>EXP(-LN(2)/25)*AA143+(1-EXP(-LN(2)/25))/(LN(2)/25)*Calculateur!V144*Calculateur!X144*VLOOKUP('Données projet'!$B$9,Paramètres!$A$1:$I$89,3,0)*0.475*44/12</f>
        <v>31.055089377595404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132.24656671940943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373.47758082856359</v>
      </c>
      <c r="AO144" s="59">
        <f t="shared" si="144"/>
        <v>277.24895424120166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51.403859122408136</v>
      </c>
      <c r="AV144" s="21">
        <f>EXP(-LN(2)/25)*AV143+(1-EXP(-LN(2)/25))/(LN(2)/25)*Calculateur!AQ144*Calculateur!AS144*VLOOKUP('Données projet'!$B$10,Paramètres!$A$1:$I$89,3,0)*0.475*44/12</f>
        <v>14.879411055918403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66.283270178326546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8.1590000000000025</v>
      </c>
      <c r="BD144" s="12">
        <f>IF('Données projet'!$A$88&gt;35,BD143+BC144-BL143,IF(A144&lt;'Données projet'!$A$88,$BA$205^A144,IF(A144='Données projet'!$A$88,'Données projet'!$B$88,BD143+BC144-BL143)))</f>
        <v>438.75300000000061</v>
      </c>
      <c r="BE144" s="13">
        <f>BD144*VLOOKUP('Données projet'!$B$11,Paramètres!$A$1:$I$89,3,0)*VLOOKUP('Données projet'!$B$11,Paramètres!$A$1:$I$89,5,0)</f>
        <v>396.98371440000057</v>
      </c>
      <c r="BF144" s="13">
        <f t="shared" si="145"/>
        <v>91.164890478045521</v>
      </c>
      <c r="BG144" s="20">
        <f t="shared" si="115"/>
        <v>850.19215349593026</v>
      </c>
      <c r="BH144" s="59">
        <f t="shared" si="116"/>
        <v>1135.7524664736902</v>
      </c>
      <c r="BI144" s="59">
        <f ca="1">AVERAGE(OFFSET($BH$3,0,0,'Données projet'!$E$11+1,1))-AVERAGE(OFFSET($H$3,0,0,'Données projet'!$E$11+1,1))</f>
        <v>627.65081154031589</v>
      </c>
      <c r="BJ144" s="59">
        <f t="shared" si="146"/>
        <v>288.78083487077618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58.213543414279989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58.213543414279989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8.1590000000000025</v>
      </c>
      <c r="BY144" s="12">
        <f>IF('Données projet'!$A$114&gt;35,BY143+BX144-CG143,IF(A144&lt;'Données projet'!$A$114,$BV$205^A144,IF(A144='Données projet'!$A$114,'Données projet'!$B$114,BY143+BX144-CG143)))</f>
        <v>438.75300000000061</v>
      </c>
      <c r="BZ144" s="13">
        <f>BY144*VLOOKUP('Données projet'!$B$12,Paramètres!$A$1:$I$89,3,0)*VLOOKUP('Données projet'!$B$12,Paramètres!$A$1:$I$89,5,0)</f>
        <v>444.89554200000066</v>
      </c>
      <c r="CA144" s="13">
        <f t="shared" si="147"/>
        <v>100.82143659817152</v>
      </c>
      <c r="CB144" s="20">
        <f t="shared" si="118"/>
        <v>950.45707105848317</v>
      </c>
      <c r="CC144" s="59">
        <f t="shared" si="119"/>
        <v>1236.0173840362431</v>
      </c>
      <c r="CD144" s="59">
        <f ca="1">AVERAGE(OFFSET($CC$3,0,0,'Données projet'!$E$12+1,1))-AVERAGE(OFFSET($H$3,0,0,'Données projet'!$E$12+1,1))</f>
        <v>692.2706942067415</v>
      </c>
      <c r="CE144" s="59">
        <f t="shared" si="148"/>
        <v>316.17529091924803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65.239315895313794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65.239315895313794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8.1590000000000025</v>
      </c>
      <c r="CT144" s="12">
        <f>IF('Données projet'!$A$140&gt;35,CT143+CS144-DB143,IF(A144&lt;'Données projet'!$A$140,$CQ$205^A144,IF(A144='Données projet'!$A$140,'Données projet'!$B$140,CT143+CS144-DB143)))</f>
        <v>438.75300000000061</v>
      </c>
      <c r="CU144" s="17">
        <f>CT144*VLOOKUP('Données projet'!$B$13,Paramètres!$A$1:$I$89,3,0)*VLOOKUP('Données projet'!$B$13,Paramètres!$A$1:$I$89,5,0)</f>
        <v>499.65191640000074</v>
      </c>
      <c r="CV144" s="13">
        <f t="shared" si="149"/>
        <v>111.71068597165103</v>
      </c>
      <c r="CW144" s="20">
        <f t="shared" si="121"/>
        <v>1064.7898657972935</v>
      </c>
      <c r="CX144" s="59">
        <f t="shared" si="122"/>
        <v>1350.3501787750536</v>
      </c>
      <c r="CY144" s="59">
        <f ca="1">AVERAGE(OFFSET($CX$3,0,0,'Données projet'!$E$13+1,1))-AVERAGE(OFFSET($H$3,0,0,'Données projet'!$E$13+1,1))</f>
        <v>765.9523557587147</v>
      </c>
      <c r="CZ144" s="59">
        <f t="shared" si="150"/>
        <v>347.40395092312815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73.268770159352414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73.268770159352414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146.15384615384625</v>
      </c>
      <c r="DP144" s="17">
        <f>DO144*VLOOKUP('Données projet'!$B$14,Paramètres!$A$1:$I$89,3,0)*VLOOKUP('Données projet'!$B$14,Paramètres!$A$1:$I$89,5,0)</f>
        <v>127.68000000000011</v>
      </c>
      <c r="DQ144" s="13">
        <f t="shared" si="151"/>
        <v>33.45971491465221</v>
      </c>
      <c r="DR144" s="20">
        <f t="shared" si="124"/>
        <v>280.65167014301943</v>
      </c>
      <c r="DS144" s="59">
        <f t="shared" si="125"/>
        <v>566.21198312077945</v>
      </c>
      <c r="DT144" s="59">
        <f ca="1">AVERAGE(OFFSET($DS$3,0,0,'Données projet'!$E$14+1,1))-AVERAGE(OFFSET($H$3,0,0,'Données projet'!$E$14+1,1))</f>
        <v>253.82888243490106</v>
      </c>
      <c r="DU144" s="59">
        <f t="shared" si="152"/>
        <v>224.11983819941796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8.4888346159339072</v>
      </c>
      <c r="EB144" s="21">
        <f>EXP(-LN(2)/25)*EB143+(1-EXP(-LN(2)/25))/(LN(2)/25)*Calculateur!DW144*Calculateur!DY144*VLOOKUP('Données projet'!$B$14,Paramètres!$A$1:$I$89,3,0)*0.475*44/12</f>
        <v>2.831379525125572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11.320214141059479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-4.5474735088646412E-13</v>
      </c>
      <c r="O145" s="13">
        <f>N145*VLOOKUP('Données projet'!$B$9,Paramètres!$A$1:$I$89,3,0)*VLOOKUP('Données projet'!$B$9,Paramètres!$A$1:$I$89,5,0)</f>
        <v>-2.1282176021486519E-13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387.50901594883317</v>
      </c>
      <c r="T145" s="59">
        <f t="shared" si="142"/>
        <v>361.3623790401972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99.207174191847812</v>
      </c>
      <c r="AA145" s="21">
        <f>EXP(-LN(2)/25)*AA144+(1-EXP(-LN(2)/25))/(LN(2)/25)*Calculateur!V145*Calculateur!X145*VLOOKUP('Données projet'!$B$9,Paramètres!$A$1:$I$89,3,0)*0.475*44/12</f>
        <v>30.205886325448883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129.41306051729669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373.47758082856359</v>
      </c>
      <c r="AO145" s="59">
        <f t="shared" si="144"/>
        <v>277.24895424120166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50.395860798275898</v>
      </c>
      <c r="AV145" s="21">
        <f>EXP(-LN(2)/25)*AV144+(1-EXP(-LN(2)/25))/(LN(2)/25)*Calculateur!AQ145*Calculateur!AS145*VLOOKUP('Données projet'!$B$10,Paramètres!$A$1:$I$89,3,0)*0.475*44/12</f>
        <v>14.472532778120094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64.868393576395988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8.1590000000000025</v>
      </c>
      <c r="BD145" s="12">
        <f>IF('Données projet'!$A$88&gt;35,BD144+BC145-BL144,IF(A145&lt;'Données projet'!$A$88,$BA$205^A145,IF(A145='Données projet'!$A$88,'Données projet'!$B$88,BD144+BC145-BL144)))</f>
        <v>446.9120000000006</v>
      </c>
      <c r="BE145" s="13">
        <f>BD145*VLOOKUP('Données projet'!$B$11,Paramètres!$A$1:$I$89,3,0)*VLOOKUP('Données projet'!$B$11,Paramètres!$A$1:$I$89,5,0)</f>
        <v>404.36597760000052</v>
      </c>
      <c r="BF145" s="13">
        <f t="shared" si="145"/>
        <v>92.66124016608812</v>
      </c>
      <c r="BG145" s="20">
        <f t="shared" si="115"/>
        <v>865.655737609271</v>
      </c>
      <c r="BH145" s="59">
        <f t="shared" si="116"/>
        <v>1151.3508951123301</v>
      </c>
      <c r="BI145" s="59">
        <f ca="1">AVERAGE(OFFSET($BH$3,0,0,'Données projet'!$E$11+1,1))-AVERAGE(OFFSET($H$3,0,0,'Données projet'!$E$11+1,1))</f>
        <v>627.65081154031589</v>
      </c>
      <c r="BJ145" s="59">
        <f t="shared" si="146"/>
        <v>288.78083487077618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57.072011334681441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57.072011334681441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8.1590000000000025</v>
      </c>
      <c r="BY145" s="12">
        <f>IF('Données projet'!$A$114&gt;35,BY144+BX145-CG144,IF(A145&lt;'Données projet'!$A$114,$BV$205^A145,IF(A145='Données projet'!$A$114,'Données projet'!$B$114,BY144+BX145-CG144)))</f>
        <v>446.9120000000006</v>
      </c>
      <c r="BZ145" s="13">
        <f>BY145*VLOOKUP('Données projet'!$B$12,Paramètres!$A$1:$I$89,3,0)*VLOOKUP('Données projet'!$B$12,Paramètres!$A$1:$I$89,5,0)</f>
        <v>453.16876800000063</v>
      </c>
      <c r="CA145" s="13">
        <f t="shared" si="147"/>
        <v>102.47628556920169</v>
      </c>
      <c r="CB145" s="20">
        <f t="shared" si="118"/>
        <v>967.74846829969408</v>
      </c>
      <c r="CC145" s="59">
        <f t="shared" si="119"/>
        <v>1253.4436258027531</v>
      </c>
      <c r="CD145" s="59">
        <f ca="1">AVERAGE(OFFSET($CC$3,0,0,'Données projet'!$E$12+1,1))-AVERAGE(OFFSET($H$3,0,0,'Données projet'!$E$12+1,1))</f>
        <v>692.2706942067415</v>
      </c>
      <c r="CE145" s="59">
        <f t="shared" si="148"/>
        <v>316.17529091924803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63.960012702660251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63.960012702660251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8.1590000000000025</v>
      </c>
      <c r="CT145" s="12">
        <f>IF('Données projet'!$A$140&gt;35,CT144+CS145-DB144,IF(A145&lt;'Données projet'!$A$140,$CQ$205^A145,IF(A145='Données projet'!$A$140,'Données projet'!$B$140,CT144+CS145-DB144)))</f>
        <v>446.9120000000006</v>
      </c>
      <c r="CU145" s="17">
        <f>CT145*VLOOKUP('Données projet'!$B$13,Paramètres!$A$1:$I$89,3,0)*VLOOKUP('Données projet'!$B$13,Paramètres!$A$1:$I$89,5,0)</f>
        <v>508.94338560000068</v>
      </c>
      <c r="CV145" s="13">
        <f t="shared" si="149"/>
        <v>113.54426740007342</v>
      </c>
      <c r="CW145" s="20">
        <f t="shared" si="121"/>
        <v>1084.1659956417957</v>
      </c>
      <c r="CX145" s="59">
        <f t="shared" si="122"/>
        <v>1369.8611531448548</v>
      </c>
      <c r="CY145" s="59">
        <f ca="1">AVERAGE(OFFSET($CX$3,0,0,'Données projet'!$E$13+1,1))-AVERAGE(OFFSET($H$3,0,0,'Données projet'!$E$13+1,1))</f>
        <v>765.9523557587147</v>
      </c>
      <c r="CZ145" s="59">
        <f t="shared" si="150"/>
        <v>347.40395092312815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71.83201426606459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71.83201426606459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146.15384615384625</v>
      </c>
      <c r="DP145" s="17">
        <f>DO145*VLOOKUP('Données projet'!$B$14,Paramètres!$A$1:$I$89,3,0)*VLOOKUP('Données projet'!$B$14,Paramètres!$A$1:$I$89,5,0)</f>
        <v>127.68000000000011</v>
      </c>
      <c r="DQ145" s="13">
        <f t="shared" si="151"/>
        <v>33.45971491465221</v>
      </c>
      <c r="DR145" s="20">
        <f t="shared" si="124"/>
        <v>280.65167014301943</v>
      </c>
      <c r="DS145" s="59">
        <f t="shared" si="125"/>
        <v>566.34682764607851</v>
      </c>
      <c r="DT145" s="59">
        <f ca="1">AVERAGE(OFFSET($DS$3,0,0,'Données projet'!$E$14+1,1))-AVERAGE(OFFSET($H$3,0,0,'Données projet'!$E$14+1,1))</f>
        <v>253.82888243490106</v>
      </c>
      <c r="DU145" s="59">
        <f t="shared" si="152"/>
        <v>224.11983819941796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8.3223737467933052</v>
      </c>
      <c r="EB145" s="21">
        <f>EXP(-LN(2)/25)*EB144+(1-EXP(-LN(2)/25))/(LN(2)/25)*Calculateur!DW145*Calculateur!DY145*VLOOKUP('Données projet'!$B$14,Paramètres!$A$1:$I$89,3,0)*0.475*44/12</f>
        <v>2.7539553031152351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11.076329049908541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-4.5474735088646412E-13</v>
      </c>
      <c r="O146" s="13">
        <f>N146*VLOOKUP('Données projet'!$B$9,Paramètres!$A$1:$I$89,3,0)*VLOOKUP('Données projet'!$B$9,Paramètres!$A$1:$I$89,5,0)</f>
        <v>-2.1282176021486519E-13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387.50901594883317</v>
      </c>
      <c r="T146" s="59">
        <f t="shared" si="142"/>
        <v>361.3623790401972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97.261782016347027</v>
      </c>
      <c r="AA146" s="21">
        <f>EXP(-LN(2)/25)*AA145+(1-EXP(-LN(2)/25))/(LN(2)/25)*Calculateur!V146*Calculateur!X146*VLOOKUP('Données projet'!$B$9,Paramètres!$A$1:$I$89,3,0)*0.475*44/12</f>
        <v>29.379904775420957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126.64168679176798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373.47758082856359</v>
      </c>
      <c r="AO146" s="59">
        <f t="shared" si="144"/>
        <v>277.24895424120166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49.407628706461622</v>
      </c>
      <c r="AV146" s="21">
        <f>EXP(-LN(2)/25)*AV145+(1-EXP(-LN(2)/25))/(LN(2)/25)*Calculateur!AQ146*Calculateur!AS146*VLOOKUP('Données projet'!$B$10,Paramètres!$A$1:$I$89,3,0)*0.475*44/12</f>
        <v>14.076780608224979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63.484409314686602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8.1590000000000025</v>
      </c>
      <c r="BD146" s="12">
        <f>IF('Données projet'!$A$88&gt;35,BD145+BC146-BL145,IF(A146&lt;'Données projet'!$A$88,$BA$205^A146,IF(A146='Données projet'!$A$88,'Données projet'!$B$88,BD145+BC146-BL145)))</f>
        <v>455.07100000000059</v>
      </c>
      <c r="BE146" s="13">
        <f>BD146*VLOOKUP('Données projet'!$B$11,Paramètres!$A$1:$I$89,3,0)*VLOOKUP('Données projet'!$B$11,Paramètres!$A$1:$I$89,5,0)</f>
        <v>411.74824080000053</v>
      </c>
      <c r="BF146" s="13">
        <f t="shared" si="145"/>
        <v>94.15441323509782</v>
      </c>
      <c r="BG146" s="20">
        <f t="shared" si="115"/>
        <v>881.11378911112968</v>
      </c>
      <c r="BH146" s="59">
        <f t="shared" si="116"/>
        <v>1166.9414518884412</v>
      </c>
      <c r="BI146" s="59">
        <f ca="1">AVERAGE(OFFSET($BH$3,0,0,'Données projet'!$E$11+1,1))-AVERAGE(OFFSET($H$3,0,0,'Données projet'!$E$11+1,1))</f>
        <v>627.65081154031589</v>
      </c>
      <c r="BJ146" s="59">
        <f t="shared" si="146"/>
        <v>288.78083487077618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55.952864002898004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55.952864002898004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8.1590000000000025</v>
      </c>
      <c r="BY146" s="12">
        <f>IF('Données projet'!$A$114&gt;35,BY145+BX146-CG145,IF(A146&lt;'Données projet'!$A$114,$BV$205^A146,IF(A146='Données projet'!$A$114,'Données projet'!$B$114,BY145+BX146-CG145)))</f>
        <v>455.07100000000059</v>
      </c>
      <c r="BZ146" s="13">
        <f>BY146*VLOOKUP('Données projet'!$B$12,Paramètres!$A$1:$I$89,3,0)*VLOOKUP('Données projet'!$B$12,Paramètres!$A$1:$I$89,5,0)</f>
        <v>461.44199400000065</v>
      </c>
      <c r="CA146" s="13">
        <f t="shared" si="147"/>
        <v>104.12762144113498</v>
      </c>
      <c r="CB146" s="20">
        <f t="shared" si="118"/>
        <v>985.03374689331122</v>
      </c>
      <c r="CC146" s="59">
        <f t="shared" si="119"/>
        <v>1270.8614096706226</v>
      </c>
      <c r="CD146" s="59">
        <f ca="1">AVERAGE(OFFSET($CC$3,0,0,'Données projet'!$E$12+1,1))-AVERAGE(OFFSET($H$3,0,0,'Données projet'!$E$12+1,1))</f>
        <v>692.2706942067415</v>
      </c>
      <c r="CE146" s="59">
        <f t="shared" si="148"/>
        <v>316.17529091924803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62.705795865316738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62.705795865316738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8.1590000000000025</v>
      </c>
      <c r="CT146" s="12">
        <f>IF('Données projet'!$A$140&gt;35,CT145+CS146-DB145,IF(A146&lt;'Données projet'!$A$140,$CQ$205^A146,IF(A146='Données projet'!$A$140,'Données projet'!$B$140,CT145+CS146-DB145)))</f>
        <v>455.07100000000059</v>
      </c>
      <c r="CU146" s="17">
        <f>CT146*VLOOKUP('Données projet'!$B$13,Paramètres!$A$1:$I$89,3,0)*VLOOKUP('Données projet'!$B$13,Paramètres!$A$1:$I$89,5,0)</f>
        <v>518.23485480000068</v>
      </c>
      <c r="CV146" s="13">
        <f t="shared" si="149"/>
        <v>115.37395629608154</v>
      </c>
      <c r="CW146" s="20">
        <f t="shared" si="121"/>
        <v>1103.5353459923433</v>
      </c>
      <c r="CX146" s="59">
        <f t="shared" si="122"/>
        <v>1389.3630087696547</v>
      </c>
      <c r="CY146" s="59">
        <f ca="1">AVERAGE(OFFSET($CX$3,0,0,'Données projet'!$E$13+1,1))-AVERAGE(OFFSET($H$3,0,0,'Données projet'!$E$13+1,1))</f>
        <v>765.9523557587147</v>
      </c>
      <c r="CZ146" s="59">
        <f t="shared" si="150"/>
        <v>347.40395092312815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70.423432279509569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70.423432279509569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146.15384615384625</v>
      </c>
      <c r="DP146" s="17">
        <f>DO146*VLOOKUP('Données projet'!$B$14,Paramètres!$A$1:$I$89,3,0)*VLOOKUP('Données projet'!$B$14,Paramètres!$A$1:$I$89,5,0)</f>
        <v>127.68000000000011</v>
      </c>
      <c r="DQ146" s="13">
        <f t="shared" si="151"/>
        <v>33.45971491465221</v>
      </c>
      <c r="DR146" s="20">
        <f t="shared" si="124"/>
        <v>280.65167014301943</v>
      </c>
      <c r="DS146" s="59">
        <f t="shared" si="125"/>
        <v>566.47933292033088</v>
      </c>
      <c r="DT146" s="59">
        <f ca="1">AVERAGE(OFFSET($DS$3,0,0,'Données projet'!$E$14+1,1))-AVERAGE(OFFSET($H$3,0,0,'Données projet'!$E$14+1,1))</f>
        <v>253.82888243490106</v>
      </c>
      <c r="DU146" s="59">
        <f t="shared" si="152"/>
        <v>224.11983819941796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8.1591770737654468</v>
      </c>
      <c r="EB146" s="21">
        <f>EXP(-LN(2)/25)*EB145+(1-EXP(-LN(2)/25))/(LN(2)/25)*Calculateur!DW146*Calculateur!DY146*VLOOKUP('Données projet'!$B$14,Paramètres!$A$1:$I$89,3,0)*0.475*44/12</f>
        <v>2.6786482505273339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10.83782532429278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-4.5474735088646412E-13</v>
      </c>
      <c r="O147" s="13">
        <f>N147*VLOOKUP('Données projet'!$B$9,Paramètres!$A$1:$I$89,3,0)*VLOOKUP('Données projet'!$B$9,Paramètres!$A$1:$I$89,5,0)</f>
        <v>-2.1282176021486519E-13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387.50901594883317</v>
      </c>
      <c r="T147" s="59">
        <f t="shared" si="142"/>
        <v>361.3623790401972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95.35453779483575</v>
      </c>
      <c r="AA147" s="21">
        <f>EXP(-LN(2)/25)*AA146+(1-EXP(-LN(2)/25))/(LN(2)/25)*Calculateur!V147*Calculateur!X147*VLOOKUP('Données projet'!$B$9,Paramètres!$A$1:$I$89,3,0)*0.475*44/12</f>
        <v>28.576509734315028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123.93104752915077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373.47758082856359</v>
      </c>
      <c r="AO147" s="59">
        <f t="shared" si="144"/>
        <v>277.24895424120166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48.438775243205768</v>
      </c>
      <c r="AV147" s="21">
        <f>EXP(-LN(2)/25)*AV146+(1-EXP(-LN(2)/25))/(LN(2)/25)*Calculateur!AQ147*Calculateur!AS147*VLOOKUP('Données projet'!$B$10,Paramètres!$A$1:$I$89,3,0)*0.475*44/12</f>
        <v>13.691850302227348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62.130625545433119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>
        <f>VLOOKUP(A147,'Données projet'!$A$87:$I$107,2,0)</f>
        <v>463.23</v>
      </c>
      <c r="BB147" s="12">
        <f>VLOOKUP(A147,'Données projet'!$A$87:$I$107,9,0)</f>
        <v>8.1590000000000025</v>
      </c>
      <c r="BC147" s="12">
        <f t="array" ref="BC147">INDEX(BB:BB,MIN(IF(ISNUMBER(BB147:BB343),ROW(BB147:BB343),"")))</f>
        <v>8.1590000000000025</v>
      </c>
      <c r="BD147" s="12">
        <f>IF('Données projet'!$A$88&gt;35,BD146+BC147-BL146,IF(A147&lt;'Données projet'!$A$88,$BA$205^A147,IF(A147='Données projet'!$A$88,'Données projet'!$B$88,BD146+BC147-BL146)))</f>
        <v>463.23000000000059</v>
      </c>
      <c r="BE147" s="13">
        <f>BD147*VLOOKUP('Données projet'!$B$11,Paramètres!$A$1:$I$89,3,0)*VLOOKUP('Données projet'!$B$11,Paramètres!$A$1:$I$89,5,0)</f>
        <v>419.13050400000049</v>
      </c>
      <c r="BF147" s="13">
        <f t="shared" si="145"/>
        <v>95.644473208887277</v>
      </c>
      <c r="BG147" s="20">
        <f t="shared" si="115"/>
        <v>896.56641863881293</v>
      </c>
      <c r="BH147" s="59">
        <f t="shared" si="116"/>
        <v>1182.5242880201058</v>
      </c>
      <c r="BI147" s="59">
        <f ca="1">AVERAGE(OFFSET($BH$3,0,0,'Données projet'!$E$11+1,1))-AVERAGE(OFFSET($H$3,0,0,'Données projet'!$E$11+1,1))</f>
        <v>627.65081154031589</v>
      </c>
      <c r="BJ147" s="59">
        <f t="shared" si="146"/>
        <v>288.78083487077618</v>
      </c>
      <c r="BK147" s="15">
        <f>IF(ISNA(VLOOKUP(A147,'Données projet'!$A$87:$I$107,3,0)),0,VLOOKUP(A147,'Données projet'!$A$87:$I$107,3,0))</f>
        <v>12</v>
      </c>
      <c r="BL147" s="15">
        <f>IF(ISNA(VLOOKUP(A147,'Données projet'!$A$87:$I$107,4,0)),0,VLOOKUP(A147,'Données projet'!$A$87:$I$107,4,0))</f>
        <v>56.01</v>
      </c>
      <c r="BM147" s="16">
        <f>IF(ISNA(VLOOKUP(A147,'Données projet'!$A$87:$I$107,5,0)),0%,VLOOKUP(A147,'Données projet'!$A$87:$I$107,5,0)*VLOOKUP('Données projet'!$B$11,Paramètres!$A$1:$I$89,7,0))</f>
        <v>0.25800000000000001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69.309560312196439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69.309560312196439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463.23</v>
      </c>
      <c r="BW147" s="12">
        <f>VLOOKUP(A147,'Données projet'!$A$113:$I$133,9,0)</f>
        <v>8.1590000000000025</v>
      </c>
      <c r="BX147" s="12">
        <f t="array" ref="BX147">INDEX(BW:BW,MIN(IF(ISNUMBER(BW147:BW343),ROW(BW147:BW343),"")))</f>
        <v>8.1590000000000025</v>
      </c>
      <c r="BY147" s="12">
        <f>IF('Données projet'!$A$114&gt;35,BY146+BX147-CG146,IF(A147&lt;'Données projet'!$A$114,$BV$205^A147,IF(A147='Données projet'!$A$114,'Données projet'!$B$114,BY146+BX147-CG146)))</f>
        <v>463.23000000000059</v>
      </c>
      <c r="BZ147" s="13">
        <f>BY147*VLOOKUP('Données projet'!$B$12,Paramètres!$A$1:$I$89,3,0)*VLOOKUP('Données projet'!$B$12,Paramètres!$A$1:$I$89,5,0)</f>
        <v>469.71522000000061</v>
      </c>
      <c r="CA147" s="13">
        <f t="shared" si="147"/>
        <v>105.77551446647743</v>
      </c>
      <c r="CB147" s="20">
        <f t="shared" si="118"/>
        <v>1002.3130291957826</v>
      </c>
      <c r="CC147" s="59">
        <f t="shared" si="119"/>
        <v>1288.2708985770755</v>
      </c>
      <c r="CD147" s="59">
        <f ca="1">AVERAGE(OFFSET($CC$3,0,0,'Données projet'!$E$12+1,1))-AVERAGE(OFFSET($H$3,0,0,'Données projet'!$E$12+1,1))</f>
        <v>692.2706942067415</v>
      </c>
      <c r="CE147" s="59">
        <f t="shared" si="148"/>
        <v>316.17529091924803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0.25800000000000001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77.674507246427055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77.674507246427055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>
        <f>VLOOKUP(A147,'Données projet'!$A$139:$I$159,2,0)</f>
        <v>463.23</v>
      </c>
      <c r="CR147" s="12">
        <f>VLOOKUP(A147,'Données projet'!$A$139:$I$159,9,0)</f>
        <v>8.1590000000000025</v>
      </c>
      <c r="CS147" s="12">
        <f t="array" ref="CS147">INDEX(CR:CR,MIN(IF(ISNUMBER(CR147:CR343),ROW(CR147:CR343),"")))</f>
        <v>8.1590000000000025</v>
      </c>
      <c r="CT147" s="12">
        <f>IF('Données projet'!$A$140&gt;35,CT146+CS147-DB146,IF(A147&lt;'Données projet'!$A$140,$CQ$205^A147,IF(A147='Données projet'!$A$140,'Données projet'!$B$140,CT146+CS147-DB146)))</f>
        <v>463.23000000000059</v>
      </c>
      <c r="CU147" s="17">
        <f>CT147*VLOOKUP('Données projet'!$B$13,Paramètres!$A$1:$I$89,3,0)*VLOOKUP('Données projet'!$B$13,Paramètres!$A$1:$I$89,5,0)</f>
        <v>527.52632400000073</v>
      </c>
      <c r="CV147" s="13">
        <f t="shared" si="149"/>
        <v>117.19983049982457</v>
      </c>
      <c r="CW147" s="20">
        <f t="shared" si="121"/>
        <v>1122.898052420529</v>
      </c>
      <c r="CX147" s="59">
        <f t="shared" si="122"/>
        <v>1408.8559218018218</v>
      </c>
      <c r="CY147" s="59">
        <f ca="1">AVERAGE(OFFSET($CX$3,0,0,'Données projet'!$E$13+1,1))-AVERAGE(OFFSET($H$3,0,0,'Données projet'!$E$13+1,1))</f>
        <v>765.9523557587147</v>
      </c>
      <c r="CZ147" s="59">
        <f t="shared" si="150"/>
        <v>347.40395092312815</v>
      </c>
      <c r="DA147" s="15">
        <f>IF(ISNA(VLOOKUP(A147,'Données projet'!$A$139:$I$159,3,0)),0,VLOOKUP(A147,'Données projet'!$A$139:$I$159,3,0))</f>
        <v>12</v>
      </c>
      <c r="DB147" s="15">
        <f>IF(ISNA(VLOOKUP(A147,'Données projet'!$A$139:$I$159,4,0)),0,VLOOKUP(A147,'Données projet'!$A$139:$I$159,4,0))</f>
        <v>56.01</v>
      </c>
      <c r="DC147" s="16">
        <f>IF(ISNA(VLOOKUP(A147,'Données projet'!$A$139:$I$159,5,0)),0%,VLOOKUP(A147,'Données projet'!$A$139:$I$159,5,0)*VLOOKUP('Données projet'!$B$13,Paramètres!$A$1:$I$89,7,0))</f>
        <v>0.25800000000000001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87.234446599833461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87.234446599833461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146.15384615384625</v>
      </c>
      <c r="DP147" s="17">
        <f>DO147*VLOOKUP('Données projet'!$B$14,Paramètres!$A$1:$I$89,3,0)*VLOOKUP('Données projet'!$B$14,Paramètres!$A$1:$I$89,5,0)</f>
        <v>127.68000000000011</v>
      </c>
      <c r="DQ147" s="13">
        <f t="shared" si="151"/>
        <v>33.45971491465221</v>
      </c>
      <c r="DR147" s="20">
        <f t="shared" si="124"/>
        <v>280.65167014301943</v>
      </c>
      <c r="DS147" s="59">
        <f t="shared" si="125"/>
        <v>566.60953952431237</v>
      </c>
      <c r="DT147" s="59">
        <f ca="1">AVERAGE(OFFSET($DS$3,0,0,'Données projet'!$E$14+1,1))-AVERAGE(OFFSET($H$3,0,0,'Données projet'!$E$14+1,1))</f>
        <v>253.82888243490106</v>
      </c>
      <c r="DU147" s="59">
        <f t="shared" si="152"/>
        <v>224.11983819941796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7.9991805879555224</v>
      </c>
      <c r="EB147" s="21">
        <f>EXP(-LN(2)/25)*EB146+(1-EXP(-LN(2)/25))/(LN(2)/25)*Calculateur!DW147*Calculateur!DY147*VLOOKUP('Données projet'!$B$14,Paramètres!$A$1:$I$89,3,0)*0.475*44/12</f>
        <v>2.6054004732526748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10.604581061208197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-4.5474735088646412E-13</v>
      </c>
      <c r="O148" s="13">
        <f>N148*VLOOKUP('Données projet'!$B$9,Paramètres!$A$1:$I$89,3,0)*VLOOKUP('Données projet'!$B$9,Paramètres!$A$1:$I$89,5,0)</f>
        <v>-2.1282176021486519E-13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387.50901594883317</v>
      </c>
      <c r="T148" s="59">
        <f t="shared" si="142"/>
        <v>361.3623790401972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93.484693469204203</v>
      </c>
      <c r="AA148" s="21">
        <f>EXP(-LN(2)/25)*AA147+(1-EXP(-LN(2)/25))/(LN(2)/25)*Calculateur!V148*Calculateur!X148*VLOOKUP('Données projet'!$B$9,Paramètres!$A$1:$I$89,3,0)*0.475*44/12</f>
        <v>27.79508357285685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121.27977704206106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373.47758082856359</v>
      </c>
      <c r="AO148" s="59">
        <f t="shared" si="144"/>
        <v>277.24895424120166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47.4889204054221</v>
      </c>
      <c r="AV148" s="21">
        <f>EXP(-LN(2)/25)*AV147+(1-EXP(-LN(2)/25))/(LN(2)/25)*Calculateur!AQ148*Calculateur!AS148*VLOOKUP('Données projet'!$B$10,Paramètres!$A$1:$I$89,3,0)*0.475*44/12</f>
        <v>13.317445935689827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60.806366341111925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8.3249999999999993</v>
      </c>
      <c r="BD148" s="12">
        <f>IF('Données projet'!$A$88&gt;35,BD147+BC148-BL147,IF(A148&lt;'Données projet'!$A$88,$BA$205^A148,IF(A148='Données projet'!$A$88,'Données projet'!$B$88,BD147+BC148-BL147)))</f>
        <v>415.54500000000058</v>
      </c>
      <c r="BE148" s="13">
        <f>BD148*VLOOKUP('Données projet'!$B$11,Paramètres!$A$1:$I$89,3,0)*VLOOKUP('Données projet'!$B$11,Paramètres!$A$1:$I$89,5,0)</f>
        <v>375.98511600000052</v>
      </c>
      <c r="BF148" s="13">
        <f t="shared" si="145"/>
        <v>86.890611547517153</v>
      </c>
      <c r="BG148" s="20">
        <f t="shared" si="115"/>
        <v>806.17522547859323</v>
      </c>
      <c r="BH148" s="59">
        <f t="shared" si="116"/>
        <v>1092.2610426703868</v>
      </c>
      <c r="BI148" s="59">
        <f ca="1">AVERAGE(OFFSET($BH$3,0,0,'Données projet'!$E$11+1,1))-AVERAGE(OFFSET($H$3,0,0,'Données projet'!$E$11+1,1))</f>
        <v>627.65081154031589</v>
      </c>
      <c r="BJ148" s="59">
        <f t="shared" si="146"/>
        <v>288.78083487077618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67.950442109131785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67.950442109131785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8.3249999999999993</v>
      </c>
      <c r="BY148" s="12">
        <f>IF('Données projet'!$A$114&gt;35,BY147+BX148-CG147,IF(A148&lt;'Données projet'!$A$114,$BV$205^A148,IF(A148='Données projet'!$A$114,'Données projet'!$B$114,BY147+BX148-CG147)))</f>
        <v>415.54500000000058</v>
      </c>
      <c r="BZ148" s="13">
        <f>BY148*VLOOKUP('Données projet'!$B$12,Paramètres!$A$1:$I$89,3,0)*VLOOKUP('Données projet'!$B$12,Paramètres!$A$1:$I$89,5,0)</f>
        <v>421.36263000000059</v>
      </c>
      <c r="CA148" s="13">
        <f t="shared" si="147"/>
        <v>96.094409121503247</v>
      </c>
      <c r="CB148" s="20">
        <f t="shared" si="118"/>
        <v>901.23767646995248</v>
      </c>
      <c r="CC148" s="59">
        <f t="shared" si="119"/>
        <v>1187.3234936617459</v>
      </c>
      <c r="CD148" s="59">
        <f ca="1">AVERAGE(OFFSET($CC$3,0,0,'Données projet'!$E$12+1,1))-AVERAGE(OFFSET($H$3,0,0,'Données projet'!$E$12+1,1))</f>
        <v>692.2706942067415</v>
      </c>
      <c r="CE148" s="59">
        <f t="shared" si="148"/>
        <v>316.17529091924803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76.151357536095972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76.151357536095972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8.3249999999999993</v>
      </c>
      <c r="CT148" s="12">
        <f>IF('Données projet'!$A$140&gt;35,CT147+CS148-DB147,IF(A148&lt;'Données projet'!$A$140,$CQ$205^A148,IF(A148='Données projet'!$A$140,'Données projet'!$B$140,CT147+CS148-DB147)))</f>
        <v>415.54500000000058</v>
      </c>
      <c r="CU148" s="17">
        <f>CT148*VLOOKUP('Données projet'!$B$13,Paramètres!$A$1:$I$89,3,0)*VLOOKUP('Données projet'!$B$13,Paramètres!$A$1:$I$89,5,0)</f>
        <v>473.22264600000062</v>
      </c>
      <c r="CV148" s="13">
        <f t="shared" si="149"/>
        <v>106.47311448048045</v>
      </c>
      <c r="CW148" s="20">
        <f t="shared" si="121"/>
        <v>1009.6367828368379</v>
      </c>
      <c r="CX148" s="59">
        <f t="shared" si="122"/>
        <v>1295.7226000286314</v>
      </c>
      <c r="CY148" s="59">
        <f ca="1">AVERAGE(OFFSET($CX$3,0,0,'Données projet'!$E$13+1,1))-AVERAGE(OFFSET($H$3,0,0,'Données projet'!$E$13+1,1))</f>
        <v>765.9523557587147</v>
      </c>
      <c r="CZ148" s="59">
        <f t="shared" si="150"/>
        <v>347.40395092312815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85.523832309769318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85.523832309769318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146.15384615384625</v>
      </c>
      <c r="DP148" s="17">
        <f>DO148*VLOOKUP('Données projet'!$B$14,Paramètres!$A$1:$I$89,3,0)*VLOOKUP('Données projet'!$B$14,Paramètres!$A$1:$I$89,5,0)</f>
        <v>127.68000000000011</v>
      </c>
      <c r="DQ148" s="13">
        <f t="shared" si="151"/>
        <v>33.45971491465221</v>
      </c>
      <c r="DR148" s="20">
        <f t="shared" si="124"/>
        <v>280.65167014301943</v>
      </c>
      <c r="DS148" s="59">
        <f t="shared" si="125"/>
        <v>566.73748733481307</v>
      </c>
      <c r="DT148" s="59">
        <f ca="1">AVERAGE(OFFSET($DS$3,0,0,'Données projet'!$E$14+1,1))-AVERAGE(OFFSET($H$3,0,0,'Données projet'!$E$14+1,1))</f>
        <v>253.82888243490106</v>
      </c>
      <c r="DU148" s="59">
        <f t="shared" si="152"/>
        <v>224.11983819941796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7.8423215356441105</v>
      </c>
      <c r="EB148" s="21">
        <f>EXP(-LN(2)/25)*EB147+(1-EXP(-LN(2)/25))/(LN(2)/25)*Calculateur!DW148*Calculateur!DY148*VLOOKUP('Données projet'!$B$14,Paramètres!$A$1:$I$89,3,0)*0.475*44/12</f>
        <v>2.5341556602995241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10.376477195943634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-4.5474735088646412E-13</v>
      </c>
      <c r="O149" s="13">
        <f>N149*VLOOKUP('Données projet'!$B$9,Paramètres!$A$1:$I$89,3,0)*VLOOKUP('Données projet'!$B$9,Paramètres!$A$1:$I$89,5,0)</f>
        <v>-2.1282176021486519E-13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387.50901594883317</v>
      </c>
      <c r="T149" s="59">
        <f t="shared" si="142"/>
        <v>361.3623790401972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91.651515650305868</v>
      </c>
      <c r="AA149" s="21">
        <f>EXP(-LN(2)/25)*AA148+(1-EXP(-LN(2)/25))/(LN(2)/25)*Calculateur!V149*Calculateur!X149*VLOOKUP('Données projet'!$B$9,Paramètres!$A$1:$I$89,3,0)*0.475*44/12</f>
        <v>27.035025550877162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118.68654120118303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373.47758082856359</v>
      </c>
      <c r="AO149" s="59">
        <f t="shared" si="144"/>
        <v>277.24895424120166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46.557691641653129</v>
      </c>
      <c r="AV149" s="21">
        <f>EXP(-LN(2)/25)*AV148+(1-EXP(-LN(2)/25))/(LN(2)/25)*Calculateur!AQ149*Calculateur!AS149*VLOOKUP('Données projet'!$B$10,Paramètres!$A$1:$I$89,3,0)*0.475*44/12</f>
        <v>12.953279676244344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59.510971317897472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8.3249999999999993</v>
      </c>
      <c r="BD149" s="12">
        <f>IF('Données projet'!$A$88&gt;35,BD148+BC149-BL148,IF(A149&lt;'Données projet'!$A$88,$BA$205^A149,IF(A149='Données projet'!$A$88,'Données projet'!$B$88,BD148+BC149-BL148)))</f>
        <v>423.87000000000057</v>
      </c>
      <c r="BE149" s="13">
        <f>BD149*VLOOKUP('Données projet'!$B$11,Paramètres!$A$1:$I$89,3,0)*VLOOKUP('Données projet'!$B$11,Paramètres!$A$1:$I$89,5,0)</f>
        <v>383.51757600000053</v>
      </c>
      <c r="BF149" s="13">
        <f t="shared" si="145"/>
        <v>88.426967368766455</v>
      </c>
      <c r="BG149" s="20">
        <f t="shared" si="115"/>
        <v>821.97007970060247</v>
      </c>
      <c r="BH149" s="59">
        <f t="shared" si="116"/>
        <v>1108.181625094433</v>
      </c>
      <c r="BI149" s="59">
        <f ca="1">AVERAGE(OFFSET($BH$3,0,0,'Données projet'!$E$11+1,1))-AVERAGE(OFFSET($H$3,0,0,'Données projet'!$E$11+1,1))</f>
        <v>627.65081154031589</v>
      </c>
      <c r="BJ149" s="59">
        <f t="shared" si="146"/>
        <v>288.78083487077618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66.617975385048979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66.617975385048979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8.3249999999999993</v>
      </c>
      <c r="BY149" s="12">
        <f>IF('Données projet'!$A$114&gt;35,BY148+BX149-CG148,IF(A149&lt;'Données projet'!$A$114,$BV$205^A149,IF(A149='Données projet'!$A$114,'Données projet'!$B$114,BY148+BX149-CG148)))</f>
        <v>423.87000000000057</v>
      </c>
      <c r="BZ149" s="13">
        <f>BY149*VLOOKUP('Données projet'!$B$12,Paramètres!$A$1:$I$89,3,0)*VLOOKUP('Données projet'!$B$12,Paramètres!$A$1:$I$89,5,0)</f>
        <v>429.8041800000006</v>
      </c>
      <c r="CA149" s="13">
        <f t="shared" si="147"/>
        <v>97.793501833753268</v>
      </c>
      <c r="CB149" s="20">
        <f t="shared" si="118"/>
        <v>918.89929586045457</v>
      </c>
      <c r="CC149" s="59">
        <f t="shared" si="119"/>
        <v>1205.1108412542853</v>
      </c>
      <c r="CD149" s="59">
        <f ca="1">AVERAGE(OFFSET($CC$3,0,0,'Données projet'!$E$12+1,1))-AVERAGE(OFFSET($H$3,0,0,'Données projet'!$E$12+1,1))</f>
        <v>692.2706942067415</v>
      </c>
      <c r="CE149" s="59">
        <f t="shared" si="148"/>
        <v>316.17529091924803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74.658075862554895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74.658075862554895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8.3249999999999993</v>
      </c>
      <c r="CT149" s="12">
        <f>IF('Données projet'!$A$140&gt;35,CT148+CS149-DB148,IF(A149&lt;'Données projet'!$A$140,$CQ$205^A149,IF(A149='Données projet'!$A$140,'Données projet'!$B$140,CT148+CS149-DB148)))</f>
        <v>423.87000000000057</v>
      </c>
      <c r="CU149" s="17">
        <f>CT149*VLOOKUP('Données projet'!$B$13,Paramètres!$A$1:$I$89,3,0)*VLOOKUP('Données projet'!$B$13,Paramètres!$A$1:$I$89,5,0)</f>
        <v>482.7031560000006</v>
      </c>
      <c r="CV149" s="13">
        <f t="shared" si="149"/>
        <v>108.3557182086079</v>
      </c>
      <c r="CW149" s="20">
        <f t="shared" si="121"/>
        <v>1029.4275392466598</v>
      </c>
      <c r="CX149" s="59">
        <f t="shared" si="122"/>
        <v>1315.6390846404904</v>
      </c>
      <c r="CY149" s="59">
        <f ca="1">AVERAGE(OFFSET($CX$3,0,0,'Données projet'!$E$13+1,1))-AVERAGE(OFFSET($H$3,0,0,'Données projet'!$E$13+1,1))</f>
        <v>765.9523557587147</v>
      </c>
      <c r="CZ149" s="59">
        <f t="shared" si="150"/>
        <v>347.40395092312815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83.846762122561643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83.846762122561643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146.15384615384625</v>
      </c>
      <c r="DP149" s="17">
        <f>DO149*VLOOKUP('Données projet'!$B$14,Paramètres!$A$1:$I$89,3,0)*VLOOKUP('Données projet'!$B$14,Paramètres!$A$1:$I$89,5,0)</f>
        <v>127.68000000000011</v>
      </c>
      <c r="DQ149" s="13">
        <f t="shared" si="151"/>
        <v>33.45971491465221</v>
      </c>
      <c r="DR149" s="20">
        <f t="shared" si="124"/>
        <v>280.65167014301943</v>
      </c>
      <c r="DS149" s="59">
        <f t="shared" si="125"/>
        <v>566.86321553685002</v>
      </c>
      <c r="DT149" s="59">
        <f ca="1">AVERAGE(OFFSET($DS$3,0,0,'Données projet'!$E$14+1,1))-AVERAGE(OFFSET($H$3,0,0,'Données projet'!$E$14+1,1))</f>
        <v>253.82888243490106</v>
      </c>
      <c r="DU149" s="59">
        <f t="shared" si="152"/>
        <v>224.11983819941796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7.6885383936739506</v>
      </c>
      <c r="EB149" s="21">
        <f>EXP(-LN(2)/25)*EB148+(1-EXP(-LN(2)/25))/(LN(2)/25)*Calculateur!DW149*Calculateur!DY149*VLOOKUP('Données projet'!$B$14,Paramètres!$A$1:$I$89,3,0)*0.475*44/12</f>
        <v>2.4648590405031792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10.15339743417713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-4.5474735088646412E-13</v>
      </c>
      <c r="O150" s="13">
        <f>N150*VLOOKUP('Données projet'!$B$9,Paramètres!$A$1:$I$89,3,0)*VLOOKUP('Données projet'!$B$9,Paramètres!$A$1:$I$89,5,0)</f>
        <v>-2.1282176021486519E-13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387.50901594883317</v>
      </c>
      <c r="T150" s="59">
        <f t="shared" si="142"/>
        <v>361.3623790401972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89.854285330308059</v>
      </c>
      <c r="AA150" s="21">
        <f>EXP(-LN(2)/25)*AA149+(1-EXP(-LN(2)/25))/(LN(2)/25)*Calculateur!V150*Calculateur!X150*VLOOKUP('Données projet'!$B$9,Paramètres!$A$1:$I$89,3,0)*0.475*44/12</f>
        <v>26.29575135547822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116.15003668578628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373.47758082856359</v>
      </c>
      <c r="AO150" s="59">
        <f t="shared" si="144"/>
        <v>277.24895424120166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45.644723705948202</v>
      </c>
      <c r="AV150" s="21">
        <f>EXP(-LN(2)/25)*AV149+(1-EXP(-LN(2)/25))/(LN(2)/25)*Calculateur!AQ150*Calculateur!AS150*VLOOKUP('Données projet'!$B$10,Paramètres!$A$1:$I$89,3,0)*0.475*44/12</f>
        <v>12.599071562314069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58.243795268262275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8.3249999999999993</v>
      </c>
      <c r="BD150" s="12">
        <f>IF('Données projet'!$A$88&gt;35,BD149+BC150-BL149,IF(A150&lt;'Données projet'!$A$88,$BA$205^A150,IF(A150='Données projet'!$A$88,'Données projet'!$B$88,BD149+BC150-BL149)))</f>
        <v>432.19500000000056</v>
      </c>
      <c r="BE150" s="13">
        <f>BD150*VLOOKUP('Données projet'!$B$11,Paramètres!$A$1:$I$89,3,0)*VLOOKUP('Données projet'!$B$11,Paramètres!$A$1:$I$89,5,0)</f>
        <v>391.05003600000049</v>
      </c>
      <c r="BF150" s="13">
        <f t="shared" si="145"/>
        <v>89.959814624965674</v>
      </c>
      <c r="BG150" s="20">
        <f t="shared" si="115"/>
        <v>837.75882317181595</v>
      </c>
      <c r="BH150" s="59">
        <f t="shared" si="116"/>
        <v>1124.0939156644645</v>
      </c>
      <c r="BI150" s="59">
        <f ca="1">AVERAGE(OFFSET($BH$3,0,0,'Données projet'!$E$11+1,1))-AVERAGE(OFFSET($H$3,0,0,'Données projet'!$E$11+1,1))</f>
        <v>627.65081154031589</v>
      </c>
      <c r="BJ150" s="59">
        <f t="shared" si="146"/>
        <v>288.78083487077618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65.311637520700984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65.311637520700984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8.3249999999999993</v>
      </c>
      <c r="BY150" s="12">
        <f>IF('Données projet'!$A$114&gt;35,BY149+BX150-CG149,IF(A150&lt;'Données projet'!$A$114,$BV$205^A150,IF(A150='Données projet'!$A$114,'Données projet'!$B$114,BY149+BX150-CG149)))</f>
        <v>432.19500000000056</v>
      </c>
      <c r="BZ150" s="13">
        <f>BY150*VLOOKUP('Données projet'!$B$12,Paramètres!$A$1:$I$89,3,0)*VLOOKUP('Données projet'!$B$12,Paramètres!$A$1:$I$89,5,0)</f>
        <v>438.24573000000061</v>
      </c>
      <c r="CA150" s="13">
        <f t="shared" si="147"/>
        <v>99.488714339852734</v>
      </c>
      <c r="CB150" s="20">
        <f t="shared" si="118"/>
        <v>936.55415722524458</v>
      </c>
      <c r="CC150" s="59">
        <f t="shared" si="119"/>
        <v>1222.8892497178931</v>
      </c>
      <c r="CD150" s="59">
        <f ca="1">AVERAGE(OFFSET($CC$3,0,0,'Données projet'!$E$12+1,1))-AVERAGE(OFFSET($H$3,0,0,'Données projet'!$E$12+1,1))</f>
        <v>692.2706942067415</v>
      </c>
      <c r="CE150" s="59">
        <f t="shared" si="148"/>
        <v>316.17529091924803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73.194076531820073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73.194076531820073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8.3249999999999993</v>
      </c>
      <c r="CT150" s="12">
        <f>IF('Données projet'!$A$140&gt;35,CT149+CS150-DB149,IF(A150&lt;'Données projet'!$A$140,$CQ$205^A150,IF(A150='Données projet'!$A$140,'Données projet'!$B$140,CT149+CS150-DB149)))</f>
        <v>432.19500000000056</v>
      </c>
      <c r="CU150" s="17">
        <f>CT150*VLOOKUP('Données projet'!$B$13,Paramètres!$A$1:$I$89,3,0)*VLOOKUP('Données projet'!$B$13,Paramètres!$A$1:$I$89,5,0)</f>
        <v>492.18366600000058</v>
      </c>
      <c r="CV150" s="13">
        <f t="shared" si="149"/>
        <v>110.23402264776055</v>
      </c>
      <c r="CW150" s="20">
        <f t="shared" si="121"/>
        <v>1049.2108077281839</v>
      </c>
      <c r="CX150" s="59">
        <f t="shared" si="122"/>
        <v>1335.5459002208322</v>
      </c>
      <c r="CY150" s="59">
        <f ca="1">AVERAGE(OFFSET($CX$3,0,0,'Données projet'!$E$13+1,1))-AVERAGE(OFFSET($H$3,0,0,'Données projet'!$E$13+1,1))</f>
        <v>765.9523557587147</v>
      </c>
      <c r="CZ150" s="59">
        <f t="shared" si="150"/>
        <v>347.40395092312815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82.202578258813304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82.202578258813304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146.15384615384625</v>
      </c>
      <c r="DP150" s="17">
        <f>DO150*VLOOKUP('Données projet'!$B$14,Paramètres!$A$1:$I$89,3,0)*VLOOKUP('Données projet'!$B$14,Paramètres!$A$1:$I$89,5,0)</f>
        <v>127.68000000000011</v>
      </c>
      <c r="DQ150" s="13">
        <f t="shared" si="151"/>
        <v>33.45971491465221</v>
      </c>
      <c r="DR150" s="20">
        <f t="shared" si="124"/>
        <v>280.65167014301943</v>
      </c>
      <c r="DS150" s="59">
        <f t="shared" si="125"/>
        <v>566.9867626356679</v>
      </c>
      <c r="DT150" s="59">
        <f ca="1">AVERAGE(OFFSET($DS$3,0,0,'Données projet'!$E$14+1,1))-AVERAGE(OFFSET($H$3,0,0,'Données projet'!$E$14+1,1))</f>
        <v>253.82888243490106</v>
      </c>
      <c r="DU150" s="59">
        <f t="shared" si="152"/>
        <v>224.11983819941796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7.5377708453193701</v>
      </c>
      <c r="EB150" s="21">
        <f>EXP(-LN(2)/25)*EB149+(1-EXP(-LN(2)/25))/(LN(2)/25)*Calculateur!DW150*Calculateur!DY150*VLOOKUP('Données projet'!$B$14,Paramètres!$A$1:$I$89,3,0)*0.475*44/12</f>
        <v>2.3974573404193165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9.935228185738687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-4.5474735088646412E-13</v>
      </c>
      <c r="O151" s="13">
        <f>N151*VLOOKUP('Données projet'!$B$9,Paramètres!$A$1:$I$89,3,0)*VLOOKUP('Données projet'!$B$9,Paramètres!$A$1:$I$89,5,0)</f>
        <v>-2.1282176021486519E-13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387.50901594883317</v>
      </c>
      <c r="T151" s="59">
        <f t="shared" si="142"/>
        <v>361.3623790401972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88.092297600683153</v>
      </c>
      <c r="AA151" s="21">
        <f>EXP(-LN(2)/25)*AA150+(1-EXP(-LN(2)/25))/(LN(2)/25)*Calculateur!V151*Calculateur!X151*VLOOKUP('Données projet'!$B$9,Paramètres!$A$1:$I$89,3,0)*0.475*44/12</f>
        <v>25.576692651829205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113.66899025251236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373.47758082856359</v>
      </c>
      <c r="AO151" s="59">
        <f t="shared" si="144"/>
        <v>277.24895424120166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44.749658514606992</v>
      </c>
      <c r="AV151" s="21">
        <f>EXP(-LN(2)/25)*AV150+(1-EXP(-LN(2)/25))/(LN(2)/25)*Calculateur!AQ151*Calculateur!AS151*VLOOKUP('Données projet'!$B$10,Paramètres!$A$1:$I$89,3,0)*0.475*44/12</f>
        <v>12.254549287886213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57.004207802493205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8.3249999999999993</v>
      </c>
      <c r="BD151" s="12">
        <f>IF('Données projet'!$A$88&gt;35,BD150+BC151-BL150,IF(A151&lt;'Données projet'!$A$88,$BA$205^A151,IF(A151='Données projet'!$A$88,'Données projet'!$B$88,BD150+BC151-BL150)))</f>
        <v>440.52000000000055</v>
      </c>
      <c r="BE151" s="13">
        <f>BD151*VLOOKUP('Données projet'!$B$11,Paramètres!$A$1:$I$89,3,0)*VLOOKUP('Données projet'!$B$11,Paramètres!$A$1:$I$89,5,0)</f>
        <v>398.5824960000005</v>
      </c>
      <c r="BF151" s="13">
        <f t="shared" si="145"/>
        <v>91.489228690064536</v>
      </c>
      <c r="BG151" s="20">
        <f t="shared" si="115"/>
        <v>853.54158716852999</v>
      </c>
      <c r="BH151" s="59">
        <f t="shared" si="116"/>
        <v>1139.9980834940416</v>
      </c>
      <c r="BI151" s="59">
        <f ca="1">AVERAGE(OFFSET($BH$3,0,0,'Données projet'!$E$11+1,1))-AVERAGE(OFFSET($H$3,0,0,'Données projet'!$E$11+1,1))</f>
        <v>627.65081154031589</v>
      </c>
      <c r="BJ151" s="59">
        <f t="shared" si="146"/>
        <v>288.78083487077618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64.030916145085428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64.030916145085428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8.3249999999999993</v>
      </c>
      <c r="BY151" s="12">
        <f>IF('Données projet'!$A$114&gt;35,BY150+BX151-CG150,IF(A151&lt;'Données projet'!$A$114,$BV$205^A151,IF(A151='Données projet'!$A$114,'Données projet'!$B$114,BY150+BX151-CG150)))</f>
        <v>440.52000000000055</v>
      </c>
      <c r="BZ151" s="13">
        <f>BY151*VLOOKUP('Données projet'!$B$12,Paramètres!$A$1:$I$89,3,0)*VLOOKUP('Données projet'!$B$12,Paramètres!$A$1:$I$89,5,0)</f>
        <v>446.68728000000056</v>
      </c>
      <c r="CA151" s="13">
        <f t="shared" si="147"/>
        <v>101.18012999765861</v>
      </c>
      <c r="CB151" s="20">
        <f t="shared" si="118"/>
        <v>954.20240574592299</v>
      </c>
      <c r="CC151" s="59">
        <f t="shared" si="119"/>
        <v>1240.6589020714346</v>
      </c>
      <c r="CD151" s="59">
        <f ca="1">AVERAGE(OFFSET($CC$3,0,0,'Données projet'!$E$12+1,1))-AVERAGE(OFFSET($H$3,0,0,'Données projet'!$E$12+1,1))</f>
        <v>692.2706942067415</v>
      </c>
      <c r="CE151" s="59">
        <f t="shared" si="148"/>
        <v>316.17529091924803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71.758785335009534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71.758785335009534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8.3249999999999993</v>
      </c>
      <c r="CT151" s="12">
        <f>IF('Données projet'!$A$140&gt;35,CT150+CS151-DB150,IF(A151&lt;'Données projet'!$A$140,$CQ$205^A151,IF(A151='Données projet'!$A$140,'Données projet'!$B$140,CT150+CS151-DB150)))</f>
        <v>440.52000000000055</v>
      </c>
      <c r="CU151" s="17">
        <f>CT151*VLOOKUP('Données projet'!$B$13,Paramètres!$A$1:$I$89,3,0)*VLOOKUP('Données projet'!$B$13,Paramètres!$A$1:$I$89,5,0)</f>
        <v>501.66417600000057</v>
      </c>
      <c r="CV151" s="13">
        <f t="shared" si="149"/>
        <v>112.10812015888561</v>
      </c>
      <c r="CW151" s="20">
        <f t="shared" si="121"/>
        <v>1068.9867491433936</v>
      </c>
      <c r="CX151" s="59">
        <f t="shared" si="122"/>
        <v>1355.4432454689054</v>
      </c>
      <c r="CY151" s="59">
        <f ca="1">AVERAGE(OFFSET($CX$3,0,0,'Données projet'!$E$13+1,1))-AVERAGE(OFFSET($H$3,0,0,'Données projet'!$E$13+1,1))</f>
        <v>765.9523557587147</v>
      </c>
      <c r="CZ151" s="59">
        <f t="shared" si="150"/>
        <v>347.40395092312815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80.590635837779942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80.590635837779942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146.15384615384625</v>
      </c>
      <c r="DP151" s="17">
        <f>DO151*VLOOKUP('Données projet'!$B$14,Paramètres!$A$1:$I$89,3,0)*VLOOKUP('Données projet'!$B$14,Paramètres!$A$1:$I$89,5,0)</f>
        <v>127.68000000000011</v>
      </c>
      <c r="DQ151" s="13">
        <f t="shared" si="151"/>
        <v>33.45971491465221</v>
      </c>
      <c r="DR151" s="20">
        <f t="shared" si="124"/>
        <v>280.65167014301943</v>
      </c>
      <c r="DS151" s="59">
        <f t="shared" si="125"/>
        <v>567.10816646853118</v>
      </c>
      <c r="DT151" s="59">
        <f ca="1">AVERAGE(OFFSET($DS$3,0,0,'Données projet'!$E$14+1,1))-AVERAGE(OFFSET($H$3,0,0,'Données projet'!$E$14+1,1))</f>
        <v>253.82888243490106</v>
      </c>
      <c r="DU151" s="59">
        <f t="shared" si="152"/>
        <v>224.11983819941796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7.3899597566288993</v>
      </c>
      <c r="EB151" s="21">
        <f>EXP(-LN(2)/25)*EB150+(1-EXP(-LN(2)/25))/(LN(2)/25)*Calculateur!DW151*Calculateur!DY151*VLOOKUP('Données projet'!$B$14,Paramètres!$A$1:$I$89,3,0)*0.475*44/12</f>
        <v>2.3318987433687481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9.7218584999976478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-4.5474735088646412E-13</v>
      </c>
      <c r="O152" s="13">
        <f>N152*VLOOKUP('Données projet'!$B$9,Paramètres!$A$1:$I$89,3,0)*VLOOKUP('Données projet'!$B$9,Paramètres!$A$1:$I$89,5,0)</f>
        <v>-2.1282176021486519E-13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387.50901594883317</v>
      </c>
      <c r="T152" s="59">
        <f t="shared" si="142"/>
        <v>361.3623790401972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86.364861375729802</v>
      </c>
      <c r="AA152" s="21">
        <f>EXP(-LN(2)/25)*AA151+(1-EXP(-LN(2)/25))/(LN(2)/25)*Calculateur!V152*Calculateur!X152*VLOOKUP('Données projet'!$B$9,Paramètres!$A$1:$I$89,3,0)*0.475*44/12</f>
        <v>24.877296646245124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111.24215802197493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373.47758082856359</v>
      </c>
      <c r="AO152" s="59">
        <f t="shared" si="144"/>
        <v>277.24895424120166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43.872145005732122</v>
      </c>
      <c r="AV152" s="21">
        <f>EXP(-LN(2)/25)*AV151+(1-EXP(-LN(2)/25))/(LN(2)/25)*Calculateur!AQ152*Calculateur!AS152*VLOOKUP('Données projet'!$B$10,Paramètres!$A$1:$I$89,3,0)*0.475*44/12</f>
        <v>11.919447993170227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55.791592998902345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8.3249999999999993</v>
      </c>
      <c r="BD152" s="12">
        <f>IF('Données projet'!$A$88&gt;35,BD151+BC152-BL151,IF(A152&lt;'Données projet'!$A$88,$BA$205^A152,IF(A152='Données projet'!$A$88,'Données projet'!$B$88,BD151+BC152-BL151)))</f>
        <v>448.84500000000054</v>
      </c>
      <c r="BE152" s="13">
        <f>BD152*VLOOKUP('Données projet'!$B$11,Paramètres!$A$1:$I$89,3,0)*VLOOKUP('Données projet'!$B$11,Paramètres!$A$1:$I$89,5,0)</f>
        <v>406.11495600000046</v>
      </c>
      <c r="BF152" s="13">
        <f t="shared" si="145"/>
        <v>93.015281926133852</v>
      </c>
      <c r="BG152" s="20">
        <f t="shared" si="115"/>
        <v>869.31849772135058</v>
      </c>
      <c r="BH152" s="59">
        <f t="shared" si="116"/>
        <v>1155.8942917946438</v>
      </c>
      <c r="BI152" s="59">
        <f ca="1">AVERAGE(OFFSET($BH$3,0,0,'Données projet'!$E$11+1,1))-AVERAGE(OFFSET($H$3,0,0,'Données projet'!$E$11+1,1))</f>
        <v>627.65081154031589</v>
      </c>
      <c r="BJ152" s="59">
        <f t="shared" si="146"/>
        <v>288.78083487077618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62.775308934482787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62.775308934482787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8.3249999999999993</v>
      </c>
      <c r="BY152" s="12">
        <f>IF('Données projet'!$A$114&gt;35,BY151+BX152-CG151,IF(A152&lt;'Données projet'!$A$114,$BV$205^A152,IF(A152='Données projet'!$A$114,'Données projet'!$B$114,BY151+BX152-CG151)))</f>
        <v>448.84500000000054</v>
      </c>
      <c r="BZ152" s="13">
        <f>BY152*VLOOKUP('Données projet'!$B$12,Paramètres!$A$1:$I$89,3,0)*VLOOKUP('Données projet'!$B$12,Paramètres!$A$1:$I$89,5,0)</f>
        <v>455.12883000000056</v>
      </c>
      <c r="CA152" s="13">
        <f t="shared" si="147"/>
        <v>102.86782883411858</v>
      </c>
      <c r="CB152" s="20">
        <f t="shared" si="118"/>
        <v>971.84418080275736</v>
      </c>
      <c r="CC152" s="59">
        <f t="shared" si="119"/>
        <v>1258.4199748760504</v>
      </c>
      <c r="CD152" s="59">
        <f ca="1">AVERAGE(OFFSET($CC$3,0,0,'Données projet'!$E$12+1,1))-AVERAGE(OFFSET($H$3,0,0,'Données projet'!$E$12+1,1))</f>
        <v>692.2706942067415</v>
      </c>
      <c r="CE152" s="59">
        <f t="shared" si="148"/>
        <v>316.17529091924803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70.351639323127273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70.351639323127273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8.3249999999999993</v>
      </c>
      <c r="CT152" s="12">
        <f>IF('Données projet'!$A$140&gt;35,CT151+CS152-DB151,IF(A152&lt;'Données projet'!$A$140,$CQ$205^A152,IF(A152='Données projet'!$A$140,'Données projet'!$B$140,CT151+CS152-DB151)))</f>
        <v>448.84500000000054</v>
      </c>
      <c r="CU152" s="17">
        <f>CT152*VLOOKUP('Données projet'!$B$13,Paramètres!$A$1:$I$89,3,0)*VLOOKUP('Données projet'!$B$13,Paramètres!$A$1:$I$89,5,0)</f>
        <v>511.1446860000006</v>
      </c>
      <c r="CV152" s="13">
        <f t="shared" si="149"/>
        <v>113.97809941226514</v>
      </c>
      <c r="CW152" s="20">
        <f t="shared" si="121"/>
        <v>1088.7555179263629</v>
      </c>
      <c r="CX152" s="59">
        <f t="shared" si="122"/>
        <v>1375.331311999656</v>
      </c>
      <c r="CY152" s="59">
        <f ca="1">AVERAGE(OFFSET($CX$3,0,0,'Données projet'!$E$13+1,1))-AVERAGE(OFFSET($H$3,0,0,'Données projet'!$E$13+1,1))</f>
        <v>765.9523557587147</v>
      </c>
      <c r="CZ152" s="59">
        <f t="shared" si="150"/>
        <v>347.40395092312815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79.010302624435241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79.010302624435241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146.15384615384625</v>
      </c>
      <c r="DP152" s="17">
        <f>DO152*VLOOKUP('Données projet'!$B$14,Paramètres!$A$1:$I$89,3,0)*VLOOKUP('Données projet'!$B$14,Paramètres!$A$1:$I$89,5,0)</f>
        <v>127.68000000000011</v>
      </c>
      <c r="DQ152" s="13">
        <f t="shared" si="151"/>
        <v>33.45971491465221</v>
      </c>
      <c r="DR152" s="20">
        <f t="shared" si="124"/>
        <v>280.65167014301943</v>
      </c>
      <c r="DS152" s="59">
        <f t="shared" si="125"/>
        <v>567.22746421631246</v>
      </c>
      <c r="DT152" s="59">
        <f ca="1">AVERAGE(OFFSET($DS$3,0,0,'Données projet'!$E$14+1,1))-AVERAGE(OFFSET($H$3,0,0,'Données projet'!$E$14+1,1))</f>
        <v>253.82888243490106</v>
      </c>
      <c r="DU152" s="59">
        <f t="shared" si="152"/>
        <v>224.11983819941796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7.2450471532317859</v>
      </c>
      <c r="EB152" s="21">
        <f>EXP(-LN(2)/25)*EB151+(1-EXP(-LN(2)/25))/(LN(2)/25)*Calculateur!DW152*Calculateur!DY152*VLOOKUP('Données projet'!$B$14,Paramètres!$A$1:$I$89,3,0)*0.475*44/12</f>
        <v>2.2681328496021043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9.5131800028338898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-4.5474735088646412E-13</v>
      </c>
      <c r="O153" s="13">
        <f>N153*VLOOKUP('Données projet'!$B$9,Paramètres!$A$1:$I$89,3,0)*VLOOKUP('Données projet'!$B$9,Paramètres!$A$1:$I$89,5,0)</f>
        <v>-2.1282176021486519E-13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387.50901594883317</v>
      </c>
      <c r="T153" s="59">
        <f t="shared" si="142"/>
        <v>361.3623790401972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84.671299121515716</v>
      </c>
      <c r="AA153" s="21">
        <f>EXP(-LN(2)/25)*AA152+(1-EXP(-LN(2)/25))/(LN(2)/25)*Calculateur!V153*Calculateur!X153*VLOOKUP('Données projet'!$B$9,Paramètres!$A$1:$I$89,3,0)*0.475*44/12</f>
        <v>24.197025661213377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108.86832478272909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373.47758082856359</v>
      </c>
      <c r="AO153" s="59">
        <f t="shared" si="144"/>
        <v>277.24895424120166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43.011839001535904</v>
      </c>
      <c r="AV153" s="21">
        <f>EXP(-LN(2)/25)*AV152+(1-EXP(-LN(2)/25))/(LN(2)/25)*Calculateur!AQ153*Calculateur!AS153*VLOOKUP('Données projet'!$B$10,Paramètres!$A$1:$I$89,3,0)*0.475*44/12</f>
        <v>11.59351006098046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54.605349062516368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8.3249999999999993</v>
      </c>
      <c r="BD153" s="12">
        <f>IF('Données projet'!$A$88&gt;35,BD152+BC153-BL152,IF(A153&lt;'Données projet'!$A$88,$BA$205^A153,IF(A153='Données projet'!$A$88,'Données projet'!$B$88,BD152+BC153-BL152)))</f>
        <v>457.17000000000053</v>
      </c>
      <c r="BE153" s="13">
        <f>BD153*VLOOKUP('Données projet'!$B$11,Paramètres!$A$1:$I$89,3,0)*VLOOKUP('Données projet'!$B$11,Paramètres!$A$1:$I$89,5,0)</f>
        <v>413.64741600000042</v>
      </c>
      <c r="BF153" s="13">
        <f t="shared" si="145"/>
        <v>94.538043857309361</v>
      </c>
      <c r="BG153" s="20">
        <f t="shared" si="115"/>
        <v>885.0896759181478</v>
      </c>
      <c r="BH153" s="59">
        <f t="shared" si="116"/>
        <v>1171.7826981900082</v>
      </c>
      <c r="BI153" s="59">
        <f ca="1">AVERAGE(OFFSET($BH$3,0,0,'Données projet'!$E$11+1,1))-AVERAGE(OFFSET($H$3,0,0,'Données projet'!$E$11+1,1))</f>
        <v>627.65081154031589</v>
      </c>
      <c r="BJ153" s="59">
        <f t="shared" si="146"/>
        <v>288.78083487077618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61.544323415435287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61.544323415435287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8.3249999999999993</v>
      </c>
      <c r="BY153" s="12">
        <f>IF('Données projet'!$A$114&gt;35,BY152+BX153-CG152,IF(A153&lt;'Données projet'!$A$114,$BV$205^A153,IF(A153='Données projet'!$A$114,'Données projet'!$B$114,BY152+BX153-CG152)))</f>
        <v>457.17000000000053</v>
      </c>
      <c r="BZ153" s="13">
        <f>BY153*VLOOKUP('Données projet'!$B$12,Paramètres!$A$1:$I$89,3,0)*VLOOKUP('Données projet'!$B$12,Paramètres!$A$1:$I$89,5,0)</f>
        <v>463.57038000000057</v>
      </c>
      <c r="CA153" s="13">
        <f t="shared" si="147"/>
        <v>104.55188773764013</v>
      </c>
      <c r="CB153" s="20">
        <f t="shared" si="118"/>
        <v>989.47961630972395</v>
      </c>
      <c r="CC153" s="59">
        <f t="shared" si="119"/>
        <v>1276.1726385815844</v>
      </c>
      <c r="CD153" s="59">
        <f ca="1">AVERAGE(OFFSET($CC$3,0,0,'Données projet'!$E$12+1,1))-AVERAGE(OFFSET($H$3,0,0,'Données projet'!$E$12+1,1))</f>
        <v>692.2706942067415</v>
      </c>
      <c r="CE153" s="59">
        <f t="shared" si="148"/>
        <v>316.17529091924803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68.9720865862637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68.9720865862637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8.3249999999999993</v>
      </c>
      <c r="CT153" s="12">
        <f>IF('Données projet'!$A$140&gt;35,CT152+CS153-DB152,IF(A153&lt;'Données projet'!$A$140,$CQ$205^A153,IF(A153='Données projet'!$A$140,'Données projet'!$B$140,CT152+CS153-DB152)))</f>
        <v>457.17000000000053</v>
      </c>
      <c r="CU153" s="17">
        <f>CT153*VLOOKUP('Données projet'!$B$13,Paramètres!$A$1:$I$89,3,0)*VLOOKUP('Données projet'!$B$13,Paramètres!$A$1:$I$89,5,0)</f>
        <v>520.62519600000053</v>
      </c>
      <c r="CV153" s="13">
        <f t="shared" si="149"/>
        <v>115.84404560066206</v>
      </c>
      <c r="CW153" s="20">
        <f t="shared" si="121"/>
        <v>1108.5172624544873</v>
      </c>
      <c r="CX153" s="59">
        <f t="shared" si="122"/>
        <v>1395.2102847263477</v>
      </c>
      <c r="CY153" s="59">
        <f ca="1">AVERAGE(OFFSET($CX$3,0,0,'Données projet'!$E$13+1,1))-AVERAGE(OFFSET($H$3,0,0,'Données projet'!$E$13+1,1))</f>
        <v>765.9523557587147</v>
      </c>
      <c r="CZ153" s="59">
        <f t="shared" si="150"/>
        <v>347.40395092312815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77.460958781496146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77.460958781496146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146.15384615384625</v>
      </c>
      <c r="DP153" s="17">
        <f>DO153*VLOOKUP('Données projet'!$B$14,Paramètres!$A$1:$I$89,3,0)*VLOOKUP('Données projet'!$B$14,Paramètres!$A$1:$I$89,5,0)</f>
        <v>127.68000000000011</v>
      </c>
      <c r="DQ153" s="13">
        <f t="shared" si="151"/>
        <v>33.45971491465221</v>
      </c>
      <c r="DR153" s="20">
        <f t="shared" si="124"/>
        <v>280.65167014301943</v>
      </c>
      <c r="DS153" s="59">
        <f t="shared" si="125"/>
        <v>567.34469241487977</v>
      </c>
      <c r="DT153" s="59">
        <f ca="1">AVERAGE(OFFSET($DS$3,0,0,'Données projet'!$E$14+1,1))-AVERAGE(OFFSET($H$3,0,0,'Données projet'!$E$14+1,1))</f>
        <v>253.82888243490106</v>
      </c>
      <c r="DU153" s="59">
        <f t="shared" si="152"/>
        <v>224.11983819941796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7.1029761975993297</v>
      </c>
      <c r="EB153" s="21">
        <f>EXP(-LN(2)/25)*EB152+(1-EXP(-LN(2)/25))/(LN(2)/25)*Calculateur!DW153*Calculateur!DY153*VLOOKUP('Données projet'!$B$14,Paramètres!$A$1:$I$89,3,0)*0.475*44/12</f>
        <v>2.2061106375538122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9.3090868351531419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-4.5474735088646412E-13</v>
      </c>
      <c r="O154" s="13">
        <f>N154*VLOOKUP('Données projet'!$B$9,Paramètres!$A$1:$I$89,3,0)*VLOOKUP('Données projet'!$B$9,Paramètres!$A$1:$I$89,5,0)</f>
        <v>-2.1282176021486519E-13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387.50901594883317</v>
      </c>
      <c r="T154" s="59">
        <f t="shared" si="142"/>
        <v>361.3623790401972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83.010946590135802</v>
      </c>
      <c r="AA154" s="21">
        <f>EXP(-LN(2)/25)*AA153+(1-EXP(-LN(2)/25))/(LN(2)/25)*Calculateur!V154*Calculateur!X154*VLOOKUP('Données projet'!$B$9,Paramètres!$A$1:$I$89,3,0)*0.475*44/12</f>
        <v>23.535356722041222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106.54630331217703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373.47758082856359</v>
      </c>
      <c r="AO154" s="59">
        <f t="shared" si="144"/>
        <v>277.24895424120166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42.168403073347122</v>
      </c>
      <c r="AV154" s="21">
        <f>EXP(-LN(2)/25)*AV153+(1-EXP(-LN(2)/25))/(LN(2)/25)*Calculateur!AQ154*Calculateur!AS154*VLOOKUP('Données projet'!$B$10,Paramètres!$A$1:$I$89,3,0)*0.475*44/12</f>
        <v>11.276484918686753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53.444887992033877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8.3249999999999993</v>
      </c>
      <c r="BD154" s="12">
        <f>IF('Données projet'!$A$88&gt;35,BD153+BC154-BL153,IF(A154&lt;'Données projet'!$A$88,$BA$205^A154,IF(A154='Données projet'!$A$88,'Données projet'!$B$88,BD153+BC154-BL153)))</f>
        <v>465.49500000000052</v>
      </c>
      <c r="BE154" s="13">
        <f>BD154*VLOOKUP('Données projet'!$B$11,Paramètres!$A$1:$I$89,3,0)*VLOOKUP('Données projet'!$B$11,Paramètres!$A$1:$I$89,5,0)</f>
        <v>421.17987600000043</v>
      </c>
      <c r="BF154" s="13">
        <f t="shared" ref="BF154:BF203" si="167">EXP(-1.0587+0.8836*LN(BE154)+0.284)</f>
        <v>96.057581330707137</v>
      </c>
      <c r="BG154" s="20">
        <f t="shared" ref="BG154:BG203" si="168">(BE154+BF154)*0.475*44/12</f>
        <v>900.85523818431557</v>
      </c>
      <c r="BH154" s="59">
        <f t="shared" si="116"/>
        <v>1187.663455007581</v>
      </c>
      <c r="BI154" s="59">
        <f ca="1">AVERAGE(OFFSET($BH$3,0,0,'Données projet'!$E$11+1,1))-AVERAGE(OFFSET($H$3,0,0,'Données projet'!$E$11+1,1))</f>
        <v>627.65081154031589</v>
      </c>
      <c r="BJ154" s="59">
        <f t="shared" si="146"/>
        <v>288.78083487077618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60.33747677158928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60.33747677158928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8.3249999999999993</v>
      </c>
      <c r="BY154" s="12">
        <f>IF('Données projet'!$A$114&gt;35,BY153+BX154-CG153,IF(A154&lt;'Données projet'!$A$114,$BV$205^A154,IF(A154='Données projet'!$A$114,'Données projet'!$B$114,BY153+BX154-CG153)))</f>
        <v>465.49500000000052</v>
      </c>
      <c r="BZ154" s="13">
        <f>BY154*VLOOKUP('Données projet'!$B$12,Paramètres!$A$1:$I$89,3,0)*VLOOKUP('Données projet'!$B$12,Paramètres!$A$1:$I$89,5,0)</f>
        <v>472.01193000000058</v>
      </c>
      <c r="CA154" s="13">
        <f t="shared" ref="CA154:CA203" si="170">EXP(-1.0587+0.8836*LN(BZ154)+0.284)</f>
        <v>106.23238063605056</v>
      </c>
      <c r="CB154" s="20">
        <f t="shared" ref="CB154:CB203" si="171">(BZ154+CA154)*0.475*44/12</f>
        <v>1007.108841024456</v>
      </c>
      <c r="CC154" s="59">
        <f t="shared" si="119"/>
        <v>1293.9170578477213</v>
      </c>
      <c r="CD154" s="59">
        <f ca="1">AVERAGE(OFFSET($CC$3,0,0,'Données projet'!$E$12+1,1))-AVERAGE(OFFSET($H$3,0,0,'Données projet'!$E$12+1,1))</f>
        <v>692.2706942067415</v>
      </c>
      <c r="CE154" s="59">
        <f t="shared" si="148"/>
        <v>316.17529091924803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67.619586037125941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67.619586037125941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8.3249999999999993</v>
      </c>
      <c r="CT154" s="12">
        <f>IF('Données projet'!$A$140&gt;35,CT153+CS154-DB153,IF(A154&lt;'Données projet'!$A$140,$CQ$205^A154,IF(A154='Données projet'!$A$140,'Données projet'!$B$140,CT153+CS154-DB153)))</f>
        <v>465.49500000000052</v>
      </c>
      <c r="CU154" s="17">
        <f>CT154*VLOOKUP('Données projet'!$B$13,Paramètres!$A$1:$I$89,3,0)*VLOOKUP('Données projet'!$B$13,Paramètres!$A$1:$I$89,5,0)</f>
        <v>530.10570600000051</v>
      </c>
      <c r="CV154" s="13">
        <f t="shared" ref="CV154:CV203" si="173">EXP(-1.0587+0.8836*LN(CU154)+0.284)</f>
        <v>117.70604063650072</v>
      </c>
      <c r="CW154" s="20">
        <f t="shared" ref="CW154:CW203" si="174">(CU154+CV154)*0.475*44/12</f>
        <v>1128.272125391906</v>
      </c>
      <c r="CX154" s="59">
        <f t="shared" si="122"/>
        <v>1415.0803422151714</v>
      </c>
      <c r="CY154" s="59">
        <f ca="1">AVERAGE(OFFSET($CX$3,0,0,'Données projet'!$E$13+1,1))-AVERAGE(OFFSET($H$3,0,0,'Données projet'!$E$13+1,1))</f>
        <v>765.9523557587147</v>
      </c>
      <c r="CZ154" s="59">
        <f t="shared" si="150"/>
        <v>347.40395092312815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75.941996626310655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75.941996626310655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146.15384615384625</v>
      </c>
      <c r="DP154" s="17">
        <f>DO154*VLOOKUP('Données projet'!$B$14,Paramètres!$A$1:$I$89,3,0)*VLOOKUP('Données projet'!$B$14,Paramètres!$A$1:$I$89,5,0)</f>
        <v>127.68000000000011</v>
      </c>
      <c r="DQ154" s="13">
        <f t="shared" ref="DQ154:DQ203" si="176">EXP(-1.0587+0.8836*LN(DP154)+0.284)</f>
        <v>33.45971491465221</v>
      </c>
      <c r="DR154" s="20">
        <f t="shared" ref="DR154:DR203" si="177">(DP154+DQ154)*0.475*44/12</f>
        <v>280.65167014301943</v>
      </c>
      <c r="DS154" s="59">
        <f t="shared" si="125"/>
        <v>567.45988696628478</v>
      </c>
      <c r="DT154" s="59">
        <f ca="1">AVERAGE(OFFSET($DS$3,0,0,'Données projet'!$E$14+1,1))-AVERAGE(OFFSET($H$3,0,0,'Données projet'!$E$14+1,1))</f>
        <v>253.82888243490106</v>
      </c>
      <c r="DU154" s="59">
        <f t="shared" si="152"/>
        <v>224.11983819941796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6.9636911667521</v>
      </c>
      <c r="EB154" s="21">
        <f>EXP(-LN(2)/25)*EB153+(1-EXP(-LN(2)/25))/(LN(2)/25)*Calculateur!DW154*Calculateur!DY154*VLOOKUP('Données projet'!$B$14,Paramètres!$A$1:$I$89,3,0)*0.475*44/12</f>
        <v>2.1457844261555867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9.1094755929076872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-4.5474735088646412E-13</v>
      </c>
      <c r="O155" s="13">
        <f>N155*VLOOKUP('Données projet'!$B$9,Paramètres!$A$1:$I$89,3,0)*VLOOKUP('Données projet'!$B$9,Paramètres!$A$1:$I$89,5,0)</f>
        <v>-2.1282176021486519E-13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387.50901594883317</v>
      </c>
      <c r="T155" s="59">
        <f t="shared" si="142"/>
        <v>361.3623790401972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81.383152559181198</v>
      </c>
      <c r="AA155" s="21">
        <f>EXP(-LN(2)/25)*AA154+(1-EXP(-LN(2)/25))/(LN(2)/25)*Calculateur!V155*Calculateur!X155*VLOOKUP('Données projet'!$B$9,Paramètres!$A$1:$I$89,3,0)*0.475*44/12</f>
        <v>22.891781154806385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104.27493371398758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373.47758082856359</v>
      </c>
      <c r="AO155" s="59">
        <f t="shared" si="144"/>
        <v>277.24895424120166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41.341506409265001</v>
      </c>
      <c r="AV155" s="21">
        <f>EXP(-LN(2)/25)*AV154+(1-EXP(-LN(2)/25))/(LN(2)/25)*Calculateur!AQ155*Calculateur!AS155*VLOOKUP('Données projet'!$B$10,Paramètres!$A$1:$I$89,3,0)*0.475*44/12</f>
        <v>10.968128845580695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52.309635254845695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8.3249999999999993</v>
      </c>
      <c r="BD155" s="12">
        <f>IF('Données projet'!$A$88&gt;35,BD154+BC155-BL154,IF(A155&lt;'Données projet'!$A$88,$BA$205^A155,IF(A155='Données projet'!$A$88,'Données projet'!$B$88,BD154+BC155-BL154)))</f>
        <v>473.8200000000005</v>
      </c>
      <c r="BE155" s="13">
        <f>BD155*VLOOKUP('Données projet'!$B$11,Paramètres!$A$1:$I$89,3,0)*VLOOKUP('Données projet'!$B$11,Paramètres!$A$1:$I$89,5,0)</f>
        <v>428.71233600000051</v>
      </c>
      <c r="BF155" s="13">
        <f t="shared" si="167"/>
        <v>97.57395866550209</v>
      </c>
      <c r="BG155" s="20">
        <f t="shared" si="168"/>
        <v>916.61529654241701</v>
      </c>
      <c r="BH155" s="59">
        <f t="shared" si="116"/>
        <v>1203.536709549157</v>
      </c>
      <c r="BI155" s="59">
        <f ca="1">AVERAGE(OFFSET($BH$3,0,0,'Données projet'!$E$11+1,1))-AVERAGE(OFFSET($H$3,0,0,'Données projet'!$E$11+1,1))</f>
        <v>627.65081154031589</v>
      </c>
      <c r="BJ155" s="59">
        <f t="shared" si="146"/>
        <v>288.78083487077618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59.154295654325324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59.154295654325324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8.3249999999999993</v>
      </c>
      <c r="BY155" s="12">
        <f>IF('Données projet'!$A$114&gt;35,BY154+BX155-CG154,IF(A155&lt;'Données projet'!$A$114,$BV$205^A155,IF(A155='Données projet'!$A$114,'Données projet'!$B$114,BY154+BX155-CG154)))</f>
        <v>473.8200000000005</v>
      </c>
      <c r="BZ155" s="13">
        <f>BY155*VLOOKUP('Données projet'!$B$12,Paramètres!$A$1:$I$89,3,0)*VLOOKUP('Données projet'!$B$12,Paramètres!$A$1:$I$89,5,0)</f>
        <v>480.45348000000058</v>
      </c>
      <c r="CA155" s="13">
        <f t="shared" si="170"/>
        <v>107.90937866146631</v>
      </c>
      <c r="CB155" s="20">
        <f t="shared" si="171"/>
        <v>1024.7319788353882</v>
      </c>
      <c r="CC155" s="59">
        <f t="shared" si="119"/>
        <v>1311.653391842128</v>
      </c>
      <c r="CD155" s="59">
        <f ca="1">AVERAGE(OFFSET($CC$3,0,0,'Données projet'!$E$12+1,1))-AVERAGE(OFFSET($H$3,0,0,'Données projet'!$E$12+1,1))</f>
        <v>692.2706942067415</v>
      </c>
      <c r="CE155" s="59">
        <f t="shared" si="148"/>
        <v>316.17529091924803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66.293607198812893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66.293607198812893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8.3249999999999993</v>
      </c>
      <c r="CT155" s="12">
        <f>IF('Données projet'!$A$140&gt;35,CT154+CS155-DB154,IF(A155&lt;'Données projet'!$A$140,$CQ$205^A155,IF(A155='Données projet'!$A$140,'Données projet'!$B$140,CT154+CS155-DB154)))</f>
        <v>473.8200000000005</v>
      </c>
      <c r="CU155" s="17">
        <f>CT155*VLOOKUP('Données projet'!$B$13,Paramètres!$A$1:$I$89,3,0)*VLOOKUP('Données projet'!$B$13,Paramètres!$A$1:$I$89,5,0)</f>
        <v>539.58621600000049</v>
      </c>
      <c r="CV155" s="13">
        <f t="shared" si="173"/>
        <v>119.56416333454293</v>
      </c>
      <c r="CW155" s="20">
        <f t="shared" si="174"/>
        <v>1148.020244007663</v>
      </c>
      <c r="CX155" s="59">
        <f t="shared" si="122"/>
        <v>1434.9416570144028</v>
      </c>
      <c r="CY155" s="59">
        <f ca="1">AVERAGE(OFFSET($CX$3,0,0,'Données projet'!$E$13+1,1))-AVERAGE(OFFSET($H$3,0,0,'Données projet'!$E$13+1,1))</f>
        <v>765.9523557587147</v>
      </c>
      <c r="CZ155" s="59">
        <f t="shared" si="150"/>
        <v>347.40395092312815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74.452820392512919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74.452820392512919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146.15384615384625</v>
      </c>
      <c r="DP155" s="17">
        <f>DO155*VLOOKUP('Données projet'!$B$14,Paramètres!$A$1:$I$89,3,0)*VLOOKUP('Données projet'!$B$14,Paramètres!$A$1:$I$89,5,0)</f>
        <v>127.68000000000011</v>
      </c>
      <c r="DQ155" s="13">
        <f t="shared" si="176"/>
        <v>33.45971491465221</v>
      </c>
      <c r="DR155" s="20">
        <f t="shared" si="177"/>
        <v>280.65167014301943</v>
      </c>
      <c r="DS155" s="59">
        <f t="shared" si="125"/>
        <v>567.57308314975933</v>
      </c>
      <c r="DT155" s="59">
        <f ca="1">AVERAGE(OFFSET($DS$3,0,0,'Données projet'!$E$14+1,1))-AVERAGE(OFFSET($H$3,0,0,'Données projet'!$E$14+1,1))</f>
        <v>253.82888243490106</v>
      </c>
      <c r="DU155" s="59">
        <f t="shared" si="152"/>
        <v>224.11983819941796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6.8271374304043038</v>
      </c>
      <c r="EB155" s="21">
        <f>EXP(-LN(2)/25)*EB154+(1-EXP(-LN(2)/25))/(LN(2)/25)*Calculateur!DW155*Calculateur!DY155*VLOOKUP('Données projet'!$B$14,Paramètres!$A$1:$I$89,3,0)*0.475*44/12</f>
        <v>2.0871078381804633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8.914245268584768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-4.5474735088646412E-13</v>
      </c>
      <c r="O156" s="13">
        <f>N156*VLOOKUP('Données projet'!$B$9,Paramètres!$A$1:$I$89,3,0)*VLOOKUP('Données projet'!$B$9,Paramètres!$A$1:$I$89,5,0)</f>
        <v>-2.1282176021486519E-13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387.50901594883317</v>
      </c>
      <c r="T156" s="59">
        <f t="shared" si="142"/>
        <v>361.3623790401972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79.787278576317291</v>
      </c>
      <c r="AA156" s="21">
        <f>EXP(-LN(2)/25)*AA155+(1-EXP(-LN(2)/25))/(LN(2)/25)*Calculateur!V156*Calculateur!X156*VLOOKUP('Données projet'!$B$9,Paramètres!$A$1:$I$89,3,0)*0.475*44/12</f>
        <v>22.265804195301754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102.05308277161905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373.47758082856359</v>
      </c>
      <c r="AO156" s="59">
        <f t="shared" si="144"/>
        <v>277.24895424120166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40.530824684408365</v>
      </c>
      <c r="AV156" s="21">
        <f>EXP(-LN(2)/25)*AV155+(1-EXP(-LN(2)/25))/(LN(2)/25)*Calculateur!AQ156*Calculateur!AS156*VLOOKUP('Données projet'!$B$10,Paramètres!$A$1:$I$89,3,0)*0.475*44/12</f>
        <v>10.668204785509463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51.199029469917832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8.3249999999999993</v>
      </c>
      <c r="BD156" s="12">
        <f>IF('Données projet'!$A$88&gt;35,BD155+BC156-BL155,IF(A156&lt;'Données projet'!$A$88,$BA$205^A156,IF(A156='Données projet'!$A$88,'Données projet'!$B$88,BD155+BC156-BL155)))</f>
        <v>482.14500000000049</v>
      </c>
      <c r="BE156" s="13">
        <f>BD156*VLOOKUP('Données projet'!$B$11,Paramètres!$A$1:$I$89,3,0)*VLOOKUP('Données projet'!$B$11,Paramètres!$A$1:$I$89,5,0)</f>
        <v>436.24479600000041</v>
      </c>
      <c r="BF156" s="13">
        <f t="shared" si="167"/>
        <v>99.087237791231857</v>
      </c>
      <c r="BG156" s="20">
        <f t="shared" si="168"/>
        <v>932.36995885306271</v>
      </c>
      <c r="BH156" s="59">
        <f t="shared" si="116"/>
        <v>1219.4026043425627</v>
      </c>
      <c r="BI156" s="59">
        <f ca="1">AVERAGE(OFFSET($BH$3,0,0,'Données projet'!$E$11+1,1))-AVERAGE(OFFSET($H$3,0,0,'Données projet'!$E$11+1,1))</f>
        <v>627.65081154031589</v>
      </c>
      <c r="BJ156" s="59">
        <f t="shared" si="146"/>
        <v>288.78083487077618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57.994315997101694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57.994315997101694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8.3249999999999993</v>
      </c>
      <c r="BY156" s="12">
        <f>IF('Données projet'!$A$114&gt;35,BY155+BX156-CG155,IF(A156&lt;'Données projet'!$A$114,$BV$205^A156,IF(A156='Données projet'!$A$114,'Données projet'!$B$114,BY155+BX156-CG155)))</f>
        <v>482.14500000000049</v>
      </c>
      <c r="BZ156" s="13">
        <f>BY156*VLOOKUP('Données projet'!$B$12,Paramètres!$A$1:$I$89,3,0)*VLOOKUP('Données projet'!$B$12,Paramètres!$A$1:$I$89,5,0)</f>
        <v>488.89503000000053</v>
      </c>
      <c r="CA156" s="13">
        <f t="shared" si="170"/>
        <v>109.582950303247</v>
      </c>
      <c r="CB156" s="20">
        <f t="shared" si="171"/>
        <v>1042.349149028156</v>
      </c>
      <c r="CC156" s="59">
        <f t="shared" si="119"/>
        <v>1329.3817945176561</v>
      </c>
      <c r="CD156" s="59">
        <f ca="1">AVERAGE(OFFSET($CC$3,0,0,'Données projet'!$E$12+1,1))-AVERAGE(OFFSET($H$3,0,0,'Données projet'!$E$12+1,1))</f>
        <v>692.2706942067415</v>
      </c>
      <c r="CE156" s="59">
        <f t="shared" si="148"/>
        <v>316.17529091924803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64.993629996751935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64.993629996751935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8.3249999999999993</v>
      </c>
      <c r="CT156" s="12">
        <f>IF('Données projet'!$A$140&gt;35,CT155+CS156-DB155,IF(A156&lt;'Données projet'!$A$140,$CQ$205^A156,IF(A156='Données projet'!$A$140,'Données projet'!$B$140,CT155+CS156-DB155)))</f>
        <v>482.14500000000049</v>
      </c>
      <c r="CU156" s="17">
        <f>CT156*VLOOKUP('Données projet'!$B$13,Paramètres!$A$1:$I$89,3,0)*VLOOKUP('Données projet'!$B$13,Paramètres!$A$1:$I$89,5,0)</f>
        <v>549.06672600000059</v>
      </c>
      <c r="CV156" s="13">
        <f t="shared" si="173"/>
        <v>121.41848958136239</v>
      </c>
      <c r="CW156" s="20">
        <f t="shared" si="174"/>
        <v>1167.7617504708739</v>
      </c>
      <c r="CX156" s="59">
        <f t="shared" si="122"/>
        <v>1454.794395960374</v>
      </c>
      <c r="CY156" s="59">
        <f ca="1">AVERAGE(OFFSET($CX$3,0,0,'Données projet'!$E$13+1,1))-AVERAGE(OFFSET($H$3,0,0,'Données projet'!$E$13+1,1))</f>
        <v>765.9523557587147</v>
      </c>
      <c r="CZ156" s="59">
        <f t="shared" si="150"/>
        <v>347.40395092312815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72.992845996352145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72.992845996352145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146.15384615384625</v>
      </c>
      <c r="DP156" s="17">
        <f>DO156*VLOOKUP('Données projet'!$B$14,Paramètres!$A$1:$I$89,3,0)*VLOOKUP('Données projet'!$B$14,Paramètres!$A$1:$I$89,5,0)</f>
        <v>127.68000000000011</v>
      </c>
      <c r="DQ156" s="13">
        <f t="shared" si="176"/>
        <v>33.45971491465221</v>
      </c>
      <c r="DR156" s="20">
        <f t="shared" si="177"/>
        <v>280.65167014301943</v>
      </c>
      <c r="DS156" s="59">
        <f t="shared" si="125"/>
        <v>567.68431563251943</v>
      </c>
      <c r="DT156" s="59">
        <f ca="1">AVERAGE(OFFSET($DS$3,0,0,'Données projet'!$E$14+1,1))-AVERAGE(OFFSET($H$3,0,0,'Données projet'!$E$14+1,1))</f>
        <v>253.82888243490106</v>
      </c>
      <c r="DU156" s="59">
        <f t="shared" si="152"/>
        <v>224.11983819941796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6.693261429536733</v>
      </c>
      <c r="EB156" s="21">
        <f>EXP(-LN(2)/25)*EB155+(1-EXP(-LN(2)/25))/(LN(2)/25)*Calculateur!DW156*Calculateur!DY156*VLOOKUP('Données projet'!$B$14,Paramètres!$A$1:$I$89,3,0)*0.475*44/12</f>
        <v>2.0300357645891873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8.7232971941259194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-4.5474735088646412E-13</v>
      </c>
      <c r="O157" s="13">
        <f>N157*VLOOKUP('Données projet'!$B$9,Paramètres!$A$1:$I$89,3,0)*VLOOKUP('Données projet'!$B$9,Paramètres!$A$1:$I$89,5,0)</f>
        <v>-2.1282176021486519E-13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387.50901594883317</v>
      </c>
      <c r="T157" s="59">
        <f t="shared" si="142"/>
        <v>361.3623790401972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78.222698708870325</v>
      </c>
      <c r="AA157" s="21">
        <f>EXP(-LN(2)/25)*AA156+(1-EXP(-LN(2)/25))/(LN(2)/25)*Calculateur!V157*Calculateur!X157*VLOOKUP('Données projet'!$B$9,Paramètres!$A$1:$I$89,3,0)*0.475*44/12</f>
        <v>21.656944608673474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99.879643317543795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373.47758082856359</v>
      </c>
      <c r="AO157" s="59">
        <f t="shared" si="144"/>
        <v>277.24895424120166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39.736039933709144</v>
      </c>
      <c r="AV157" s="21">
        <f>EXP(-LN(2)/25)*AV156+(1-EXP(-LN(2)/25))/(LN(2)/25)*Calculateur!AQ157*Calculateur!AS157*VLOOKUP('Données projet'!$B$10,Paramètres!$A$1:$I$89,3,0)*0.475*44/12</f>
        <v>10.376482164633199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50.112522098342339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>
        <f>VLOOKUP(A157,'Données projet'!$A$87:$I$107,2,0)</f>
        <v>490.47</v>
      </c>
      <c r="BB157" s="12">
        <f>VLOOKUP(A157,'Données projet'!$A$87:$I$107,9,0)</f>
        <v>8.3249999999999993</v>
      </c>
      <c r="BC157" s="12">
        <f t="array" ref="BC157">INDEX(BB:BB,MIN(IF(ISNUMBER(BB157:BB353),ROW(BB157:BB353),"")))</f>
        <v>8.3249999999999993</v>
      </c>
      <c r="BD157" s="12">
        <f>IF('Données projet'!$A$88&gt;35,BD156+BC157-BL156,IF(A157&lt;'Données projet'!$A$88,$BA$205^A157,IF(A157='Données projet'!$A$88,'Données projet'!$B$88,BD156+BC157-BL156)))</f>
        <v>490.47000000000048</v>
      </c>
      <c r="BE157" s="13">
        <f>BD157*VLOOKUP('Données projet'!$B$11,Paramètres!$A$1:$I$89,3,0)*VLOOKUP('Données projet'!$B$11,Paramètres!$A$1:$I$89,5,0)</f>
        <v>443.77725600000048</v>
      </c>
      <c r="BF157" s="13">
        <f t="shared" si="167"/>
        <v>100.59747837627934</v>
      </c>
      <c r="BG157" s="20">
        <f t="shared" si="168"/>
        <v>948.11932903868717</v>
      </c>
      <c r="BH157" s="59">
        <f t="shared" si="116"/>
        <v>1235.26127737605</v>
      </c>
      <c r="BI157" s="59">
        <f ca="1">AVERAGE(OFFSET($BH$3,0,0,'Données projet'!$E$11+1,1))-AVERAGE(OFFSET($H$3,0,0,'Données projet'!$E$11+1,1))</f>
        <v>627.65081154031589</v>
      </c>
      <c r="BJ157" s="59">
        <f t="shared" si="146"/>
        <v>288.78083487077618</v>
      </c>
      <c r="BK157" s="15">
        <f>IF(ISNA(VLOOKUP(A157,'Données projet'!$A$87:$I$107,3,0)),0,VLOOKUP(A157,'Données projet'!$A$87:$I$107,3,0))</f>
        <v>13</v>
      </c>
      <c r="BL157" s="15">
        <f>IF(ISNA(VLOOKUP(A157,'Données projet'!$A$87:$I$107,4,0)),0,VLOOKUP(A157,'Données projet'!$A$87:$I$107,4,0))</f>
        <v>55.13</v>
      </c>
      <c r="BM157" s="16">
        <f>IF(ISNA(VLOOKUP(A157,'Données projet'!$A$87:$I$107,5,0)),0%,VLOOKUP(A157,'Données projet'!$A$87:$I$107,5,0)*VLOOKUP('Données projet'!$B$11,Paramètres!$A$1:$I$89,7,0))</f>
        <v>0.25800000000000001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71.083888549708462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71.083888549708462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490.47</v>
      </c>
      <c r="BW157" s="12">
        <f>VLOOKUP(A157,'Données projet'!$A$113:$I$133,9,0)</f>
        <v>8.3249999999999993</v>
      </c>
      <c r="BX157" s="12">
        <f t="array" ref="BX157">INDEX(BW:BW,MIN(IF(ISNUMBER(BW157:BW353),ROW(BW157:BW353),"")))</f>
        <v>8.3249999999999993</v>
      </c>
      <c r="BY157" s="12">
        <f>IF('Données projet'!$A$114&gt;35,BY156+BX157-CG156,IF(A157&lt;'Données projet'!$A$114,$BV$205^A157,IF(A157='Données projet'!$A$114,'Données projet'!$B$114,BY156+BX157-CG156)))</f>
        <v>490.47000000000048</v>
      </c>
      <c r="BZ157" s="13">
        <f>BY157*VLOOKUP('Données projet'!$B$12,Paramètres!$A$1:$I$89,3,0)*VLOOKUP('Données projet'!$B$12,Paramètres!$A$1:$I$89,5,0)</f>
        <v>497.33658000000054</v>
      </c>
      <c r="CA157" s="13">
        <f t="shared" si="170"/>
        <v>111.2531615500869</v>
      </c>
      <c r="CB157" s="20">
        <f t="shared" si="171"/>
        <v>1059.9604665330687</v>
      </c>
      <c r="CC157" s="59">
        <f t="shared" si="119"/>
        <v>1347.1024148704314</v>
      </c>
      <c r="CD157" s="59">
        <f ca="1">AVERAGE(OFFSET($CC$3,0,0,'Données projet'!$E$12+1,1))-AVERAGE(OFFSET($H$3,0,0,'Données projet'!$E$12+1,1))</f>
        <v>692.2706942067415</v>
      </c>
      <c r="CE157" s="59">
        <f t="shared" si="148"/>
        <v>316.17529091924803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0.25800000000000001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79.662978547087107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79.662978547087107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>
        <f>VLOOKUP(A157,'Données projet'!$A$139:$I$159,2,0)</f>
        <v>490.47</v>
      </c>
      <c r="CR157" s="12">
        <f>VLOOKUP(A157,'Données projet'!$A$139:$I$159,9,0)</f>
        <v>8.3249999999999993</v>
      </c>
      <c r="CS157" s="12">
        <f t="array" ref="CS157">INDEX(CR:CR,MIN(IF(ISNUMBER(CR157:CR353),ROW(CR157:CR353),"")))</f>
        <v>8.3249999999999993</v>
      </c>
      <c r="CT157" s="12">
        <f>IF('Données projet'!$A$140&gt;35,CT156+CS157-DB156,IF(A157&lt;'Données projet'!$A$140,$CQ$205^A157,IF(A157='Données projet'!$A$140,'Données projet'!$B$140,CT156+CS157-DB156)))</f>
        <v>490.47000000000048</v>
      </c>
      <c r="CU157" s="17">
        <f>CT157*VLOOKUP('Données projet'!$B$13,Paramètres!$A$1:$I$89,3,0)*VLOOKUP('Données projet'!$B$13,Paramètres!$A$1:$I$89,5,0)</f>
        <v>558.54723600000057</v>
      </c>
      <c r="CV157" s="13">
        <f t="shared" si="173"/>
        <v>123.2690924927817</v>
      </c>
      <c r="CW157" s="20">
        <f t="shared" si="174"/>
        <v>1187.4967721249293</v>
      </c>
      <c r="CX157" s="59">
        <f t="shared" si="122"/>
        <v>1474.638720462292</v>
      </c>
      <c r="CY157" s="59">
        <f ca="1">AVERAGE(OFFSET($CX$3,0,0,'Données projet'!$E$13+1,1))-AVERAGE(OFFSET($H$3,0,0,'Données projet'!$E$13+1,1))</f>
        <v>765.9523557587147</v>
      </c>
      <c r="CZ157" s="59">
        <f t="shared" si="150"/>
        <v>347.40395092312815</v>
      </c>
      <c r="DA157" s="15">
        <f>IF(ISNA(VLOOKUP(A157,'Données projet'!$A$139:$I$159,3,0)),0,VLOOKUP(A157,'Données projet'!$A$139:$I$159,3,0))</f>
        <v>13</v>
      </c>
      <c r="DB157" s="15">
        <f>IF(ISNA(VLOOKUP(A157,'Données projet'!$A$139:$I$159,4,0)),0,VLOOKUP(A157,'Données projet'!$A$139:$I$159,4,0))</f>
        <v>55.13</v>
      </c>
      <c r="DC157" s="16">
        <f>IF(ISNA(VLOOKUP(A157,'Données projet'!$A$139:$I$159,5,0)),0%,VLOOKUP(A157,'Données projet'!$A$139:$I$159,5,0)*VLOOKUP('Données projet'!$B$13,Paramètres!$A$1:$I$89,7,0))</f>
        <v>0.25800000000000001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89.467652829805502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89.467652829805502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146.15384615384625</v>
      </c>
      <c r="DP157" s="17">
        <f>DO157*VLOOKUP('Données projet'!$B$14,Paramètres!$A$1:$I$89,3,0)*VLOOKUP('Données projet'!$B$14,Paramètres!$A$1:$I$89,5,0)</f>
        <v>127.68000000000011</v>
      </c>
      <c r="DQ157" s="13">
        <f t="shared" si="176"/>
        <v>33.45971491465221</v>
      </c>
      <c r="DR157" s="20">
        <f t="shared" si="177"/>
        <v>280.65167014301943</v>
      </c>
      <c r="DS157" s="59">
        <f t="shared" si="125"/>
        <v>567.79361848038218</v>
      </c>
      <c r="DT157" s="59">
        <f ca="1">AVERAGE(OFFSET($DS$3,0,0,'Données projet'!$E$14+1,1))-AVERAGE(OFFSET($H$3,0,0,'Données projet'!$E$14+1,1))</f>
        <v>253.82888243490106</v>
      </c>
      <c r="DU157" s="59">
        <f t="shared" si="152"/>
        <v>224.11983819941796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6.5620106553898774</v>
      </c>
      <c r="EB157" s="21">
        <f>EXP(-LN(2)/25)*EB156+(1-EXP(-LN(2)/25))/(LN(2)/25)*Calculateur!DW157*Calculateur!DY157*VLOOKUP('Données projet'!$B$14,Paramètres!$A$1:$I$89,3,0)*0.475*44/12</f>
        <v>1.9745243298515549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8.5365349852414329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-4.5474735088646412E-13</v>
      </c>
      <c r="O158" s="13">
        <f>N158*VLOOKUP('Données projet'!$B$9,Paramètres!$A$1:$I$89,3,0)*VLOOKUP('Données projet'!$B$9,Paramètres!$A$1:$I$89,5,0)</f>
        <v>-2.1282176021486519E-13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387.50901594883317</v>
      </c>
      <c r="T158" s="59">
        <f t="shared" si="142"/>
        <v>361.3623790401972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76.688799298324511</v>
      </c>
      <c r="AA158" s="21">
        <f>EXP(-LN(2)/25)*AA157+(1-EXP(-LN(2)/25))/(LN(2)/25)*Calculateur!V158*Calculateur!X158*VLOOKUP('Données projet'!$B$9,Paramètres!$A$1:$I$89,3,0)*0.475*44/12</f>
        <v>21.064734319460079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97.753533617784598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373.47758082856359</v>
      </c>
      <c r="AO158" s="59">
        <f t="shared" si="144"/>
        <v>277.24895424120166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38.956840427200305</v>
      </c>
      <c r="AV158" s="21">
        <f>EXP(-LN(2)/25)*AV157+(1-EXP(-LN(2)/25))/(LN(2)/25)*Calculateur!AQ158*Calculateur!AS158*VLOOKUP('Données projet'!$B$10,Paramètres!$A$1:$I$89,3,0)*0.475*44/12</f>
        <v>10.092736714165822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49.049577141366129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8.4429999999999943</v>
      </c>
      <c r="BD158" s="12">
        <f>IF('Données projet'!$A$88&gt;35,BD157+BC158-BL157,IF(A158&lt;'Données projet'!$A$88,$BA$205^A158,IF(A158='Données projet'!$A$88,'Données projet'!$B$88,BD157+BC158-BL157)))</f>
        <v>443.78300000000047</v>
      </c>
      <c r="BE158" s="13">
        <f>BD158*VLOOKUP('Données projet'!$B$11,Paramètres!$A$1:$I$89,3,0)*VLOOKUP('Données projet'!$B$11,Paramètres!$A$1:$I$89,5,0)</f>
        <v>401.53485840000047</v>
      </c>
      <c r="BF158" s="13">
        <f t="shared" si="167"/>
        <v>92.087764815279797</v>
      </c>
      <c r="BG158" s="20">
        <f t="shared" si="168"/>
        <v>859.72606876661303</v>
      </c>
      <c r="BH158" s="59">
        <f t="shared" si="116"/>
        <v>1146.9754237917928</v>
      </c>
      <c r="BI158" s="59">
        <f ca="1">AVERAGE(OFFSET($BH$3,0,0,'Données projet'!$E$11+1,1))-AVERAGE(OFFSET($H$3,0,0,'Données projet'!$E$11+1,1))</f>
        <v>627.65081154031589</v>
      </c>
      <c r="BJ158" s="59">
        <f t="shared" si="146"/>
        <v>288.78083487077618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69.689976852139552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69.689976852139552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8.4429999999999943</v>
      </c>
      <c r="BY158" s="12">
        <f>IF('Données projet'!$A$114&gt;35,BY157+BX158-CG157,IF(A158&lt;'Données projet'!$A$114,$BV$205^A158,IF(A158='Données projet'!$A$114,'Données projet'!$B$114,BY157+BX158-CG157)))</f>
        <v>443.78300000000047</v>
      </c>
      <c r="BZ158" s="13">
        <f>BY158*VLOOKUP('Données projet'!$B$12,Paramètres!$A$1:$I$89,3,0)*VLOOKUP('Données projet'!$B$12,Paramètres!$A$1:$I$89,5,0)</f>
        <v>449.99596200000047</v>
      </c>
      <c r="CA158" s="13">
        <f t="shared" si="170"/>
        <v>101.84206543885381</v>
      </c>
      <c r="CB158" s="20">
        <f t="shared" si="171"/>
        <v>961.1178977893378</v>
      </c>
      <c r="CC158" s="59">
        <f t="shared" si="119"/>
        <v>1248.3672528145175</v>
      </c>
      <c r="CD158" s="59">
        <f ca="1">AVERAGE(OFFSET($CC$3,0,0,'Données projet'!$E$12+1,1))-AVERAGE(OFFSET($H$3,0,0,'Données projet'!$E$12+1,1))</f>
        <v>692.2706942067415</v>
      </c>
      <c r="CE158" s="59">
        <f t="shared" si="148"/>
        <v>316.17529091924803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78.100836127397812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78.100836127397812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8.4429999999999943</v>
      </c>
      <c r="CT158" s="12">
        <f>IF('Données projet'!$A$140&gt;35,CT157+CS158-DB157,IF(A158&lt;'Données projet'!$A$140,$CQ$205^A158,IF(A158='Données projet'!$A$140,'Données projet'!$B$140,CT157+CS158-DB157)))</f>
        <v>443.78300000000047</v>
      </c>
      <c r="CU158" s="17">
        <f>CT158*VLOOKUP('Données projet'!$B$13,Paramètres!$A$1:$I$89,3,0)*VLOOKUP('Données projet'!$B$13,Paramètres!$A$1:$I$89,5,0)</f>
        <v>505.38008040000057</v>
      </c>
      <c r="CV158" s="13">
        <f t="shared" si="173"/>
        <v>112.84154813511626</v>
      </c>
      <c r="CW158" s="20">
        <f t="shared" si="174"/>
        <v>1076.7360030319949</v>
      </c>
      <c r="CX158" s="59">
        <f t="shared" si="122"/>
        <v>1363.9853580571746</v>
      </c>
      <c r="CY158" s="59">
        <f ca="1">AVERAGE(OFFSET($CX$3,0,0,'Données projet'!$E$13+1,1))-AVERAGE(OFFSET($H$3,0,0,'Données projet'!$E$13+1,1))</f>
        <v>765.9523557587147</v>
      </c>
      <c r="CZ158" s="59">
        <f t="shared" si="150"/>
        <v>347.40395092312815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87.713246727692919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87.713246727692919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146.15384615384625</v>
      </c>
      <c r="DP158" s="17">
        <f>DO158*VLOOKUP('Données projet'!$B$14,Paramètres!$A$1:$I$89,3,0)*VLOOKUP('Données projet'!$B$14,Paramètres!$A$1:$I$89,5,0)</f>
        <v>127.68000000000011</v>
      </c>
      <c r="DQ158" s="13">
        <f t="shared" si="176"/>
        <v>33.45971491465221</v>
      </c>
      <c r="DR158" s="20">
        <f t="shared" si="177"/>
        <v>280.65167014301943</v>
      </c>
      <c r="DS158" s="59">
        <f t="shared" si="125"/>
        <v>567.90102516819911</v>
      </c>
      <c r="DT158" s="59">
        <f ca="1">AVERAGE(OFFSET($DS$3,0,0,'Données projet'!$E$14+1,1))-AVERAGE(OFFSET($H$3,0,0,'Données projet'!$E$14+1,1))</f>
        <v>253.82888243490106</v>
      </c>
      <c r="DU158" s="59">
        <f t="shared" si="152"/>
        <v>224.11983819941796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6.433333628868974</v>
      </c>
      <c r="EB158" s="21">
        <f>EXP(-LN(2)/25)*EB157+(1-EXP(-LN(2)/25))/(LN(2)/25)*Calculateur!DW158*Calculateur!DY158*VLOOKUP('Données projet'!$B$14,Paramètres!$A$1:$I$89,3,0)*0.475*44/12</f>
        <v>1.9205308582160425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8.3538644870850156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-4.5474735088646412E-13</v>
      </c>
      <c r="O159" s="13">
        <f>N159*VLOOKUP('Données projet'!$B$9,Paramètres!$A$1:$I$89,3,0)*VLOOKUP('Données projet'!$B$9,Paramètres!$A$1:$I$89,5,0)</f>
        <v>-2.1282176021486519E-13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387.50901594883317</v>
      </c>
      <c r="T159" s="59">
        <f t="shared" si="142"/>
        <v>361.3623790401972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75.184978719633236</v>
      </c>
      <c r="AA159" s="21">
        <f>EXP(-LN(2)/25)*AA158+(1-EXP(-LN(2)/25))/(LN(2)/25)*Calculateur!V159*Calculateur!X159*VLOOKUP('Données projet'!$B$9,Paramètres!$A$1:$I$89,3,0)*0.475*44/12</f>
        <v>20.488718051748211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95.673696771381444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373.47758082856359</v>
      </c>
      <c r="AO159" s="59">
        <f t="shared" si="144"/>
        <v>277.24895424120166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38.192920547749331</v>
      </c>
      <c r="AV159" s="21">
        <f>EXP(-LN(2)/25)*AV158+(1-EXP(-LN(2)/25))/(LN(2)/25)*Calculateur!AQ159*Calculateur!AS159*VLOOKUP('Données projet'!$B$10,Paramètres!$A$1:$I$89,3,0)*0.475*44/12</f>
        <v>9.8167502979630008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48.009670845712336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8.4429999999999943</v>
      </c>
      <c r="BD159" s="12">
        <f>IF('Données projet'!$A$88&gt;35,BD158+BC159-BL158,IF(A159&lt;'Données projet'!$A$88,$BA$205^A159,IF(A159='Données projet'!$A$88,'Données projet'!$B$88,BD158+BC159-BL158)))</f>
        <v>452.22600000000045</v>
      </c>
      <c r="BE159" s="13">
        <f>BD159*VLOOKUP('Données projet'!$B$11,Paramètres!$A$1:$I$89,3,0)*VLOOKUP('Données projet'!$B$11,Paramètres!$A$1:$I$89,5,0)</f>
        <v>409.1740848000004</v>
      </c>
      <c r="BF159" s="13">
        <f t="shared" si="167"/>
        <v>93.634108404325715</v>
      </c>
      <c r="BG159" s="20">
        <f t="shared" si="168"/>
        <v>875.72426983086791</v>
      </c>
      <c r="BH159" s="59">
        <f t="shared" si="116"/>
        <v>1163.0791682779563</v>
      </c>
      <c r="BI159" s="59">
        <f ca="1">AVERAGE(OFFSET($BH$3,0,0,'Données projet'!$E$11+1,1))-AVERAGE(OFFSET($H$3,0,0,'Données projet'!$E$11+1,1))</f>
        <v>627.65081154031589</v>
      </c>
      <c r="BJ159" s="59">
        <f t="shared" si="146"/>
        <v>288.78083487077618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68.323398912757781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68.323398912757781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8.4429999999999943</v>
      </c>
      <c r="BY159" s="12">
        <f>IF('Données projet'!$A$114&gt;35,BY158+BX159-CG158,IF(A159&lt;'Données projet'!$A$114,$BV$205^A159,IF(A159='Données projet'!$A$114,'Données projet'!$B$114,BY158+BX159-CG158)))</f>
        <v>452.22600000000045</v>
      </c>
      <c r="BZ159" s="13">
        <f>BY159*VLOOKUP('Données projet'!$B$12,Paramètres!$A$1:$I$89,3,0)*VLOOKUP('Données projet'!$B$12,Paramètres!$A$1:$I$89,5,0)</f>
        <v>458.55716400000051</v>
      </c>
      <c r="CA159" s="13">
        <f t="shared" si="170"/>
        <v>103.55220386280693</v>
      </c>
      <c r="CB159" s="20">
        <f t="shared" si="171"/>
        <v>979.00714902772279</v>
      </c>
      <c r="CC159" s="59">
        <f t="shared" si="119"/>
        <v>1266.3620474748111</v>
      </c>
      <c r="CD159" s="59">
        <f ca="1">AVERAGE(OFFSET($CC$3,0,0,'Données projet'!$E$12+1,1))-AVERAGE(OFFSET($H$3,0,0,'Données projet'!$E$12+1,1))</f>
        <v>692.2706942067415</v>
      </c>
      <c r="CE159" s="59">
        <f t="shared" si="148"/>
        <v>316.17529091924803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76.56932636774583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76.56932636774583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8.4429999999999943</v>
      </c>
      <c r="CT159" s="12">
        <f>IF('Données projet'!$A$140&gt;35,CT158+CS159-DB158,IF(A159&lt;'Données projet'!$A$140,$CQ$205^A159,IF(A159='Données projet'!$A$140,'Données projet'!$B$140,CT158+CS159-DB158)))</f>
        <v>452.22600000000045</v>
      </c>
      <c r="CU159" s="17">
        <f>CT159*VLOOKUP('Données projet'!$B$13,Paramètres!$A$1:$I$89,3,0)*VLOOKUP('Données projet'!$B$13,Paramètres!$A$1:$I$89,5,0)</f>
        <v>514.99496880000049</v>
      </c>
      <c r="CV159" s="13">
        <f t="shared" si="173"/>
        <v>114.73639057033847</v>
      </c>
      <c r="CW159" s="20">
        <f t="shared" si="174"/>
        <v>1096.7821175700071</v>
      </c>
      <c r="CX159" s="59">
        <f t="shared" si="122"/>
        <v>1384.1370160170954</v>
      </c>
      <c r="CY159" s="59">
        <f ca="1">AVERAGE(OFFSET($CX$3,0,0,'Données projet'!$E$13+1,1))-AVERAGE(OFFSET($H$3,0,0,'Données projet'!$E$13+1,1))</f>
        <v>765.9523557587147</v>
      </c>
      <c r="CZ159" s="59">
        <f t="shared" si="150"/>
        <v>347.40395092312815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85.993243459160695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85.993243459160695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146.15384615384625</v>
      </c>
      <c r="DP159" s="17">
        <f>DO159*VLOOKUP('Données projet'!$B$14,Paramètres!$A$1:$I$89,3,0)*VLOOKUP('Données projet'!$B$14,Paramètres!$A$1:$I$89,5,0)</f>
        <v>127.68000000000011</v>
      </c>
      <c r="DQ159" s="13">
        <f t="shared" si="176"/>
        <v>33.45971491465221</v>
      </c>
      <c r="DR159" s="20">
        <f t="shared" si="177"/>
        <v>280.65167014301943</v>
      </c>
      <c r="DS159" s="59">
        <f t="shared" si="125"/>
        <v>568.00656859010769</v>
      </c>
      <c r="DT159" s="59">
        <f ca="1">AVERAGE(OFFSET($DS$3,0,0,'Données projet'!$E$14+1,1))-AVERAGE(OFFSET($H$3,0,0,'Données projet'!$E$14+1,1))</f>
        <v>253.82888243490106</v>
      </c>
      <c r="DU159" s="59">
        <f t="shared" si="152"/>
        <v>224.11983819941796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6.3071798803529093</v>
      </c>
      <c r="EB159" s="21">
        <f>EXP(-LN(2)/25)*EB158+(1-EXP(-LN(2)/25))/(LN(2)/25)*Calculateur!DW159*Calculateur!DY159*VLOOKUP('Données projet'!$B$14,Paramètres!$A$1:$I$89,3,0)*0.475*44/12</f>
        <v>1.8680138409017963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8.1751937212547059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-4.5474735088646412E-13</v>
      </c>
      <c r="O160" s="13">
        <f>N160*VLOOKUP('Données projet'!$B$9,Paramètres!$A$1:$I$89,3,0)*VLOOKUP('Données projet'!$B$9,Paramètres!$A$1:$I$89,5,0)</f>
        <v>-2.1282176021486519E-13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387.50901594883317</v>
      </c>
      <c r="T160" s="59">
        <f t="shared" si="142"/>
        <v>361.3623790401972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73.710647145250121</v>
      </c>
      <c r="AA160" s="21">
        <f>EXP(-LN(2)/25)*AA159+(1-EXP(-LN(2)/25))/(LN(2)/25)*Calculateur!V160*Calculateur!X160*VLOOKUP('Données projet'!$B$9,Paramètres!$A$1:$I$89,3,0)*0.475*44/12</f>
        <v>19.928452979168302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93.63910012441842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373.47758082856359</v>
      </c>
      <c r="AO160" s="59">
        <f t="shared" si="144"/>
        <v>277.24895424120166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37.443980671189273</v>
      </c>
      <c r="AV160" s="21">
        <f>EXP(-LN(2)/25)*AV159+(1-EXP(-LN(2)/25))/(LN(2)/25)*Calculateur!AQ160*Calculateur!AS160*VLOOKUP('Données projet'!$B$10,Paramètres!$A$1:$I$89,3,0)*0.475*44/12</f>
        <v>9.5483107448247413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46.992291416014012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8.4429999999999943</v>
      </c>
      <c r="BD160" s="12">
        <f>IF('Données projet'!$A$88&gt;35,BD159+BC160-BL159,IF(A160&lt;'Données projet'!$A$88,$BA$205^A160,IF(A160='Données projet'!$A$88,'Données projet'!$B$88,BD159+BC160-BL159)))</f>
        <v>460.66900000000044</v>
      </c>
      <c r="BE160" s="13">
        <f>BD160*VLOOKUP('Données projet'!$B$11,Paramètres!$A$1:$I$89,3,0)*VLOOKUP('Données projet'!$B$11,Paramètres!$A$1:$I$89,5,0)</f>
        <v>416.81331120000038</v>
      </c>
      <c r="BF160" s="13">
        <f t="shared" si="167"/>
        <v>95.177094964322421</v>
      </c>
      <c r="BG160" s="20">
        <f t="shared" si="168"/>
        <v>891.71662406952885</v>
      </c>
      <c r="BH160" s="59">
        <f t="shared" si="116"/>
        <v>1179.1752349961155</v>
      </c>
      <c r="BI160" s="59">
        <f ca="1">AVERAGE(OFFSET($BH$3,0,0,'Données projet'!$E$11+1,1))-AVERAGE(OFFSET($H$3,0,0,'Données projet'!$E$11+1,1))</f>
        <v>627.65081154031589</v>
      </c>
      <c r="BJ160" s="59">
        <f t="shared" si="146"/>
        <v>288.78083487077618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66.983618733237051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66.983618733237051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8.4429999999999943</v>
      </c>
      <c r="BY160" s="12">
        <f>IF('Données projet'!$A$114&gt;35,BY159+BX160-CG159,IF(A160&lt;'Données projet'!$A$114,$BV$205^A160,IF(A160='Données projet'!$A$114,'Données projet'!$B$114,BY159+BX160-CG159)))</f>
        <v>460.66900000000044</v>
      </c>
      <c r="BZ160" s="13">
        <f>BY160*VLOOKUP('Données projet'!$B$12,Paramètres!$A$1:$I$89,3,0)*VLOOKUP('Données projet'!$B$12,Paramètres!$A$1:$I$89,5,0)</f>
        <v>467.11836600000044</v>
      </c>
      <c r="CA160" s="13">
        <f t="shared" si="170"/>
        <v>105.25862966790358</v>
      </c>
      <c r="CB160" s="20">
        <f t="shared" si="171"/>
        <v>996.88993412159937</v>
      </c>
      <c r="CC160" s="59">
        <f t="shared" si="119"/>
        <v>1284.348545048186</v>
      </c>
      <c r="CD160" s="59">
        <f ca="1">AVERAGE(OFFSET($CC$3,0,0,'Données projet'!$E$12+1,1))-AVERAGE(OFFSET($H$3,0,0,'Données projet'!$E$12+1,1))</f>
        <v>692.2706942067415</v>
      </c>
      <c r="CE160" s="59">
        <f t="shared" si="148"/>
        <v>316.17529091924803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75.067848580351907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75.067848580351907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8.4429999999999943</v>
      </c>
      <c r="CT160" s="12">
        <f>IF('Données projet'!$A$140&gt;35,CT159+CS160-DB159,IF(A160&lt;'Données projet'!$A$140,$CQ$205^A160,IF(A160='Données projet'!$A$140,'Données projet'!$B$140,CT159+CS160-DB159)))</f>
        <v>460.66900000000044</v>
      </c>
      <c r="CU160" s="17">
        <f>CT160*VLOOKUP('Données projet'!$B$13,Paramètres!$A$1:$I$89,3,0)*VLOOKUP('Données projet'!$B$13,Paramètres!$A$1:$I$89,5,0)</f>
        <v>524.60985720000053</v>
      </c>
      <c r="CV160" s="13">
        <f t="shared" si="173"/>
        <v>116.62711940419572</v>
      </c>
      <c r="CW160" s="20">
        <f t="shared" si="174"/>
        <v>1116.8210675856417</v>
      </c>
      <c r="CX160" s="59">
        <f t="shared" si="122"/>
        <v>1404.2796785122282</v>
      </c>
      <c r="CY160" s="59">
        <f ca="1">AVERAGE(OFFSET($CX$3,0,0,'Données projet'!$E$13+1,1))-AVERAGE(OFFSET($H$3,0,0,'Données projet'!$E$13+1,1))</f>
        <v>765.9523557587147</v>
      </c>
      <c r="CZ160" s="59">
        <f t="shared" si="150"/>
        <v>347.40395092312815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84.30696840562598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84.30696840562598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146.15384615384625</v>
      </c>
      <c r="DP160" s="17">
        <f>DO160*VLOOKUP('Données projet'!$B$14,Paramètres!$A$1:$I$89,3,0)*VLOOKUP('Données projet'!$B$14,Paramètres!$A$1:$I$89,5,0)</f>
        <v>127.68000000000011</v>
      </c>
      <c r="DQ160" s="13">
        <f t="shared" si="176"/>
        <v>33.45971491465221</v>
      </c>
      <c r="DR160" s="20">
        <f t="shared" si="177"/>
        <v>280.65167014301943</v>
      </c>
      <c r="DS160" s="59">
        <f t="shared" si="125"/>
        <v>568.110281069606</v>
      </c>
      <c r="DT160" s="59">
        <f ca="1">AVERAGE(OFFSET($DS$3,0,0,'Données projet'!$E$14+1,1))-AVERAGE(OFFSET($H$3,0,0,'Données projet'!$E$14+1,1))</f>
        <v>253.82888243490106</v>
      </c>
      <c r="DU160" s="59">
        <f t="shared" si="152"/>
        <v>224.11983819941796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6.1834999298990558</v>
      </c>
      <c r="EB160" s="21">
        <f>EXP(-LN(2)/25)*EB159+(1-EXP(-LN(2)/25))/(LN(2)/25)*Calculateur!DW160*Calculateur!DY160*VLOOKUP('Données projet'!$B$14,Paramètres!$A$1:$I$89,3,0)*0.475*44/12</f>
        <v>1.8169329041877582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8.0004328340868138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-4.5474735088646412E-13</v>
      </c>
      <c r="O161" s="13">
        <f>N161*VLOOKUP('Données projet'!$B$9,Paramètres!$A$1:$I$89,3,0)*VLOOKUP('Données projet'!$B$9,Paramètres!$A$1:$I$89,5,0)</f>
        <v>-2.1282176021486519E-13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387.50901594883317</v>
      </c>
      <c r="T161" s="59">
        <f t="shared" si="142"/>
        <v>361.3623790401972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72.265226313787181</v>
      </c>
      <c r="AA161" s="21">
        <f>EXP(-LN(2)/25)*AA160+(1-EXP(-LN(2)/25))/(LN(2)/25)*Calculateur!V161*Calculateur!X161*VLOOKUP('Données projet'!$B$9,Paramètres!$A$1:$I$89,3,0)*0.475*44/12</f>
        <v>19.383508384461148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91.648734698248333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373.47758082856359</v>
      </c>
      <c r="AO161" s="59">
        <f t="shared" si="144"/>
        <v>277.24895424120166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36.709727048800339</v>
      </c>
      <c r="AV161" s="21">
        <f>EXP(-LN(2)/25)*AV160+(1-EXP(-LN(2)/25))/(LN(2)/25)*Calculateur!AQ161*Calculateur!AS161*VLOOKUP('Données projet'!$B$10,Paramètres!$A$1:$I$89,3,0)*0.475*44/12</f>
        <v>9.287211685383669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45.996938734184006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8.4429999999999943</v>
      </c>
      <c r="BD161" s="12">
        <f>IF('Données projet'!$A$88&gt;35,BD160+BC161-BL160,IF(A161&lt;'Données projet'!$A$88,$BA$205^A161,IF(A161='Données projet'!$A$88,'Données projet'!$B$88,BD160+BC161-BL160)))</f>
        <v>469.11200000000042</v>
      </c>
      <c r="BE161" s="13">
        <f>BD161*VLOOKUP('Données projet'!$B$11,Paramètres!$A$1:$I$89,3,0)*VLOOKUP('Données projet'!$B$11,Paramètres!$A$1:$I$89,5,0)</f>
        <v>424.45253760000043</v>
      </c>
      <c r="BF161" s="13">
        <f t="shared" si="167"/>
        <v>96.716793118095666</v>
      </c>
      <c r="BG161" s="20">
        <f t="shared" si="168"/>
        <v>907.70325100068385</v>
      </c>
      <c r="BH161" s="59">
        <f t="shared" si="116"/>
        <v>1195.2637752271157</v>
      </c>
      <c r="BI161" s="59">
        <f ca="1">AVERAGE(OFFSET($BH$3,0,0,'Données projet'!$E$11+1,1))-AVERAGE(OFFSET($H$3,0,0,'Données projet'!$E$11+1,1))</f>
        <v>627.65081154031589</v>
      </c>
      <c r="BJ161" s="59">
        <f t="shared" si="146"/>
        <v>288.78083487077618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65.670110825851509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65.670110825851509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8.4429999999999943</v>
      </c>
      <c r="BY161" s="12">
        <f>IF('Données projet'!$A$114&gt;35,BY160+BX161-CG160,IF(A161&lt;'Données projet'!$A$114,$BV$205^A161,IF(A161='Données projet'!$A$114,'Données projet'!$B$114,BY160+BX161-CG160)))</f>
        <v>469.11200000000042</v>
      </c>
      <c r="BZ161" s="13">
        <f>BY161*VLOOKUP('Données projet'!$B$12,Paramètres!$A$1:$I$89,3,0)*VLOOKUP('Données projet'!$B$12,Paramètres!$A$1:$I$89,5,0)</f>
        <v>475.67956800000047</v>
      </c>
      <c r="CA161" s="13">
        <f t="shared" si="170"/>
        <v>106.96141874577063</v>
      </c>
      <c r="CB161" s="20">
        <f t="shared" si="171"/>
        <v>1014.7663852488846</v>
      </c>
      <c r="CC161" s="59">
        <f t="shared" si="119"/>
        <v>1302.3269094753166</v>
      </c>
      <c r="CD161" s="59">
        <f ca="1">AVERAGE(OFFSET($CC$3,0,0,'Données projet'!$E$12+1,1))-AVERAGE(OFFSET($H$3,0,0,'Données projet'!$E$12+1,1))</f>
        <v>692.2706942067415</v>
      </c>
      <c r="CE161" s="59">
        <f t="shared" si="148"/>
        <v>316.17529091924803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73.595813856557768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73.595813856557768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8.4429999999999943</v>
      </c>
      <c r="CT161" s="12">
        <f>IF('Données projet'!$A$140&gt;35,CT160+CS161-DB160,IF(A161&lt;'Données projet'!$A$140,$CQ$205^A161,IF(A161='Données projet'!$A$140,'Données projet'!$B$140,CT160+CS161-DB160)))</f>
        <v>469.11200000000042</v>
      </c>
      <c r="CU161" s="17">
        <f>CT161*VLOOKUP('Données projet'!$B$13,Paramètres!$A$1:$I$89,3,0)*VLOOKUP('Données projet'!$B$13,Paramètres!$A$1:$I$89,5,0)</f>
        <v>534.22474560000057</v>
      </c>
      <c r="CV161" s="13">
        <f t="shared" si="173"/>
        <v>118.51381872501273</v>
      </c>
      <c r="CW161" s="20">
        <f t="shared" si="174"/>
        <v>1136.8529995327315</v>
      </c>
      <c r="CX161" s="59">
        <f t="shared" si="122"/>
        <v>1424.4135237591636</v>
      </c>
      <c r="CY161" s="59">
        <f ca="1">AVERAGE(OFFSET($CX$3,0,0,'Données projet'!$E$13+1,1))-AVERAGE(OFFSET($H$3,0,0,'Données projet'!$E$13+1,1))</f>
        <v>765.9523557587147</v>
      </c>
      <c r="CZ161" s="59">
        <f t="shared" si="150"/>
        <v>347.40395092312815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82.653760177364859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82.653760177364859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146.15384615384625</v>
      </c>
      <c r="DP161" s="17">
        <f>DO161*VLOOKUP('Données projet'!$B$14,Paramètres!$A$1:$I$89,3,0)*VLOOKUP('Données projet'!$B$14,Paramètres!$A$1:$I$89,5,0)</f>
        <v>127.68000000000011</v>
      </c>
      <c r="DQ161" s="13">
        <f t="shared" si="176"/>
        <v>33.45971491465221</v>
      </c>
      <c r="DR161" s="20">
        <f t="shared" si="177"/>
        <v>280.65167014301943</v>
      </c>
      <c r="DS161" s="59">
        <f t="shared" si="125"/>
        <v>568.21219436945148</v>
      </c>
      <c r="DT161" s="59">
        <f ca="1">AVERAGE(OFFSET($DS$3,0,0,'Données projet'!$E$14+1,1))-AVERAGE(OFFSET($H$3,0,0,'Données projet'!$E$14+1,1))</f>
        <v>253.82888243490106</v>
      </c>
      <c r="DU161" s="59">
        <f t="shared" si="152"/>
        <v>224.11983819941796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6.0622452678362819</v>
      </c>
      <c r="EB161" s="21">
        <f>EXP(-LN(2)/25)*EB160+(1-EXP(-LN(2)/25))/(LN(2)/25)*Calculateur!DW161*Calculateur!DY161*VLOOKUP('Données projet'!$B$14,Paramètres!$A$1:$I$89,3,0)*0.475*44/12</f>
        <v>1.7672487783743951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7.8294940462106766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-4.5474735088646412E-13</v>
      </c>
      <c r="O162" s="13">
        <f>N162*VLOOKUP('Données projet'!$B$9,Paramètres!$A$1:$I$89,3,0)*VLOOKUP('Données projet'!$B$9,Paramètres!$A$1:$I$89,5,0)</f>
        <v>-2.1282176021486519E-13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387.50901594883317</v>
      </c>
      <c r="T162" s="59">
        <f t="shared" si="142"/>
        <v>361.3623790401972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70.848149303209581</v>
      </c>
      <c r="AA162" s="21">
        <f>EXP(-LN(2)/25)*AA161+(1-EXP(-LN(2)/25))/(LN(2)/25)*Calculateur!V162*Calculateur!X162*VLOOKUP('Données projet'!$B$9,Paramètres!$A$1:$I$89,3,0)*0.475*44/12</f>
        <v>18.853465328353654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89.701614631563231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373.47758082856359</v>
      </c>
      <c r="AO162" s="59">
        <f t="shared" si="144"/>
        <v>277.24895424120166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35.989871692095967</v>
      </c>
      <c r="AV162" s="21">
        <f>EXP(-LN(2)/25)*AV161+(1-EXP(-LN(2)/25))/(LN(2)/25)*Calculateur!AQ162*Calculateur!AS162*VLOOKUP('Données projet'!$B$10,Paramètres!$A$1:$I$89,3,0)*0.475*44/12</f>
        <v>9.0332523934536155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45.023124085549583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8.4429999999999943</v>
      </c>
      <c r="BD162" s="12">
        <f>IF('Données projet'!$A$88&gt;35,BD161+BC162-BL161,IF(A162&lt;'Données projet'!$A$88,$BA$205^A162,IF(A162='Données projet'!$A$88,'Données projet'!$B$88,BD161+BC162-BL161)))</f>
        <v>477.5550000000004</v>
      </c>
      <c r="BE162" s="13">
        <f>BD162*VLOOKUP('Données projet'!$B$11,Paramètres!$A$1:$I$89,3,0)*VLOOKUP('Données projet'!$B$11,Paramètres!$A$1:$I$89,5,0)</f>
        <v>432.09176400000035</v>
      </c>
      <c r="BF162" s="13">
        <f t="shared" si="167"/>
        <v>98.253268876899142</v>
      </c>
      <c r="BG162" s="20">
        <f t="shared" si="168"/>
        <v>923.68426559393322</v>
      </c>
      <c r="BH162" s="59">
        <f t="shared" si="116"/>
        <v>1211.3449351523022</v>
      </c>
      <c r="BI162" s="59">
        <f ca="1">AVERAGE(OFFSET($BH$3,0,0,'Données projet'!$E$11+1,1))-AVERAGE(OFFSET($H$3,0,0,'Données projet'!$E$11+1,1))</f>
        <v>627.65081154031589</v>
      </c>
      <c r="BJ162" s="59">
        <f t="shared" si="146"/>
        <v>288.78083487077618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64.382360007369087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64.382360007369087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8.4429999999999943</v>
      </c>
      <c r="BY162" s="12">
        <f>IF('Données projet'!$A$114&gt;35,BY161+BX162-CG161,IF(A162&lt;'Données projet'!$A$114,$BV$205^A162,IF(A162='Données projet'!$A$114,'Données projet'!$B$114,BY161+BX162-CG161)))</f>
        <v>477.5550000000004</v>
      </c>
      <c r="BZ162" s="13">
        <f>BY162*VLOOKUP('Données projet'!$B$12,Paramètres!$A$1:$I$89,3,0)*VLOOKUP('Données projet'!$B$12,Paramètres!$A$1:$I$89,5,0)</f>
        <v>484.24077000000045</v>
      </c>
      <c r="CA162" s="13">
        <f t="shared" si="170"/>
        <v>108.66064409983538</v>
      </c>
      <c r="CB162" s="20">
        <f t="shared" si="171"/>
        <v>1032.6366295572141</v>
      </c>
      <c r="CC162" s="59">
        <f t="shared" si="119"/>
        <v>1320.297299115583</v>
      </c>
      <c r="CD162" s="59">
        <f ca="1">AVERAGE(OFFSET($CC$3,0,0,'Données projet'!$E$12+1,1))-AVERAGE(OFFSET($H$3,0,0,'Données projet'!$E$12+1,1))</f>
        <v>692.2706942067415</v>
      </c>
      <c r="CE162" s="59">
        <f t="shared" si="148"/>
        <v>316.17529091924803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72.152644835844697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72.152644835844697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8.4429999999999943</v>
      </c>
      <c r="CT162" s="12">
        <f>IF('Données projet'!$A$140&gt;35,CT161+CS162-DB161,IF(A162&lt;'Données projet'!$A$140,$CQ$205^A162,IF(A162='Données projet'!$A$140,'Données projet'!$B$140,CT161+CS162-DB161)))</f>
        <v>477.5550000000004</v>
      </c>
      <c r="CU162" s="17">
        <f>CT162*VLOOKUP('Données projet'!$B$13,Paramètres!$A$1:$I$89,3,0)*VLOOKUP('Données projet'!$B$13,Paramètres!$A$1:$I$89,5,0)</f>
        <v>543.8396340000005</v>
      </c>
      <c r="CV162" s="13">
        <f t="shared" si="173"/>
        <v>120.39656942097372</v>
      </c>
      <c r="CW162" s="20">
        <f t="shared" si="174"/>
        <v>1156.8780542915299</v>
      </c>
      <c r="CX162" s="59">
        <f t="shared" si="122"/>
        <v>1444.5387238498988</v>
      </c>
      <c r="CY162" s="59">
        <f ca="1">AVERAGE(OFFSET($CX$3,0,0,'Données projet'!$E$13+1,1))-AVERAGE(OFFSET($H$3,0,0,'Données projet'!$E$13+1,1))</f>
        <v>765.9523557587147</v>
      </c>
      <c r="CZ162" s="59">
        <f t="shared" si="150"/>
        <v>347.40395092312815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81.032970354102488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81.032970354102488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146.15384615384625</v>
      </c>
      <c r="DP162" s="17">
        <f>DO162*VLOOKUP('Données projet'!$B$14,Paramètres!$A$1:$I$89,3,0)*VLOOKUP('Données projet'!$B$14,Paramètres!$A$1:$I$89,5,0)</f>
        <v>127.68000000000011</v>
      </c>
      <c r="DQ162" s="13">
        <f t="shared" si="176"/>
        <v>33.45971491465221</v>
      </c>
      <c r="DR162" s="20">
        <f t="shared" si="177"/>
        <v>280.65167014301943</v>
      </c>
      <c r="DS162" s="59">
        <f t="shared" si="125"/>
        <v>568.3123397013884</v>
      </c>
      <c r="DT162" s="59">
        <f ca="1">AVERAGE(OFFSET($DS$3,0,0,'Données projet'!$E$14+1,1))-AVERAGE(OFFSET($H$3,0,0,'Données projet'!$E$14+1,1))</f>
        <v>253.82888243490106</v>
      </c>
      <c r="DU162" s="59">
        <f t="shared" si="152"/>
        <v>224.11983819941796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5.9433683357385174</v>
      </c>
      <c r="EB162" s="21">
        <f>EXP(-LN(2)/25)*EB161+(1-EXP(-LN(2)/25))/(LN(2)/25)*Calculateur!DW162*Calculateur!DY162*VLOOKUP('Données projet'!$B$14,Paramètres!$A$1:$I$89,3,0)*0.475*44/12</f>
        <v>1.718923267594173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7.6622916033326902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-4.5474735088646412E-13</v>
      </c>
      <c r="O163" s="13">
        <f>N163*VLOOKUP('Données projet'!$B$9,Paramètres!$A$1:$I$89,3,0)*VLOOKUP('Données projet'!$B$9,Paramètres!$A$1:$I$89,5,0)</f>
        <v>-2.1282176021486519E-13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387.50901594883317</v>
      </c>
      <c r="T163" s="59">
        <f t="shared" si="142"/>
        <v>361.3623790401972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69.458860308477782</v>
      </c>
      <c r="AA163" s="21">
        <f>EXP(-LN(2)/25)*AA162+(1-EXP(-LN(2)/25))/(LN(2)/25)*Calculateur!V163*Calculateur!X163*VLOOKUP('Données projet'!$B$9,Paramètres!$A$1:$I$89,3,0)*0.475*44/12</f>
        <v>18.337916327489172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87.79677663596695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373.47758082856359</v>
      </c>
      <c r="AO163" s="59">
        <f t="shared" si="144"/>
        <v>277.24895424120166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35.284132259868151</v>
      </c>
      <c r="AV163" s="21">
        <f>EXP(-LN(2)/25)*AV162+(1-EXP(-LN(2)/25))/(LN(2)/25)*Calculateur!AQ163*Calculateur!AS163*VLOOKUP('Données projet'!$B$10,Paramètres!$A$1:$I$89,3,0)*0.475*44/12</f>
        <v>8.7862376317165296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44.070369891584683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8.4429999999999943</v>
      </c>
      <c r="BD163" s="12">
        <f>IF('Données projet'!$A$88&gt;35,BD162+BC163-BL162,IF(A163&lt;'Données projet'!$A$88,$BA$205^A163,IF(A163='Données projet'!$A$88,'Données projet'!$B$88,BD162+BC163-BL162)))</f>
        <v>485.99800000000039</v>
      </c>
      <c r="BE163" s="13">
        <f>BD163*VLOOKUP('Données projet'!$B$11,Paramètres!$A$1:$I$89,3,0)*VLOOKUP('Données projet'!$B$11,Paramètres!$A$1:$I$89,5,0)</f>
        <v>439.73099040000034</v>
      </c>
      <c r="BF163" s="13">
        <f t="shared" si="167"/>
        <v>99.786585784186272</v>
      </c>
      <c r="BG163" s="20">
        <f t="shared" si="168"/>
        <v>939.65977852079175</v>
      </c>
      <c r="BH163" s="59">
        <f t="shared" si="116"/>
        <v>1227.4188561134802</v>
      </c>
      <c r="BI163" s="59">
        <f ca="1">AVERAGE(OFFSET($BH$3,0,0,'Données projet'!$E$11+1,1))-AVERAGE(OFFSET($H$3,0,0,'Données projet'!$E$11+1,1))</f>
        <v>627.65081154031589</v>
      </c>
      <c r="BJ163" s="59">
        <f t="shared" si="146"/>
        <v>288.78083487077618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63.119861196986655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63.119861196986655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8.4429999999999943</v>
      </c>
      <c r="BY163" s="12">
        <f>IF('Données projet'!$A$114&gt;35,BY162+BX163-CG162,IF(A163&lt;'Données projet'!$A$114,$BV$205^A163,IF(A163='Données projet'!$A$114,'Données projet'!$B$114,BY162+BX163-CG162)))</f>
        <v>485.99800000000039</v>
      </c>
      <c r="BZ163" s="13">
        <f>BY163*VLOOKUP('Données projet'!$B$12,Paramètres!$A$1:$I$89,3,0)*VLOOKUP('Données projet'!$B$12,Paramètres!$A$1:$I$89,5,0)</f>
        <v>492.80197200000038</v>
      </c>
      <c r="CA163" s="13">
        <f t="shared" si="170"/>
        <v>110.35637600432534</v>
      </c>
      <c r="CB163" s="20">
        <f t="shared" si="171"/>
        <v>1050.5007894408673</v>
      </c>
      <c r="CC163" s="59">
        <f t="shared" si="119"/>
        <v>1338.2598670335556</v>
      </c>
      <c r="CD163" s="59">
        <f ca="1">AVERAGE(OFFSET($CC$3,0,0,'Données projet'!$E$12+1,1))-AVERAGE(OFFSET($H$3,0,0,'Données projet'!$E$12+1,1))</f>
        <v>692.2706942067415</v>
      </c>
      <c r="CE163" s="59">
        <f t="shared" si="148"/>
        <v>316.17529091924803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70.737775479381625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70.737775479381625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8.4429999999999943</v>
      </c>
      <c r="CT163" s="12">
        <f>IF('Données projet'!$A$140&gt;35,CT162+CS163-DB162,IF(A163&lt;'Données projet'!$A$140,$CQ$205^A163,IF(A163='Données projet'!$A$140,'Données projet'!$B$140,CT162+CS163-DB162)))</f>
        <v>485.99800000000039</v>
      </c>
      <c r="CU163" s="17">
        <f>CT163*VLOOKUP('Données projet'!$B$13,Paramètres!$A$1:$I$89,3,0)*VLOOKUP('Données projet'!$B$13,Paramètres!$A$1:$I$89,5,0)</f>
        <v>553.45452240000043</v>
      </c>
      <c r="CV163" s="13">
        <f t="shared" si="173"/>
        <v>122.27544935629527</v>
      </c>
      <c r="CW163" s="20">
        <f t="shared" si="174"/>
        <v>1176.8963674755485</v>
      </c>
      <c r="CX163" s="59">
        <f t="shared" si="122"/>
        <v>1464.6554450682368</v>
      </c>
      <c r="CY163" s="59">
        <f ca="1">AVERAGE(OFFSET($CX$3,0,0,'Données projet'!$E$13+1,1))-AVERAGE(OFFSET($H$3,0,0,'Données projet'!$E$13+1,1))</f>
        <v>765.9523557587147</v>
      </c>
      <c r="CZ163" s="59">
        <f t="shared" si="150"/>
        <v>347.40395092312815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79.443963230690116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79.443963230690116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146.15384615384625</v>
      </c>
      <c r="DP163" s="17">
        <f>DO163*VLOOKUP('Données projet'!$B$14,Paramètres!$A$1:$I$89,3,0)*VLOOKUP('Données projet'!$B$14,Paramètres!$A$1:$I$89,5,0)</f>
        <v>127.68000000000011</v>
      </c>
      <c r="DQ163" s="13">
        <f t="shared" si="176"/>
        <v>33.45971491465221</v>
      </c>
      <c r="DR163" s="20">
        <f t="shared" si="177"/>
        <v>280.65167014301943</v>
      </c>
      <c r="DS163" s="59">
        <f t="shared" si="125"/>
        <v>568.41074773570779</v>
      </c>
      <c r="DT163" s="59">
        <f ca="1">AVERAGE(OFFSET($DS$3,0,0,'Données projet'!$E$14+1,1))-AVERAGE(OFFSET($H$3,0,0,'Données projet'!$E$14+1,1))</f>
        <v>253.82888243490106</v>
      </c>
      <c r="DU163" s="59">
        <f t="shared" si="152"/>
        <v>224.11983819941796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5.8268225077714213</v>
      </c>
      <c r="EB163" s="21">
        <f>EXP(-LN(2)/25)*EB162+(1-EXP(-LN(2)/25))/(LN(2)/25)*Calculateur!DW163*Calculateur!DY163*VLOOKUP('Données projet'!$B$14,Paramètres!$A$1:$I$89,3,0)*0.475*44/12</f>
        <v>1.6719192204475644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7.4987417282189854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-4.5474735088646412E-13</v>
      </c>
      <c r="O164" s="13">
        <f>N164*VLOOKUP('Données projet'!$B$9,Paramètres!$A$1:$I$89,3,0)*VLOOKUP('Données projet'!$B$9,Paramètres!$A$1:$I$89,5,0)</f>
        <v>-2.1282176021486519E-13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387.50901594883317</v>
      </c>
      <c r="T164" s="59">
        <f t="shared" si="142"/>
        <v>361.3623790401972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68.096814423550057</v>
      </c>
      <c r="AA164" s="21">
        <f>EXP(-LN(2)/25)*AA163+(1-EXP(-LN(2)/25))/(LN(2)/25)*Calculateur!V164*Calculateur!X164*VLOOKUP('Données projet'!$B$9,Paramètres!$A$1:$I$89,3,0)*0.475*44/12</f>
        <v>17.836465041164871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85.933279464714929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373.47758082856359</v>
      </c>
      <c r="AO164" s="59">
        <f t="shared" si="144"/>
        <v>277.24895424120166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34.592231947447772</v>
      </c>
      <c r="AV164" s="21">
        <f>EXP(-LN(2)/25)*AV163+(1-EXP(-LN(2)/25))/(LN(2)/25)*Calculateur!AQ164*Calculateur!AS164*VLOOKUP('Données projet'!$B$10,Paramètres!$A$1:$I$89,3,0)*0.475*44/12</f>
        <v>8.5459775016290855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43.138209449076854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8.4429999999999943</v>
      </c>
      <c r="BD164" s="12">
        <f>IF('Données projet'!$A$88&gt;35,BD163+BC164-BL163,IF(A164&lt;'Données projet'!$A$88,$BA$205^A164,IF(A164='Données projet'!$A$88,'Données projet'!$B$88,BD163+BC164-BL163)))</f>
        <v>494.44100000000037</v>
      </c>
      <c r="BE164" s="13">
        <f>BD164*VLOOKUP('Données projet'!$B$11,Paramètres!$A$1:$I$89,3,0)*VLOOKUP('Données projet'!$B$11,Paramètres!$A$1:$I$89,5,0)</f>
        <v>447.37021680000026</v>
      </c>
      <c r="BF164" s="13">
        <f t="shared" si="167"/>
        <v>101.3168050491076</v>
      </c>
      <c r="BG164" s="20">
        <f t="shared" si="168"/>
        <v>955.62989638719603</v>
      </c>
      <c r="BH164" s="59">
        <f t="shared" si="116"/>
        <v>1243.4856748548157</v>
      </c>
      <c r="BI164" s="59">
        <f ca="1">AVERAGE(OFFSET($BH$3,0,0,'Données projet'!$E$11+1,1))-AVERAGE(OFFSET($H$3,0,0,'Données projet'!$E$11+1,1))</f>
        <v>627.65081154031589</v>
      </c>
      <c r="BJ164" s="59">
        <f t="shared" si="146"/>
        <v>288.78083487077618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61.882119218227587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61.882119218227587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8.4429999999999943</v>
      </c>
      <c r="BY164" s="12">
        <f>IF('Données projet'!$A$114&gt;35,BY163+BX164-CG163,IF(A164&lt;'Données projet'!$A$114,$BV$205^A164,IF(A164='Données projet'!$A$114,'Données projet'!$B$114,BY163+BX164-CG163)))</f>
        <v>494.44100000000037</v>
      </c>
      <c r="BZ164" s="13">
        <f>BY164*VLOOKUP('Données projet'!$B$12,Paramètres!$A$1:$I$89,3,0)*VLOOKUP('Données projet'!$B$12,Paramètres!$A$1:$I$89,5,0)</f>
        <v>501.36317400000041</v>
      </c>
      <c r="CA164" s="13">
        <f t="shared" si="170"/>
        <v>112.04868215190658</v>
      </c>
      <c r="CB164" s="20">
        <f t="shared" si="171"/>
        <v>1068.3589827979044</v>
      </c>
      <c r="CC164" s="59">
        <f t="shared" si="119"/>
        <v>1356.2147612655242</v>
      </c>
      <c r="CD164" s="59">
        <f ca="1">AVERAGE(OFFSET($CC$3,0,0,'Données projet'!$E$12+1,1))-AVERAGE(OFFSET($H$3,0,0,'Données projet'!$E$12+1,1))</f>
        <v>692.2706942067415</v>
      </c>
      <c r="CE164" s="59">
        <f t="shared" si="148"/>
        <v>316.17529091924803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69.3506508480137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69.3506508480137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8.4429999999999943</v>
      </c>
      <c r="CT164" s="12">
        <f>IF('Données projet'!$A$140&gt;35,CT163+CS164-DB163,IF(A164&lt;'Données projet'!$A$140,$CQ$205^A164,IF(A164='Données projet'!$A$140,'Données projet'!$B$140,CT163+CS164-DB163)))</f>
        <v>494.44100000000037</v>
      </c>
      <c r="CU164" s="17">
        <f>CT164*VLOOKUP('Données projet'!$B$13,Paramètres!$A$1:$I$89,3,0)*VLOOKUP('Données projet'!$B$13,Paramètres!$A$1:$I$89,5,0)</f>
        <v>563.06941080000036</v>
      </c>
      <c r="CV164" s="13">
        <f t="shared" si="173"/>
        <v>124.15053353480974</v>
      </c>
      <c r="CW164" s="20">
        <f t="shared" si="174"/>
        <v>1196.9080697164607</v>
      </c>
      <c r="CX164" s="59">
        <f t="shared" si="122"/>
        <v>1484.7638481840804</v>
      </c>
      <c r="CY164" s="59">
        <f ca="1">AVERAGE(OFFSET($CX$3,0,0,'Données projet'!$E$13+1,1))-AVERAGE(OFFSET($H$3,0,0,'Données projet'!$E$13+1,1))</f>
        <v>765.9523557587147</v>
      </c>
      <c r="CZ164" s="59">
        <f t="shared" si="150"/>
        <v>347.40395092312815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77.886115567769224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77.886115567769224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146.15384615384625</v>
      </c>
      <c r="DP164" s="17">
        <f>DO164*VLOOKUP('Données projet'!$B$14,Paramètres!$A$1:$I$89,3,0)*VLOOKUP('Données projet'!$B$14,Paramètres!$A$1:$I$89,5,0)</f>
        <v>127.68000000000011</v>
      </c>
      <c r="DQ164" s="13">
        <f t="shared" si="176"/>
        <v>33.45971491465221</v>
      </c>
      <c r="DR164" s="20">
        <f t="shared" si="177"/>
        <v>280.65167014301943</v>
      </c>
      <c r="DS164" s="59">
        <f t="shared" si="125"/>
        <v>568.50744861063913</v>
      </c>
      <c r="DT164" s="59">
        <f ca="1">AVERAGE(OFFSET($DS$3,0,0,'Données projet'!$E$14+1,1))-AVERAGE(OFFSET($H$3,0,0,'Données projet'!$E$14+1,1))</f>
        <v>253.82888243490106</v>
      </c>
      <c r="DU164" s="59">
        <f t="shared" si="152"/>
        <v>224.11983819941796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5.7125620724048236</v>
      </c>
      <c r="EB164" s="21">
        <f>EXP(-LN(2)/25)*EB163+(1-EXP(-LN(2)/25))/(LN(2)/25)*Calculateur!DW164*Calculateur!DY164*VLOOKUP('Données projet'!$B$14,Paramètres!$A$1:$I$89,3,0)*0.475*44/12</f>
        <v>1.6262005014420151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7.3387625738468385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-4.5474735088646412E-13</v>
      </c>
      <c r="O165" s="13">
        <f>N165*VLOOKUP('Données projet'!$B$9,Paramètres!$A$1:$I$89,3,0)*VLOOKUP('Données projet'!$B$9,Paramètres!$A$1:$I$89,5,0)</f>
        <v>-2.1282176021486519E-13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387.50901594883317</v>
      </c>
      <c r="T165" s="59">
        <f t="shared" si="142"/>
        <v>361.3623790401972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66.761477427659798</v>
      </c>
      <c r="AA165" s="21">
        <f>EXP(-LN(2)/25)*AA164+(1-EXP(-LN(2)/25))/(LN(2)/25)*Calculateur!V165*Calculateur!X165*VLOOKUP('Données projet'!$B$9,Paramètres!$A$1:$I$89,3,0)*0.475*44/12</f>
        <v>17.348725966635286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84.110203394295084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373.47758082856359</v>
      </c>
      <c r="AO165" s="59">
        <f t="shared" si="144"/>
        <v>277.24895424120166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33.913899378136435</v>
      </c>
      <c r="AV165" s="21">
        <f>EXP(-LN(2)/25)*AV164+(1-EXP(-LN(2)/25))/(LN(2)/25)*Calculateur!AQ165*Calculateur!AS165*VLOOKUP('Données projet'!$B$10,Paramètres!$A$1:$I$89,3,0)*0.475*44/12</f>
        <v>8.3122872974336133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42.226186675570048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8.4429999999999943</v>
      </c>
      <c r="BD165" s="12">
        <f>IF('Données projet'!$A$88&gt;35,BD164+BC165-BL164,IF(A165&lt;'Données projet'!$A$88,$BA$205^A165,IF(A165='Données projet'!$A$88,'Données projet'!$B$88,BD164+BC165-BL164)))</f>
        <v>502.88400000000036</v>
      </c>
      <c r="BE165" s="13">
        <f>BD165*VLOOKUP('Données projet'!$B$11,Paramètres!$A$1:$I$89,3,0)*VLOOKUP('Données projet'!$B$11,Paramètres!$A$1:$I$89,5,0)</f>
        <v>455.00944320000031</v>
      </c>
      <c r="BF165" s="13">
        <f t="shared" si="167"/>
        <v>102.84398567063174</v>
      </c>
      <c r="BG165" s="20">
        <f t="shared" si="168"/>
        <v>971.59472194968396</v>
      </c>
      <c r="BH165" s="59">
        <f t="shared" si="116"/>
        <v>1259.5455237482456</v>
      </c>
      <c r="BI165" s="59">
        <f ca="1">AVERAGE(OFFSET($BH$3,0,0,'Données projet'!$E$11+1,1))-AVERAGE(OFFSET($H$3,0,0,'Données projet'!$E$11+1,1))</f>
        <v>627.65081154031589</v>
      </c>
      <c r="BJ165" s="59">
        <f t="shared" si="146"/>
        <v>288.78083487077618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60.66864860472392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60.66864860472392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8.4429999999999943</v>
      </c>
      <c r="BY165" s="12">
        <f>IF('Données projet'!$A$114&gt;35,BY164+BX165-CG164,IF(A165&lt;'Données projet'!$A$114,$BV$205^A165,IF(A165='Données projet'!$A$114,'Données projet'!$B$114,BY164+BX165-CG164)))</f>
        <v>502.88400000000036</v>
      </c>
      <c r="BZ165" s="13">
        <f>BY165*VLOOKUP('Données projet'!$B$12,Paramètres!$A$1:$I$89,3,0)*VLOOKUP('Données projet'!$B$12,Paramètres!$A$1:$I$89,5,0)</f>
        <v>509.92437600000034</v>
      </c>
      <c r="CA165" s="13">
        <f t="shared" si="170"/>
        <v>113.73762779095213</v>
      </c>
      <c r="CB165" s="20">
        <f t="shared" si="171"/>
        <v>1086.211323269242</v>
      </c>
      <c r="CC165" s="59">
        <f t="shared" si="119"/>
        <v>1374.1621250678038</v>
      </c>
      <c r="CD165" s="59">
        <f ca="1">AVERAGE(OFFSET($CC$3,0,0,'Données projet'!$E$12+1,1))-AVERAGE(OFFSET($H$3,0,0,'Données projet'!$E$12+1,1))</f>
        <v>692.2706942067415</v>
      </c>
      <c r="CE165" s="59">
        <f t="shared" si="148"/>
        <v>316.17529091924803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67.990726884604413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67.990726884604413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8.4429999999999943</v>
      </c>
      <c r="CT165" s="12">
        <f>IF('Données projet'!$A$140&gt;35,CT164+CS165-DB164,IF(A165&lt;'Données projet'!$A$140,$CQ$205^A165,IF(A165='Données projet'!$A$140,'Données projet'!$B$140,CT164+CS165-DB164)))</f>
        <v>502.88400000000036</v>
      </c>
      <c r="CU165" s="17">
        <f>CT165*VLOOKUP('Données projet'!$B$13,Paramètres!$A$1:$I$89,3,0)*VLOOKUP('Données projet'!$B$13,Paramètres!$A$1:$I$89,5,0)</f>
        <v>572.6842992000004</v>
      </c>
      <c r="CV165" s="13">
        <f t="shared" si="173"/>
        <v>126.02189425206052</v>
      </c>
      <c r="CW165" s="20">
        <f t="shared" si="174"/>
        <v>1216.9132869290058</v>
      </c>
      <c r="CX165" s="59">
        <f t="shared" si="122"/>
        <v>1504.8640887275676</v>
      </c>
      <c r="CY165" s="59">
        <f ca="1">AVERAGE(OFFSET($CX$3,0,0,'Données projet'!$E$13+1,1))-AVERAGE(OFFSET($H$3,0,0,'Données projet'!$E$13+1,1))</f>
        <v>765.9523557587147</v>
      </c>
      <c r="CZ165" s="59">
        <f t="shared" si="150"/>
        <v>347.40395092312815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76.358816347324947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76.358816347324947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146.15384615384625</v>
      </c>
      <c r="DP165" s="17">
        <f>DO165*VLOOKUP('Données projet'!$B$14,Paramètres!$A$1:$I$89,3,0)*VLOOKUP('Données projet'!$B$14,Paramètres!$A$1:$I$89,5,0)</f>
        <v>127.68000000000011</v>
      </c>
      <c r="DQ165" s="13">
        <f t="shared" si="176"/>
        <v>33.45971491465221</v>
      </c>
      <c r="DR165" s="20">
        <f t="shared" si="177"/>
        <v>280.65167014301943</v>
      </c>
      <c r="DS165" s="59">
        <f t="shared" si="125"/>
        <v>568.60247194158114</v>
      </c>
      <c r="DT165" s="59">
        <f ca="1">AVERAGE(OFFSET($DS$3,0,0,'Données projet'!$E$14+1,1))-AVERAGE(OFFSET($H$3,0,0,'Données projet'!$E$14+1,1))</f>
        <v>253.82888243490106</v>
      </c>
      <c r="DU165" s="59">
        <f t="shared" si="152"/>
        <v>224.11983819941796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5.6005422144837809</v>
      </c>
      <c r="EB165" s="21">
        <f>EXP(-LN(2)/25)*EB164+(1-EXP(-LN(2)/25))/(LN(2)/25)*Calculateur!DW165*Calculateur!DY165*VLOOKUP('Données projet'!$B$14,Paramètres!$A$1:$I$89,3,0)*0.475*44/12</f>
        <v>1.5817319632119156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7.182274177695696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-4.5474735088646412E-13</v>
      </c>
      <c r="O166" s="13">
        <f>N166*VLOOKUP('Données projet'!$B$9,Paramètres!$A$1:$I$89,3,0)*VLOOKUP('Données projet'!$B$9,Paramètres!$A$1:$I$89,5,0)</f>
        <v>-2.1282176021486519E-13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387.50901594883317</v>
      </c>
      <c r="T166" s="59">
        <f t="shared" si="142"/>
        <v>361.3623790401972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65.452325575783803</v>
      </c>
      <c r="AA166" s="21">
        <f>EXP(-LN(2)/25)*AA165+(1-EXP(-LN(2)/25))/(LN(2)/25)*Calculateur!V166*Calculateur!X166*VLOOKUP('Données projet'!$B$9,Paramètres!$A$1:$I$89,3,0)*0.475*44/12</f>
        <v>16.874324142747795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82.326649718531598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373.47758082856359</v>
      </c>
      <c r="AO166" s="59">
        <f t="shared" si="144"/>
        <v>277.24895424120166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33.24886849676728</v>
      </c>
      <c r="AV166" s="21">
        <f>EXP(-LN(2)/25)*AV165+(1-EXP(-LN(2)/25))/(LN(2)/25)*Calculateur!AQ166*Calculateur!AS166*VLOOKUP('Données projet'!$B$10,Paramètres!$A$1:$I$89,3,0)*0.475*44/12</f>
        <v>8.0849873641610994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41.333855860928381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8.4429999999999943</v>
      </c>
      <c r="BD166" s="12">
        <f>IF('Données projet'!$A$88&gt;35,BD165+BC166-BL165,IF(A166&lt;'Données projet'!$A$88,$BA$205^A166,IF(A166='Données projet'!$A$88,'Données projet'!$B$88,BD165+BC166-BL165)))</f>
        <v>511.32700000000034</v>
      </c>
      <c r="BE166" s="13">
        <f>BD166*VLOOKUP('Données projet'!$B$11,Paramètres!$A$1:$I$89,3,0)*VLOOKUP('Données projet'!$B$11,Paramètres!$A$1:$I$89,5,0)</f>
        <v>462.64866960000029</v>
      </c>
      <c r="BF166" s="13">
        <f t="shared" si="167"/>
        <v>104.36818455309495</v>
      </c>
      <c r="BG166" s="20">
        <f t="shared" si="168"/>
        <v>987.5543543166408</v>
      </c>
      <c r="BH166" s="59">
        <f t="shared" si="116"/>
        <v>1275.5985310037931</v>
      </c>
      <c r="BI166" s="59">
        <f ca="1">AVERAGE(OFFSET($BH$3,0,0,'Données projet'!$E$11+1,1))-AVERAGE(OFFSET($H$3,0,0,'Données projet'!$E$11+1,1))</f>
        <v>627.65081154031589</v>
      </c>
      <c r="BJ166" s="59">
        <f t="shared" si="146"/>
        <v>288.78083487077618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59.478973409807068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59.478973409807068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8.4429999999999943</v>
      </c>
      <c r="BY166" s="12">
        <f>IF('Données projet'!$A$114&gt;35,BY165+BX166-CG165,IF(A166&lt;'Données projet'!$A$114,$BV$205^A166,IF(A166='Données projet'!$A$114,'Données projet'!$B$114,BY165+BX166-CG165)))</f>
        <v>511.32700000000034</v>
      </c>
      <c r="BZ166" s="13">
        <f>BY166*VLOOKUP('Données projet'!$B$12,Paramètres!$A$1:$I$89,3,0)*VLOOKUP('Données projet'!$B$12,Paramètres!$A$1:$I$89,5,0)</f>
        <v>518.48557800000037</v>
      </c>
      <c r="CA166" s="13">
        <f t="shared" si="170"/>
        <v>115.42327585333055</v>
      </c>
      <c r="CB166" s="20">
        <f t="shared" si="171"/>
        <v>1104.0579204612179</v>
      </c>
      <c r="CC166" s="59">
        <f t="shared" si="119"/>
        <v>1392.1020971483701</v>
      </c>
      <c r="CD166" s="59">
        <f ca="1">AVERAGE(OFFSET($CC$3,0,0,'Données projet'!$E$12+1,1))-AVERAGE(OFFSET($H$3,0,0,'Données projet'!$E$12+1,1))</f>
        <v>692.2706942067415</v>
      </c>
      <c r="CE166" s="59">
        <f t="shared" si="148"/>
        <v>316.17529091924803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66.657470200645875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66.657470200645875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8.4429999999999943</v>
      </c>
      <c r="CT166" s="12">
        <f>IF('Données projet'!$A$140&gt;35,CT165+CS166-DB165,IF(A166&lt;'Données projet'!$A$140,$CQ$205^A166,IF(A166='Données projet'!$A$140,'Données projet'!$B$140,CT165+CS166-DB165)))</f>
        <v>511.32700000000034</v>
      </c>
      <c r="CU166" s="17">
        <f>CT166*VLOOKUP('Données projet'!$B$13,Paramètres!$A$1:$I$89,3,0)*VLOOKUP('Données projet'!$B$13,Paramètres!$A$1:$I$89,5,0)</f>
        <v>582.29918760000032</v>
      </c>
      <c r="CV166" s="13">
        <f t="shared" si="173"/>
        <v>127.88960123689141</v>
      </c>
      <c r="CW166" s="20">
        <f t="shared" si="174"/>
        <v>1236.9121405575863</v>
      </c>
      <c r="CX166" s="59">
        <f t="shared" si="122"/>
        <v>1524.9563172447386</v>
      </c>
      <c r="CY166" s="59">
        <f ca="1">AVERAGE(OFFSET($CX$3,0,0,'Données projet'!$E$13+1,1))-AVERAGE(OFFSET($H$3,0,0,'Données projet'!$E$13+1,1))</f>
        <v>765.9523557587147</v>
      </c>
      <c r="CZ166" s="59">
        <f t="shared" si="150"/>
        <v>347.40395092312815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74.861466533033052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74.861466533033052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146.15384615384625</v>
      </c>
      <c r="DP166" s="17">
        <f>DO166*VLOOKUP('Données projet'!$B$14,Paramètres!$A$1:$I$89,3,0)*VLOOKUP('Données projet'!$B$14,Paramètres!$A$1:$I$89,5,0)</f>
        <v>127.68000000000011</v>
      </c>
      <c r="DQ166" s="13">
        <f t="shared" si="176"/>
        <v>33.45971491465221</v>
      </c>
      <c r="DR166" s="20">
        <f t="shared" si="177"/>
        <v>280.65167014301943</v>
      </c>
      <c r="DS166" s="59">
        <f t="shared" si="125"/>
        <v>568.6958468301716</v>
      </c>
      <c r="DT166" s="59">
        <f ca="1">AVERAGE(OFFSET($DS$3,0,0,'Données projet'!$E$14+1,1))-AVERAGE(OFFSET($H$3,0,0,'Données projet'!$E$14+1,1))</f>
        <v>253.82888243490106</v>
      </c>
      <c r="DU166" s="59">
        <f t="shared" si="152"/>
        <v>224.11983819941796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5.4907189976512036</v>
      </c>
      <c r="EB166" s="21">
        <f>EXP(-LN(2)/25)*EB165+(1-EXP(-LN(2)/25))/(LN(2)/25)*Calculateur!DW166*Calculateur!DY166*VLOOKUP('Données projet'!$B$14,Paramètres!$A$1:$I$89,3,0)*0.475*44/12</f>
        <v>1.538479419498217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7.0291984171494208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-4.5474735088646412E-13</v>
      </c>
      <c r="O167" s="13">
        <f>N167*VLOOKUP('Données projet'!$B$9,Paramètres!$A$1:$I$89,3,0)*VLOOKUP('Données projet'!$B$9,Paramètres!$A$1:$I$89,5,0)</f>
        <v>-2.1282176021486519E-13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387.50901594883317</v>
      </c>
      <c r="T167" s="59">
        <f t="shared" si="142"/>
        <v>361.3623790401972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64.168845393219314</v>
      </c>
      <c r="AA167" s="21">
        <f>EXP(-LN(2)/25)*AA166+(1-EXP(-LN(2)/25))/(LN(2)/25)*Calculateur!V167*Calculateur!X167*VLOOKUP('Données projet'!$B$9,Paramètres!$A$1:$I$89,3,0)*0.475*44/12</f>
        <v>16.412894861682219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80.581740254901533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373.47758082856359</v>
      </c>
      <c r="AO167" s="59">
        <f t="shared" si="144"/>
        <v>277.24895424120166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32.596878465352994</v>
      </c>
      <c r="AV167" s="21">
        <f>EXP(-LN(2)/25)*AV166+(1-EXP(-LN(2)/25))/(LN(2)/25)*Calculateur!AQ167*Calculateur!AS167*VLOOKUP('Données projet'!$B$10,Paramètres!$A$1:$I$89,3,0)*0.475*44/12</f>
        <v>7.863902959517107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40.460781424870099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>
        <f>VLOOKUP(A167,'Données projet'!$A$87:$I$107,2,0)</f>
        <v>519.77</v>
      </c>
      <c r="BB167" s="12">
        <f>VLOOKUP(A167,'Données projet'!$A$87:$I$107,9,0)</f>
        <v>8.4429999999999943</v>
      </c>
      <c r="BC167" s="12">
        <f t="array" ref="BC167">INDEX(BB:BB,MIN(IF(ISNUMBER(BB167:BB363),ROW(BB167:BB363),"")))</f>
        <v>8.4429999999999943</v>
      </c>
      <c r="BD167" s="12">
        <f>IF('Données projet'!$A$88&gt;35,BD166+BC167-BL166,IF(A167&lt;'Données projet'!$A$88,$BA$205^A167,IF(A167='Données projet'!$A$88,'Données projet'!$B$88,BD166+BC167-BL166)))</f>
        <v>519.77000000000032</v>
      </c>
      <c r="BE167" s="13">
        <f>BD167*VLOOKUP('Données projet'!$B$11,Paramètres!$A$1:$I$89,3,0)*VLOOKUP('Données projet'!$B$11,Paramètres!$A$1:$I$89,5,0)</f>
        <v>470.28789600000022</v>
      </c>
      <c r="BF167" s="13">
        <f t="shared" si="167"/>
        <v>105.88945661390174</v>
      </c>
      <c r="BG167" s="20">
        <f t="shared" si="168"/>
        <v>1003.5088891358791</v>
      </c>
      <c r="BH167" s="59">
        <f t="shared" si="116"/>
        <v>1291.6448208660599</v>
      </c>
      <c r="BI167" s="59">
        <f ca="1">AVERAGE(OFFSET($BH$3,0,0,'Données projet'!$E$11+1,1))-AVERAGE(OFFSET($H$3,0,0,'Données projet'!$E$11+1,1))</f>
        <v>627.65081154031589</v>
      </c>
      <c r="BJ167" s="59">
        <f t="shared" si="146"/>
        <v>288.78083487077618</v>
      </c>
      <c r="BK167" s="15">
        <f>IF(ISNA(VLOOKUP(A167,'Données projet'!$A$87:$I$107,3,0)),0,VLOOKUP(A167,'Données projet'!$A$87:$I$107,3,0))</f>
        <v>14</v>
      </c>
      <c r="BL167" s="15">
        <f>IF(ISNA(VLOOKUP(A167,'Données projet'!$A$87:$I$107,4,0)),0,VLOOKUP(A167,'Données projet'!$A$87:$I$107,4,0))</f>
        <v>59.58</v>
      </c>
      <c r="BM167" s="16">
        <f>IF(ISNA(VLOOKUP(A167,'Données projet'!$A$87:$I$107,5,0)),0%,VLOOKUP(A167,'Données projet'!$A$87:$I$107,5,0)*VLOOKUP('Données projet'!$B$11,Paramètres!$A$1:$I$89,7,0))</f>
        <v>0.25800000000000001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73.687796339175065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73.687796339175065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519.77</v>
      </c>
      <c r="BW167" s="12">
        <f>VLOOKUP(A167,'Données projet'!$A$113:$I$133,9,0)</f>
        <v>8.4429999999999943</v>
      </c>
      <c r="BX167" s="12">
        <f t="array" ref="BX167">INDEX(BW:BW,MIN(IF(ISNUMBER(BW167:BW363),ROW(BW167:BW363),"")))</f>
        <v>8.4429999999999943</v>
      </c>
      <c r="BY167" s="12">
        <f>IF('Données projet'!$A$114&gt;35,BY166+BX167-CG166,IF(A167&lt;'Données projet'!$A$114,$BV$205^A167,IF(A167='Données projet'!$A$114,'Données projet'!$B$114,BY166+BX167-CG166)))</f>
        <v>519.77000000000032</v>
      </c>
      <c r="BZ167" s="13">
        <f>BY167*VLOOKUP('Données projet'!$B$12,Paramètres!$A$1:$I$89,3,0)*VLOOKUP('Données projet'!$B$12,Paramètres!$A$1:$I$89,5,0)</f>
        <v>527.04678000000035</v>
      </c>
      <c r="CA167" s="13">
        <f t="shared" si="170"/>
        <v>117.10568707351568</v>
      </c>
      <c r="CB167" s="20">
        <f t="shared" si="171"/>
        <v>1121.8988801530404</v>
      </c>
      <c r="CC167" s="59">
        <f t="shared" si="119"/>
        <v>1410.0348118832212</v>
      </c>
      <c r="CD167" s="59">
        <f ca="1">AVERAGE(OFFSET($CC$3,0,0,'Données projet'!$E$12+1,1))-AVERAGE(OFFSET($H$3,0,0,'Données projet'!$E$12+1,1))</f>
        <v>692.2706942067415</v>
      </c>
      <c r="CE167" s="59">
        <f t="shared" si="148"/>
        <v>316.17529091924803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0.25800000000000001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82.581151069765184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82.581151069765184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>
        <f>VLOOKUP(A167,'Données projet'!$A$139:$I$159,2,0)</f>
        <v>519.77</v>
      </c>
      <c r="CR167" s="12">
        <f>VLOOKUP(A167,'Données projet'!$A$139:$I$159,9,0)</f>
        <v>8.4429999999999943</v>
      </c>
      <c r="CS167" s="12">
        <f t="array" ref="CS167">INDEX(CR:CR,MIN(IF(ISNUMBER(CR167:CR363),ROW(CR167:CR363),"")))</f>
        <v>8.4429999999999943</v>
      </c>
      <c r="CT167" s="12">
        <f>IF('Données projet'!$A$140&gt;35,CT166+CS167-DB166,IF(A167&lt;'Données projet'!$A$140,$CQ$205^A167,IF(A167='Données projet'!$A$140,'Données projet'!$B$140,CT166+CS167-DB166)))</f>
        <v>519.77000000000032</v>
      </c>
      <c r="CU167" s="17">
        <f>CT167*VLOOKUP('Données projet'!$B$13,Paramètres!$A$1:$I$89,3,0)*VLOOKUP('Données projet'!$B$13,Paramètres!$A$1:$I$89,5,0)</f>
        <v>591.91407600000036</v>
      </c>
      <c r="CV167" s="13">
        <f t="shared" si="173"/>
        <v>129.75372178342079</v>
      </c>
      <c r="CW167" s="20">
        <f t="shared" si="174"/>
        <v>1256.904747806125</v>
      </c>
      <c r="CX167" s="59">
        <f t="shared" si="122"/>
        <v>1545.0406795363056</v>
      </c>
      <c r="CY167" s="59">
        <f ca="1">AVERAGE(OFFSET($CX$3,0,0,'Données projet'!$E$13+1,1))-AVERAGE(OFFSET($H$3,0,0,'Données projet'!$E$13+1,1))</f>
        <v>765.9523557587147</v>
      </c>
      <c r="CZ167" s="59">
        <f t="shared" si="150"/>
        <v>347.40395092312815</v>
      </c>
      <c r="DA167" s="15">
        <f>IF(ISNA(VLOOKUP(A167,'Données projet'!$A$139:$I$159,3,0)),0,VLOOKUP(A167,'Données projet'!$A$139:$I$159,3,0))</f>
        <v>14</v>
      </c>
      <c r="DB167" s="15">
        <f>IF(ISNA(VLOOKUP(A167,'Données projet'!$A$139:$I$159,4,0)),0,VLOOKUP(A167,'Données projet'!$A$139:$I$159,4,0))</f>
        <v>59.58</v>
      </c>
      <c r="DC167" s="16">
        <f>IF(ISNA(VLOOKUP(A167,'Données projet'!$A$139:$I$159,5,0)),0%,VLOOKUP(A167,'Données projet'!$A$139:$I$159,5,0)*VLOOKUP('Données projet'!$B$13,Paramètres!$A$1:$I$89,7,0))</f>
        <v>0.25800000000000001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92.744985047582418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92.744985047582418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146.15384615384625</v>
      </c>
      <c r="DP167" s="17">
        <f>DO167*VLOOKUP('Données projet'!$B$14,Paramètres!$A$1:$I$89,3,0)*VLOOKUP('Données projet'!$B$14,Paramètres!$A$1:$I$89,5,0)</f>
        <v>127.68000000000011</v>
      </c>
      <c r="DQ167" s="13">
        <f t="shared" si="176"/>
        <v>33.45971491465221</v>
      </c>
      <c r="DR167" s="20">
        <f t="shared" si="177"/>
        <v>280.65167014301943</v>
      </c>
      <c r="DS167" s="59">
        <f t="shared" si="125"/>
        <v>568.78760187320017</v>
      </c>
      <c r="DT167" s="59">
        <f ca="1">AVERAGE(OFFSET($DS$3,0,0,'Données projet'!$E$14+1,1))-AVERAGE(OFFSET($H$3,0,0,'Données projet'!$E$14+1,1))</f>
        <v>253.82888243490106</v>
      </c>
      <c r="DU167" s="59">
        <f t="shared" si="152"/>
        <v>224.11983819941796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5.3830493471151648</v>
      </c>
      <c r="EB167" s="21">
        <f>EXP(-LN(2)/25)*EB166+(1-EXP(-LN(2)/25))/(LN(2)/25)*Calculateur!DW167*Calculateur!DY167*VLOOKUP('Données projet'!$B$14,Paramètres!$A$1:$I$89,3,0)*0.475*44/12</f>
        <v>1.4964096188669218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6.8794589659820868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-4.5474735088646412E-13</v>
      </c>
      <c r="O168" s="13">
        <f>N168*VLOOKUP('Données projet'!$B$9,Paramètres!$A$1:$I$89,3,0)*VLOOKUP('Données projet'!$B$9,Paramètres!$A$1:$I$89,5,0)</f>
        <v>-2.1282176021486519E-13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387.50901594883317</v>
      </c>
      <c r="T168" s="59">
        <f t="shared" si="142"/>
        <v>361.3623790401972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62.910533474189307</v>
      </c>
      <c r="AA168" s="21">
        <f>EXP(-LN(2)/25)*AA167+(1-EXP(-LN(2)/25))/(LN(2)/25)*Calculateur!V168*Calculateur!X168*VLOOKUP('Données projet'!$B$9,Paramètres!$A$1:$I$89,3,0)*0.475*44/12</f>
        <v>15.96408338857289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78.874616862762196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373.47758082856359</v>
      </c>
      <c r="AO168" s="59">
        <f t="shared" si="144"/>
        <v>277.24895424120166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31.957673560780087</v>
      </c>
      <c r="AV168" s="21">
        <f>EXP(-LN(2)/25)*AV167+(1-EXP(-LN(2)/25))/(LN(2)/25)*Calculateur!AQ168*Calculateur!AS168*VLOOKUP('Données projet'!$B$10,Paramètres!$A$1:$I$89,3,0)*0.475*44/12</f>
        <v>7.6488641195444282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39.606537680324514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8.5459999999999976</v>
      </c>
      <c r="BD168" s="12">
        <f>IF('Données projet'!$A$88&gt;35,BD167+BC168-BL167,IF(A168&lt;'Données projet'!$A$88,$BA$205^A168,IF(A168='Données projet'!$A$88,'Données projet'!$B$88,BD167+BC168-BL167)))</f>
        <v>468.73600000000039</v>
      </c>
      <c r="BE168" s="13">
        <f>BD168*VLOOKUP('Données projet'!$B$11,Paramètres!$A$1:$I$89,3,0)*VLOOKUP('Données projet'!$B$11,Paramètres!$A$1:$I$89,5,0)</f>
        <v>424.11233280000033</v>
      </c>
      <c r="BF168" s="13">
        <f t="shared" si="167"/>
        <v>96.648293340367189</v>
      </c>
      <c r="BG168" s="20">
        <f t="shared" si="168"/>
        <v>906.99142386114011</v>
      </c>
      <c r="BH168" s="59">
        <f t="shared" si="116"/>
        <v>1195.2175188894862</v>
      </c>
      <c r="BI168" s="59">
        <f ca="1">AVERAGE(OFFSET($BH$3,0,0,'Données projet'!$E$11+1,1))-AVERAGE(OFFSET($H$3,0,0,'Données projet'!$E$11+1,1))</f>
        <v>627.65081154031589</v>
      </c>
      <c r="BJ168" s="59">
        <f t="shared" si="146"/>
        <v>288.78083487077618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72.242823598081642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72.242823598081642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8.5459999999999976</v>
      </c>
      <c r="BY168" s="12">
        <f>IF('Données projet'!$A$114&gt;35,BY167+BX168-CG167,IF(A168&lt;'Données projet'!$A$114,$BV$205^A168,IF(A168='Données projet'!$A$114,'Données projet'!$B$114,BY167+BX168-CG167)))</f>
        <v>468.73600000000039</v>
      </c>
      <c r="BZ168" s="13">
        <f>BY168*VLOOKUP('Données projet'!$B$12,Paramètres!$A$1:$I$89,3,0)*VLOOKUP('Données projet'!$B$12,Paramètres!$A$1:$I$89,5,0)</f>
        <v>475.29830400000037</v>
      </c>
      <c r="CA168" s="13">
        <f t="shared" si="170"/>
        <v>106.88566320039537</v>
      </c>
      <c r="CB168" s="20">
        <f t="shared" si="171"/>
        <v>1013.9704095406892</v>
      </c>
      <c r="CC168" s="59">
        <f t="shared" si="119"/>
        <v>1302.1965045690354</v>
      </c>
      <c r="CD168" s="59">
        <f ca="1">AVERAGE(OFFSET($CC$3,0,0,'Données projet'!$E$12+1,1))-AVERAGE(OFFSET($H$3,0,0,'Données projet'!$E$12+1,1))</f>
        <v>692.2706942067415</v>
      </c>
      <c r="CE168" s="59">
        <f t="shared" si="148"/>
        <v>316.17529091924803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80.961785066815665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80.961785066815665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8.5459999999999976</v>
      </c>
      <c r="CT168" s="12">
        <f>IF('Données projet'!$A$140&gt;35,CT167+CS168-DB167,IF(A168&lt;'Données projet'!$A$140,$CQ$205^A168,IF(A168='Données projet'!$A$140,'Données projet'!$B$140,CT167+CS168-DB167)))</f>
        <v>468.73600000000039</v>
      </c>
      <c r="CU168" s="17">
        <f>CT168*VLOOKUP('Données projet'!$B$13,Paramètres!$A$1:$I$89,3,0)*VLOOKUP('Données projet'!$B$13,Paramètres!$A$1:$I$89,5,0)</f>
        <v>533.79655680000042</v>
      </c>
      <c r="CV168" s="13">
        <f t="shared" si="173"/>
        <v>118.42988117933227</v>
      </c>
      <c r="CW168" s="20">
        <f t="shared" si="174"/>
        <v>1135.9610461473376</v>
      </c>
      <c r="CX168" s="59">
        <f t="shared" si="122"/>
        <v>1424.1871411756838</v>
      </c>
      <c r="CY168" s="59">
        <f ca="1">AVERAGE(OFFSET($CX$3,0,0,'Données projet'!$E$13+1,1))-AVERAGE(OFFSET($H$3,0,0,'Données projet'!$E$13+1,1))</f>
        <v>765.9523557587147</v>
      </c>
      <c r="CZ168" s="59">
        <f t="shared" si="150"/>
        <v>347.40395092312815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90.926312459654497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90.926312459654497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146.15384615384625</v>
      </c>
      <c r="DP168" s="17">
        <f>DO168*VLOOKUP('Données projet'!$B$14,Paramètres!$A$1:$I$89,3,0)*VLOOKUP('Données projet'!$B$14,Paramètres!$A$1:$I$89,5,0)</f>
        <v>127.68000000000011</v>
      </c>
      <c r="DQ168" s="13">
        <f t="shared" si="176"/>
        <v>33.45971491465221</v>
      </c>
      <c r="DR168" s="20">
        <f t="shared" si="177"/>
        <v>280.65167014301943</v>
      </c>
      <c r="DS168" s="59">
        <f t="shared" si="125"/>
        <v>568.87776517136558</v>
      </c>
      <c r="DT168" s="59">
        <f ca="1">AVERAGE(OFFSET($DS$3,0,0,'Données projet'!$E$14+1,1))-AVERAGE(OFFSET($H$3,0,0,'Données projet'!$E$14+1,1))</f>
        <v>253.82888243490106</v>
      </c>
      <c r="DU168" s="59">
        <f t="shared" si="152"/>
        <v>224.11983819941796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5.2774910327541358</v>
      </c>
      <c r="EB168" s="21">
        <f>EXP(-LN(2)/25)*EB167+(1-EXP(-LN(2)/25))/(LN(2)/25)*Calculateur!DW168*Calculateur!DY168*VLOOKUP('Données projet'!$B$14,Paramètres!$A$1:$I$89,3,0)*0.475*44/12</f>
        <v>1.455490219146244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6.7329812519003802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-4.5474735088646412E-13</v>
      </c>
      <c r="O169" s="13">
        <f>N169*VLOOKUP('Données projet'!$B$9,Paramètres!$A$1:$I$89,3,0)*VLOOKUP('Données projet'!$B$9,Paramètres!$A$1:$I$89,5,0)</f>
        <v>-2.1282176021486519E-13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387.50901594883317</v>
      </c>
      <c r="T169" s="59">
        <f t="shared" si="142"/>
        <v>361.3623790401972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61.676896284396989</v>
      </c>
      <c r="AA169" s="21">
        <f>EXP(-LN(2)/25)*AA168+(1-EXP(-LN(2)/25))/(LN(2)/25)*Calculateur!V169*Calculateur!X169*VLOOKUP('Données projet'!$B$9,Paramètres!$A$1:$I$89,3,0)*0.475*44/12</f>
        <v>15.527544688797706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77.204440973194693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373.47758082856359</v>
      </c>
      <c r="AO169" s="59">
        <f t="shared" si="144"/>
        <v>277.24895424120166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31.331003074509361</v>
      </c>
      <c r="AV169" s="21">
        <f>EXP(-LN(2)/25)*AV168+(1-EXP(-LN(2)/25))/(LN(2)/25)*Calculateur!AQ169*Calculateur!AS169*VLOOKUP('Données projet'!$B$10,Paramètres!$A$1:$I$89,3,0)*0.475*44/12</f>
        <v>7.4397055279592035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38.770708602468567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8.5459999999999976</v>
      </c>
      <c r="BD169" s="12">
        <f>IF('Données projet'!$A$88&gt;35,BD168+BC169-BL168,IF(A169&lt;'Données projet'!$A$88,$BA$205^A169,IF(A169='Données projet'!$A$88,'Données projet'!$B$88,BD168+BC169-BL168)))</f>
        <v>477.28200000000038</v>
      </c>
      <c r="BE169" s="13">
        <f>BD169*VLOOKUP('Données projet'!$B$11,Paramètres!$A$1:$I$89,3,0)*VLOOKUP('Données projet'!$B$11,Paramètres!$A$1:$I$89,5,0)</f>
        <v>431.84475360000033</v>
      </c>
      <c r="BF169" s="13">
        <f t="shared" si="167"/>
        <v>98.203637489221336</v>
      </c>
      <c r="BG169" s="20">
        <f t="shared" si="168"/>
        <v>923.16761448039449</v>
      </c>
      <c r="BH169" s="59">
        <f t="shared" si="116"/>
        <v>1211.4823086752579</v>
      </c>
      <c r="BI169" s="59">
        <f ca="1">AVERAGE(OFFSET($BH$3,0,0,'Données projet'!$E$11+1,1))-AVERAGE(OFFSET($H$3,0,0,'Données projet'!$E$11+1,1))</f>
        <v>627.65081154031589</v>
      </c>
      <c r="BJ169" s="59">
        <f t="shared" si="146"/>
        <v>288.78083487077618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70.826185891094724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70.826185891094724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8.5459999999999976</v>
      </c>
      <c r="BY169" s="12">
        <f>IF('Données projet'!$A$114&gt;35,BY168+BX169-CG168,IF(A169&lt;'Données projet'!$A$114,$BV$205^A169,IF(A169='Données projet'!$A$114,'Données projet'!$B$114,BY168+BX169-CG168)))</f>
        <v>477.28200000000038</v>
      </c>
      <c r="BZ169" s="13">
        <f>BY169*VLOOKUP('Données projet'!$B$12,Paramètres!$A$1:$I$89,3,0)*VLOOKUP('Données projet'!$B$12,Paramètres!$A$1:$I$89,5,0)</f>
        <v>483.96394800000041</v>
      </c>
      <c r="CA169" s="13">
        <f t="shared" si="170"/>
        <v>108.6057555590847</v>
      </c>
      <c r="CB169" s="20">
        <f t="shared" si="171"/>
        <v>1032.0589003654065</v>
      </c>
      <c r="CC169" s="59">
        <f t="shared" si="119"/>
        <v>1320.37359456027</v>
      </c>
      <c r="CD169" s="59">
        <f ca="1">AVERAGE(OFFSET($CC$3,0,0,'Données projet'!$E$12+1,1))-AVERAGE(OFFSET($H$3,0,0,'Données projet'!$E$12+1,1))</f>
        <v>692.2706942067415</v>
      </c>
      <c r="CE169" s="59">
        <f t="shared" si="148"/>
        <v>316.17529091924803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79.374173843468256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79.374173843468256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8.5459999999999976</v>
      </c>
      <c r="CT169" s="12">
        <f>IF('Données projet'!$A$140&gt;35,CT168+CS169-DB168,IF(A169&lt;'Données projet'!$A$140,$CQ$205^A169,IF(A169='Données projet'!$A$140,'Données projet'!$B$140,CT168+CS169-DB168)))</f>
        <v>477.28200000000038</v>
      </c>
      <c r="CU169" s="17">
        <f>CT169*VLOOKUP('Données projet'!$B$13,Paramètres!$A$1:$I$89,3,0)*VLOOKUP('Données projet'!$B$13,Paramètres!$A$1:$I$89,5,0)</f>
        <v>543.52874160000044</v>
      </c>
      <c r="CV169" s="13">
        <f t="shared" si="173"/>
        <v>120.33575262698496</v>
      </c>
      <c r="CW169" s="20">
        <f t="shared" si="174"/>
        <v>1156.2306607786661</v>
      </c>
      <c r="CX169" s="59">
        <f t="shared" si="122"/>
        <v>1444.5453549735296</v>
      </c>
      <c r="CY169" s="59">
        <f ca="1">AVERAGE(OFFSET($CX$3,0,0,'Données projet'!$E$13+1,1))-AVERAGE(OFFSET($H$3,0,0,'Données projet'!$E$13+1,1))</f>
        <v>765.9523557587147</v>
      </c>
      <c r="CZ169" s="59">
        <f t="shared" si="150"/>
        <v>347.40395092312815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89.143302931895093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89.143302931895093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146.15384615384625</v>
      </c>
      <c r="DP169" s="17">
        <f>DO169*VLOOKUP('Données projet'!$B$14,Paramètres!$A$1:$I$89,3,0)*VLOOKUP('Données projet'!$B$14,Paramètres!$A$1:$I$89,5,0)</f>
        <v>127.68000000000011</v>
      </c>
      <c r="DQ169" s="13">
        <f t="shared" si="176"/>
        <v>33.45971491465221</v>
      </c>
      <c r="DR169" s="20">
        <f t="shared" si="177"/>
        <v>280.65167014301943</v>
      </c>
      <c r="DS169" s="59">
        <f t="shared" si="125"/>
        <v>568.96636433788285</v>
      </c>
      <c r="DT169" s="59">
        <f ca="1">AVERAGE(OFFSET($DS$3,0,0,'Données projet'!$E$14+1,1))-AVERAGE(OFFSET($H$3,0,0,'Données projet'!$E$14+1,1))</f>
        <v>253.82888243490106</v>
      </c>
      <c r="DU169" s="59">
        <f t="shared" si="152"/>
        <v>224.11983819941796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5.1740026525535123</v>
      </c>
      <c r="EB169" s="21">
        <f>EXP(-LN(2)/25)*EB168+(1-EXP(-LN(2)/25))/(LN(2)/25)*Calculateur!DW169*Calculateur!DY169*VLOOKUP('Données projet'!$B$14,Paramètres!$A$1:$I$89,3,0)*0.475*44/12</f>
        <v>1.415689762562786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6.5896924151162981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-4.5474735088646412E-13</v>
      </c>
      <c r="O170" s="13">
        <f>N170*VLOOKUP('Données projet'!$B$9,Paramètres!$A$1:$I$89,3,0)*VLOOKUP('Données projet'!$B$9,Paramètres!$A$1:$I$89,5,0)</f>
        <v>-2.1282176021486519E-13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387.50901594883317</v>
      </c>
      <c r="T170" s="59">
        <f t="shared" si="142"/>
        <v>361.3623790401972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60.467449967452112</v>
      </c>
      <c r="AA170" s="21">
        <f>EXP(-LN(2)/25)*AA169+(1-EXP(-LN(2)/25))/(LN(2)/25)*Calculateur!V170*Calculateur!X170*VLOOKUP('Données projet'!$B$9,Paramètres!$A$1:$I$89,3,0)*0.475*44/12</f>
        <v>15.102943162724445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75.570393130176555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373.47758082856359</v>
      </c>
      <c r="AO170" s="59">
        <f t="shared" si="144"/>
        <v>277.24895424120166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30.716621214243151</v>
      </c>
      <c r="AV170" s="21">
        <f>EXP(-LN(2)/25)*AV169+(1-EXP(-LN(2)/25))/(LN(2)/25)*Calculateur!AQ170*Calculateur!AS170*VLOOKUP('Données projet'!$B$10,Paramètres!$A$1:$I$89,3,0)*0.475*44/12</f>
        <v>7.2362663890600487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37.952887603303196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8.5459999999999976</v>
      </c>
      <c r="BD170" s="12">
        <f>IF('Données projet'!$A$88&gt;35,BD169+BC170-BL169,IF(A170&lt;'Données projet'!$A$88,$BA$205^A170,IF(A170='Données projet'!$A$88,'Données projet'!$B$88,BD169+BC170-BL169)))</f>
        <v>485.82800000000037</v>
      </c>
      <c r="BE170" s="13">
        <f>BD170*VLOOKUP('Données projet'!$B$11,Paramètres!$A$1:$I$89,3,0)*VLOOKUP('Données projet'!$B$11,Paramètres!$A$1:$I$89,5,0)</f>
        <v>439.57717440000033</v>
      </c>
      <c r="BF170" s="13">
        <f t="shared" si="167"/>
        <v>99.755743172047673</v>
      </c>
      <c r="BG170" s="20">
        <f t="shared" si="168"/>
        <v>939.33816477131688</v>
      </c>
      <c r="BH170" s="59">
        <f t="shared" si="116"/>
        <v>1227.7399211352365</v>
      </c>
      <c r="BI170" s="59">
        <f ca="1">AVERAGE(OFFSET($BH$3,0,0,'Données projet'!$E$11+1,1))-AVERAGE(OFFSET($H$3,0,0,'Données projet'!$E$11+1,1))</f>
        <v>627.65081154031589</v>
      </c>
      <c r="BJ170" s="59">
        <f t="shared" si="146"/>
        <v>288.78083487077618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69.43732758547813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69.43732758547813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8.5459999999999976</v>
      </c>
      <c r="BY170" s="12">
        <f>IF('Données projet'!$A$114&gt;35,BY169+BX170-CG169,IF(A170&lt;'Données projet'!$A$114,$BV$205^A170,IF(A170='Données projet'!$A$114,'Données projet'!$B$114,BY169+BX170-CG169)))</f>
        <v>485.82800000000037</v>
      </c>
      <c r="BZ170" s="13">
        <f>BY170*VLOOKUP('Données projet'!$B$12,Paramètres!$A$1:$I$89,3,0)*VLOOKUP('Données projet'!$B$12,Paramètres!$A$1:$I$89,5,0)</f>
        <v>492.6295920000004</v>
      </c>
      <c r="CA170" s="13">
        <f t="shared" si="170"/>
        <v>110.3222664206035</v>
      </c>
      <c r="CB170" s="20">
        <f t="shared" si="171"/>
        <v>1050.1411534158851</v>
      </c>
      <c r="CC170" s="59">
        <f t="shared" si="119"/>
        <v>1338.5429097798046</v>
      </c>
      <c r="CD170" s="59">
        <f ca="1">AVERAGE(OFFSET($CC$3,0,0,'Données projet'!$E$12+1,1))-AVERAGE(OFFSET($H$3,0,0,'Données projet'!$E$12+1,1))</f>
        <v>692.2706942067415</v>
      </c>
      <c r="CE170" s="59">
        <f t="shared" si="148"/>
        <v>316.17529091924803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77.817694707863453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77.817694707863453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8.5459999999999976</v>
      </c>
      <c r="CT170" s="12">
        <f>IF('Données projet'!$A$140&gt;35,CT169+CS170-DB169,IF(A170&lt;'Données projet'!$A$140,$CQ$205^A170,IF(A170='Données projet'!$A$140,'Données projet'!$B$140,CT169+CS170-DB169)))</f>
        <v>485.82800000000037</v>
      </c>
      <c r="CU170" s="17">
        <f>CT170*VLOOKUP('Données projet'!$B$13,Paramètres!$A$1:$I$89,3,0)*VLOOKUP('Données projet'!$B$13,Paramètres!$A$1:$I$89,5,0)</f>
        <v>553.26092640000036</v>
      </c>
      <c r="CV170" s="13">
        <f t="shared" si="173"/>
        <v>122.23765575679548</v>
      </c>
      <c r="CW170" s="20">
        <f t="shared" si="174"/>
        <v>1176.493363923086</v>
      </c>
      <c r="CX170" s="59">
        <f t="shared" si="122"/>
        <v>1464.8951202870057</v>
      </c>
      <c r="CY170" s="59">
        <f ca="1">AVERAGE(OFFSET($CX$3,0,0,'Données projet'!$E$13+1,1))-AVERAGE(OFFSET($H$3,0,0,'Données projet'!$E$13+1,1))</f>
        <v>765.9523557587147</v>
      </c>
      <c r="CZ170" s="59">
        <f t="shared" si="150"/>
        <v>347.40395092312815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87.39525713344662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87.39525713344662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146.15384615384625</v>
      </c>
      <c r="DP170" s="17">
        <f>DO170*VLOOKUP('Données projet'!$B$14,Paramètres!$A$1:$I$89,3,0)*VLOOKUP('Données projet'!$B$14,Paramètres!$A$1:$I$89,5,0)</f>
        <v>127.68000000000011</v>
      </c>
      <c r="DQ170" s="13">
        <f t="shared" si="176"/>
        <v>33.45971491465221</v>
      </c>
      <c r="DR170" s="20">
        <f t="shared" si="177"/>
        <v>280.65167014301943</v>
      </c>
      <c r="DS170" s="59">
        <f t="shared" si="125"/>
        <v>569.0534265069391</v>
      </c>
      <c r="DT170" s="59">
        <f ca="1">AVERAGE(OFFSET($DS$3,0,0,'Données projet'!$E$14+1,1))-AVERAGE(OFFSET($H$3,0,0,'Données projet'!$E$14+1,1))</f>
        <v>253.82888243490106</v>
      </c>
      <c r="DU170" s="59">
        <f t="shared" si="152"/>
        <v>224.11983819941796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5.0725436163669437</v>
      </c>
      <c r="EB170" s="21">
        <f>EXP(-LN(2)/25)*EB169+(1-EXP(-LN(2)/25))/(LN(2)/25)*Calculateur!DW170*Calculateur!DY170*VLOOKUP('Données projet'!$B$14,Paramètres!$A$1:$I$89,3,0)*0.475*44/12</f>
        <v>1.3769776515576175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6.4495212679245615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-4.5474735088646412E-13</v>
      </c>
      <c r="O171" s="13">
        <f>N171*VLOOKUP('Données projet'!$B$9,Paramètres!$A$1:$I$89,3,0)*VLOOKUP('Données projet'!$B$9,Paramètres!$A$1:$I$89,5,0)</f>
        <v>-2.1282176021486519E-13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387.50901594883317</v>
      </c>
      <c r="T171" s="59">
        <f t="shared" si="142"/>
        <v>361.3623790401972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59.281720155093112</v>
      </c>
      <c r="AA171" s="21">
        <f>EXP(-LN(2)/25)*AA170+(1-EXP(-LN(2)/25))/(LN(2)/25)*Calculateur!V171*Calculateur!X171*VLOOKUP('Données projet'!$B$9,Paramètres!$A$1:$I$89,3,0)*0.475*44/12</f>
        <v>14.689952387710482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73.971672542803589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373.47758082856359</v>
      </c>
      <c r="AO171" s="59">
        <f t="shared" si="144"/>
        <v>277.24895424120166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30.114287007520826</v>
      </c>
      <c r="AV171" s="21">
        <f>EXP(-LN(2)/25)*AV170+(1-EXP(-LN(2)/25))/(LN(2)/25)*Calculateur!AQ171*Calculateur!AS171*VLOOKUP('Données projet'!$B$10,Paramètres!$A$1:$I$89,3,0)*0.475*44/12</f>
        <v>7.0383903041124913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37.152677311633319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8.5459999999999976</v>
      </c>
      <c r="BD171" s="12">
        <f>IF('Données projet'!$A$88&gt;35,BD170+BC171-BL170,IF(A171&lt;'Données projet'!$A$88,$BA$205^A171,IF(A171='Données projet'!$A$88,'Données projet'!$B$88,BD170+BC171-BL170)))</f>
        <v>494.37400000000036</v>
      </c>
      <c r="BE171" s="13">
        <f>BD171*VLOOKUP('Données projet'!$B$11,Paramètres!$A$1:$I$89,3,0)*VLOOKUP('Données projet'!$B$11,Paramètres!$A$1:$I$89,5,0)</f>
        <v>447.30959520000027</v>
      </c>
      <c r="BF171" s="13">
        <f t="shared" si="167"/>
        <v>101.30467392781068</v>
      </c>
      <c r="BG171" s="20">
        <f t="shared" si="168"/>
        <v>955.50318539760417</v>
      </c>
      <c r="BH171" s="59">
        <f t="shared" si="116"/>
        <v>1243.9904935965887</v>
      </c>
      <c r="BI171" s="59">
        <f ca="1">AVERAGE(OFFSET($BH$3,0,0,'Données projet'!$E$11+1,1))-AVERAGE(OFFSET($H$3,0,0,'Données projet'!$E$11+1,1))</f>
        <v>627.65081154031589</v>
      </c>
      <c r="BJ171" s="59">
        <f t="shared" si="146"/>
        <v>288.78083487077618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68.075703944114764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68.075703944114764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8.5459999999999976</v>
      </c>
      <c r="BY171" s="12">
        <f>IF('Données projet'!$A$114&gt;35,BY170+BX171-CG170,IF(A171&lt;'Données projet'!$A$114,$BV$205^A171,IF(A171='Données projet'!$A$114,'Données projet'!$B$114,BY170+BX171-CG170)))</f>
        <v>494.37400000000036</v>
      </c>
      <c r="BZ171" s="13">
        <f>BY171*VLOOKUP('Données projet'!$B$12,Paramètres!$A$1:$I$89,3,0)*VLOOKUP('Données projet'!$B$12,Paramètres!$A$1:$I$89,5,0)</f>
        <v>501.29523600000039</v>
      </c>
      <c r="CA171" s="13">
        <f t="shared" si="170"/>
        <v>112.03526605421492</v>
      </c>
      <c r="CB171" s="20">
        <f t="shared" si="171"/>
        <v>1068.2172910777583</v>
      </c>
      <c r="CC171" s="59">
        <f t="shared" si="119"/>
        <v>1356.7045992767428</v>
      </c>
      <c r="CD171" s="59">
        <f ca="1">AVERAGE(OFFSET($CC$3,0,0,'Données projet'!$E$12+1,1))-AVERAGE(OFFSET($H$3,0,0,'Données projet'!$E$12+1,1))</f>
        <v>692.2706942067415</v>
      </c>
      <c r="CE171" s="59">
        <f t="shared" si="148"/>
        <v>316.17529091924803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76.291737178749329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76.291737178749329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8.5459999999999976</v>
      </c>
      <c r="CT171" s="12">
        <f>IF('Données projet'!$A$140&gt;35,CT170+CS171-DB170,IF(A171&lt;'Données projet'!$A$140,$CQ$205^A171,IF(A171='Données projet'!$A$140,'Données projet'!$B$140,CT170+CS171-DB170)))</f>
        <v>494.37400000000036</v>
      </c>
      <c r="CU171" s="17">
        <f>CT171*VLOOKUP('Données projet'!$B$13,Paramètres!$A$1:$I$89,3,0)*VLOOKUP('Données projet'!$B$13,Paramètres!$A$1:$I$89,5,0)</f>
        <v>562.99311120000038</v>
      </c>
      <c r="CV171" s="13">
        <f t="shared" si="173"/>
        <v>124.13566842747973</v>
      </c>
      <c r="CW171" s="20">
        <f t="shared" si="174"/>
        <v>1196.7492911845277</v>
      </c>
      <c r="CX171" s="59">
        <f t="shared" si="122"/>
        <v>1485.2365993835122</v>
      </c>
      <c r="CY171" s="59">
        <f ca="1">AVERAGE(OFFSET($CX$3,0,0,'Données projet'!$E$13+1,1))-AVERAGE(OFFSET($H$3,0,0,'Données projet'!$E$13+1,1))</f>
        <v>765.9523557587147</v>
      </c>
      <c r="CZ171" s="59">
        <f t="shared" si="150"/>
        <v>347.40395092312815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85.681489446903072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85.681489446903072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146.15384615384625</v>
      </c>
      <c r="DP171" s="17">
        <f>DO171*VLOOKUP('Données projet'!$B$14,Paramètres!$A$1:$I$89,3,0)*VLOOKUP('Données projet'!$B$14,Paramètres!$A$1:$I$89,5,0)</f>
        <v>127.68000000000011</v>
      </c>
      <c r="DQ171" s="13">
        <f t="shared" si="176"/>
        <v>33.45971491465221</v>
      </c>
      <c r="DR171" s="20">
        <f t="shared" si="177"/>
        <v>280.65167014301943</v>
      </c>
      <c r="DS171" s="59">
        <f t="shared" si="125"/>
        <v>569.13897834200395</v>
      </c>
      <c r="DT171" s="59">
        <f ca="1">AVERAGE(OFFSET($DS$3,0,0,'Données projet'!$E$14+1,1))-AVERAGE(OFFSET($H$3,0,0,'Données projet'!$E$14+1,1))</f>
        <v>253.82888243490106</v>
      </c>
      <c r="DU171" s="59">
        <f t="shared" si="152"/>
        <v>224.11983819941796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4.9730741299960926</v>
      </c>
      <c r="EB171" s="21">
        <f>EXP(-LN(2)/25)*EB170+(1-EXP(-LN(2)/25))/(LN(2)/25)*Calculateur!DW171*Calculateur!DY171*VLOOKUP('Données projet'!$B$14,Paramètres!$A$1:$I$89,3,0)*0.475*44/12</f>
        <v>1.339324125263667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6.3123982552597599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-4.5474735088646412E-13</v>
      </c>
      <c r="O172" s="13">
        <f>N172*VLOOKUP('Données projet'!$B$9,Paramètres!$A$1:$I$89,3,0)*VLOOKUP('Données projet'!$B$9,Paramètres!$A$1:$I$89,5,0)</f>
        <v>-2.1282176021486519E-13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387.50901594883317</v>
      </c>
      <c r="T172" s="59">
        <f t="shared" si="142"/>
        <v>361.3623790401972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58.119241781130697</v>
      </c>
      <c r="AA172" s="21">
        <f>EXP(-LN(2)/25)*AA171+(1-EXP(-LN(2)/25))/(LN(2)/25)*Calculateur!V172*Calculateur!X172*VLOOKUP('Données projet'!$B$9,Paramètres!$A$1:$I$89,3,0)*0.475*44/12</f>
        <v>14.288254867157518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72.407496648288216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373.47758082856359</v>
      </c>
      <c r="AO172" s="59">
        <f t="shared" si="144"/>
        <v>277.24895424120166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29.523764207204739</v>
      </c>
      <c r="AV172" s="21">
        <f>EXP(-LN(2)/25)*AV171+(1-EXP(-LN(2)/25))/(LN(2)/25)*Calculateur!AQ172*Calculateur!AS172*VLOOKUP('Données projet'!$B$10,Paramètres!$A$1:$I$89,3,0)*0.475*44/12</f>
        <v>6.8459251511136756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36.369689358318411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8.5459999999999976</v>
      </c>
      <c r="BD172" s="12">
        <f>IF('Données projet'!$A$88&gt;35,BD171+BC172-BL171,IF(A172&lt;'Données projet'!$A$88,$BA$205^A172,IF(A172='Données projet'!$A$88,'Données projet'!$B$88,BD171+BC172-BL171)))</f>
        <v>502.92000000000036</v>
      </c>
      <c r="BE172" s="13">
        <f>BD172*VLOOKUP('Données projet'!$B$11,Paramètres!$A$1:$I$89,3,0)*VLOOKUP('Données projet'!$B$11,Paramètres!$A$1:$I$89,5,0)</f>
        <v>455.04201600000027</v>
      </c>
      <c r="BF172" s="13">
        <f t="shared" si="167"/>
        <v>102.85049097288233</v>
      </c>
      <c r="BG172" s="20">
        <f t="shared" si="168"/>
        <v>971.66278297777069</v>
      </c>
      <c r="BH172" s="59">
        <f t="shared" si="116"/>
        <v>1260.2341588787472</v>
      </c>
      <c r="BI172" s="59">
        <f ca="1">AVERAGE(OFFSET($BH$3,0,0,'Données projet'!$E$11+1,1))-AVERAGE(OFFSET($H$3,0,0,'Données projet'!$E$11+1,1))</f>
        <v>627.65081154031589</v>
      </c>
      <c r="BJ172" s="59">
        <f t="shared" si="146"/>
        <v>288.78083487077618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66.740780911850109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66.740780911850109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8.5459999999999976</v>
      </c>
      <c r="BY172" s="12">
        <f>IF('Données projet'!$A$114&gt;35,BY171+BX172-CG171,IF(A172&lt;'Données projet'!$A$114,$BV$205^A172,IF(A172='Données projet'!$A$114,'Données projet'!$B$114,BY171+BX172-CG171)))</f>
        <v>502.92000000000036</v>
      </c>
      <c r="BZ172" s="13">
        <f>BY172*VLOOKUP('Données projet'!$B$12,Paramètres!$A$1:$I$89,3,0)*VLOOKUP('Données projet'!$B$12,Paramètres!$A$1:$I$89,5,0)</f>
        <v>509.96088000000043</v>
      </c>
      <c r="CA172" s="13">
        <f t="shared" si="170"/>
        <v>113.74482216057152</v>
      </c>
      <c r="CB172" s="20">
        <f t="shared" si="171"/>
        <v>1086.2874312629961</v>
      </c>
      <c r="CC172" s="59">
        <f t="shared" si="119"/>
        <v>1374.8588071639724</v>
      </c>
      <c r="CD172" s="59">
        <f ca="1">AVERAGE(OFFSET($CC$3,0,0,'Données projet'!$E$12+1,1))-AVERAGE(OFFSET($H$3,0,0,'Données projet'!$E$12+1,1))</f>
        <v>692.2706942067415</v>
      </c>
      <c r="CE172" s="59">
        <f t="shared" si="148"/>
        <v>316.17529091924803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74.795702746038941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74.795702746038941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8.5459999999999976</v>
      </c>
      <c r="CT172" s="12">
        <f>IF('Données projet'!$A$140&gt;35,CT171+CS172-DB171,IF(A172&lt;'Données projet'!$A$140,$CQ$205^A172,IF(A172='Données projet'!$A$140,'Données projet'!$B$140,CT171+CS172-DB171)))</f>
        <v>502.92000000000036</v>
      </c>
      <c r="CU172" s="17">
        <f>CT172*VLOOKUP('Données projet'!$B$13,Paramètres!$A$1:$I$89,3,0)*VLOOKUP('Données projet'!$B$13,Paramètres!$A$1:$I$89,5,0)</f>
        <v>572.72529600000041</v>
      </c>
      <c r="CV172" s="13">
        <f t="shared" si="173"/>
        <v>126.02986565171948</v>
      </c>
      <c r="CW172" s="20">
        <f t="shared" si="174"/>
        <v>1216.9985732100788</v>
      </c>
      <c r="CX172" s="59">
        <f t="shared" si="122"/>
        <v>1505.5699491110552</v>
      </c>
      <c r="CY172" s="59">
        <f ca="1">AVERAGE(OFFSET($CX$3,0,0,'Données projet'!$E$13+1,1))-AVERAGE(OFFSET($H$3,0,0,'Données projet'!$E$13+1,1))</f>
        <v>765.9523557587147</v>
      </c>
      <c r="CZ172" s="59">
        <f t="shared" si="150"/>
        <v>347.40395092312815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84.001327699397564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84.001327699397564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146.15384615384625</v>
      </c>
      <c r="DP172" s="17">
        <f>DO172*VLOOKUP('Données projet'!$B$14,Paramètres!$A$1:$I$89,3,0)*VLOOKUP('Données projet'!$B$14,Paramètres!$A$1:$I$89,5,0)</f>
        <v>127.68000000000011</v>
      </c>
      <c r="DQ172" s="13">
        <f t="shared" si="176"/>
        <v>33.45971491465221</v>
      </c>
      <c r="DR172" s="20">
        <f t="shared" si="177"/>
        <v>280.65167014301943</v>
      </c>
      <c r="DS172" s="59">
        <f t="shared" si="125"/>
        <v>569.22304604399585</v>
      </c>
      <c r="DT172" s="59">
        <f ca="1">AVERAGE(OFFSET($DS$3,0,0,'Données projet'!$E$14+1,1))-AVERAGE(OFFSET($H$3,0,0,'Données projet'!$E$14+1,1))</f>
        <v>253.82888243490106</v>
      </c>
      <c r="DU172" s="59">
        <f t="shared" si="152"/>
        <v>224.11983819941796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4.8755551795825776</v>
      </c>
      <c r="EB172" s="21">
        <f>EXP(-LN(2)/25)*EB171+(1-EXP(-LN(2)/25))/(LN(2)/25)*Calculateur!DW172*Calculateur!DY172*VLOOKUP('Données projet'!$B$14,Paramètres!$A$1:$I$89,3,0)*0.475*44/12</f>
        <v>1.3027002366263374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6.1782554162089145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-4.5474735088646412E-13</v>
      </c>
      <c r="O173" s="13">
        <f>N173*VLOOKUP('Données projet'!$B$9,Paramètres!$A$1:$I$89,3,0)*VLOOKUP('Données projet'!$B$9,Paramètres!$A$1:$I$89,5,0)</f>
        <v>-2.1282176021486519E-13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387.50901594883317</v>
      </c>
      <c r="T173" s="59">
        <f t="shared" si="142"/>
        <v>361.3623790401972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56.979558899039887</v>
      </c>
      <c r="AA173" s="21">
        <f>EXP(-LN(2)/25)*AA172+(1-EXP(-LN(2)/25))/(LN(2)/25)*Calculateur!V173*Calculateur!X173*VLOOKUP('Données projet'!$B$9,Paramètres!$A$1:$I$89,3,0)*0.475*44/12</f>
        <v>13.897541786428429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70.877100685468321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373.47758082856359</v>
      </c>
      <c r="AO173" s="59">
        <f t="shared" si="144"/>
        <v>277.24895424120166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28.944821198819504</v>
      </c>
      <c r="AV173" s="21">
        <f>EXP(-LN(2)/25)*AV172+(1-EXP(-LN(2)/25))/(LN(2)/25)*Calculateur!AQ173*Calculateur!AS173*VLOOKUP('Données projet'!$B$10,Paramètres!$A$1:$I$89,3,0)*0.475*44/12</f>
        <v>6.6587229678449154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35.60354416666442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8.5459999999999976</v>
      </c>
      <c r="BD173" s="12">
        <f>IF('Données projet'!$A$88&gt;35,BD172+BC173-BL172,IF(A173&lt;'Données projet'!$A$88,$BA$205^A173,IF(A173='Données projet'!$A$88,'Données projet'!$B$88,BD172+BC173-BL172)))</f>
        <v>511.46600000000035</v>
      </c>
      <c r="BE173" s="13">
        <f>BD173*VLOOKUP('Données projet'!$B$11,Paramètres!$A$1:$I$89,3,0)*VLOOKUP('Données projet'!$B$11,Paramètres!$A$1:$I$89,5,0)</f>
        <v>462.77443680000027</v>
      </c>
      <c r="BF173" s="13">
        <f t="shared" si="167"/>
        <v>104.39325332394039</v>
      </c>
      <c r="BG173" s="20">
        <f t="shared" si="168"/>
        <v>987.81706029919678</v>
      </c>
      <c r="BH173" s="59">
        <f t="shared" si="116"/>
        <v>1276.4710455154827</v>
      </c>
      <c r="BI173" s="59">
        <f ca="1">AVERAGE(OFFSET($BH$3,0,0,'Données projet'!$E$11+1,1))-AVERAGE(OFFSET($H$3,0,0,'Données projet'!$E$11+1,1))</f>
        <v>627.65081154031589</v>
      </c>
      <c r="BJ173" s="59">
        <f t="shared" si="146"/>
        <v>288.78083487077618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65.432034906025521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65.432034906025521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8.5459999999999976</v>
      </c>
      <c r="BY173" s="12">
        <f>IF('Données projet'!$A$114&gt;35,BY172+BX173-CG172,IF(A173&lt;'Données projet'!$A$114,$BV$205^A173,IF(A173='Données projet'!$A$114,'Données projet'!$B$114,BY172+BX173-CG172)))</f>
        <v>511.46600000000035</v>
      </c>
      <c r="BZ173" s="13">
        <f>BY173*VLOOKUP('Données projet'!$B$12,Paramètres!$A$1:$I$89,3,0)*VLOOKUP('Données projet'!$B$12,Paramètres!$A$1:$I$89,5,0)</f>
        <v>518.62652400000036</v>
      </c>
      <c r="CA173" s="13">
        <f t="shared" si="170"/>
        <v>115.45100000763091</v>
      </c>
      <c r="CB173" s="20">
        <f t="shared" si="171"/>
        <v>1104.3516876466244</v>
      </c>
      <c r="CC173" s="59">
        <f t="shared" si="119"/>
        <v>1393.0056728629104</v>
      </c>
      <c r="CD173" s="59">
        <f ca="1">AVERAGE(OFFSET($CC$3,0,0,'Données projet'!$E$12+1,1))-AVERAGE(OFFSET($H$3,0,0,'Données projet'!$E$12+1,1))</f>
        <v>692.2706942067415</v>
      </c>
      <c r="CE173" s="59">
        <f t="shared" si="148"/>
        <v>316.17529091924803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73.329004636063104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73.329004636063104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8.5459999999999976</v>
      </c>
      <c r="CT173" s="12">
        <f>IF('Données projet'!$A$140&gt;35,CT172+CS173-DB172,IF(A173&lt;'Données projet'!$A$140,$CQ$205^A173,IF(A173='Données projet'!$A$140,'Données projet'!$B$140,CT172+CS173-DB172)))</f>
        <v>511.46600000000035</v>
      </c>
      <c r="CU173" s="17">
        <f>CT173*VLOOKUP('Données projet'!$B$13,Paramètres!$A$1:$I$89,3,0)*VLOOKUP('Données projet'!$B$13,Paramètres!$A$1:$I$89,5,0)</f>
        <v>582.45748080000033</v>
      </c>
      <c r="CV173" s="13">
        <f t="shared" si="173"/>
        <v>127.9203197467576</v>
      </c>
      <c r="CW173" s="20">
        <f t="shared" si="174"/>
        <v>1237.24133595227</v>
      </c>
      <c r="CX173" s="59">
        <f t="shared" si="122"/>
        <v>1525.8953211685559</v>
      </c>
      <c r="CY173" s="59">
        <f ca="1">AVERAGE(OFFSET($CX$3,0,0,'Données projet'!$E$13+1,1))-AVERAGE(OFFSET($H$3,0,0,'Données projet'!$E$13+1,1))</f>
        <v>765.9523557587147</v>
      </c>
      <c r="CZ173" s="59">
        <f t="shared" si="150"/>
        <v>347.40395092312815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82.354112898963166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82.354112898963166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146.15384615384625</v>
      </c>
      <c r="DP173" s="17">
        <f>DO173*VLOOKUP('Données projet'!$B$14,Paramètres!$A$1:$I$89,3,0)*VLOOKUP('Données projet'!$B$14,Paramètres!$A$1:$I$89,5,0)</f>
        <v>127.68000000000011</v>
      </c>
      <c r="DQ173" s="13">
        <f t="shared" si="176"/>
        <v>33.45971491465221</v>
      </c>
      <c r="DR173" s="20">
        <f t="shared" si="177"/>
        <v>280.65167014301943</v>
      </c>
      <c r="DS173" s="59">
        <f t="shared" si="125"/>
        <v>569.30565535930532</v>
      </c>
      <c r="DT173" s="59">
        <f ca="1">AVERAGE(OFFSET($DS$3,0,0,'Données projet'!$E$14+1,1))-AVERAGE(OFFSET($H$3,0,0,'Données projet'!$E$14+1,1))</f>
        <v>253.82888243490106</v>
      </c>
      <c r="DU173" s="59">
        <f t="shared" si="152"/>
        <v>224.11983819941796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4.7799485163059847</v>
      </c>
      <c r="EB173" s="21">
        <f>EXP(-LN(2)/25)*EB172+(1-EXP(-LN(2)/25))/(LN(2)/25)*Calculateur!DW173*Calculateur!DY173*VLOOKUP('Données projet'!$B$14,Paramètres!$A$1:$I$89,3,0)*0.475*44/12</f>
        <v>1.2670778301497621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6.0470263464557465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-4.5474735088646412E-13</v>
      </c>
      <c r="O174" s="13">
        <f>N174*VLOOKUP('Données projet'!$B$9,Paramètres!$A$1:$I$89,3,0)*VLOOKUP('Données projet'!$B$9,Paramètres!$A$1:$I$89,5,0)</f>
        <v>-2.1282176021486519E-13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387.50901594883317</v>
      </c>
      <c r="T174" s="59">
        <f t="shared" si="142"/>
        <v>361.3623790401972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55.862224503128964</v>
      </c>
      <c r="AA174" s="21">
        <f>EXP(-LN(2)/25)*AA173+(1-EXP(-LN(2)/25))/(LN(2)/25)*Calculateur!V174*Calculateur!X174*VLOOKUP('Données projet'!$B$9,Paramètres!$A$1:$I$89,3,0)*0.475*44/12</f>
        <v>13.517512775438584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69.379737278567546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373.47758082856359</v>
      </c>
      <c r="AO174" s="59">
        <f t="shared" si="144"/>
        <v>277.24895424120166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28.377230909708338</v>
      </c>
      <c r="AV174" s="21">
        <f>EXP(-LN(2)/25)*AV173+(1-EXP(-LN(2)/25))/(LN(2)/25)*Calculateur!AQ174*Calculateur!AS174*VLOOKUP('Données projet'!$B$10,Paramètres!$A$1:$I$89,3,0)*0.475*44/12</f>
        <v>6.4766398381221739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34.853870747830513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8.5459999999999976</v>
      </c>
      <c r="BD174" s="12">
        <f>IF('Données projet'!$A$88&gt;35,BD173+BC174-BL173,IF(A174&lt;'Données projet'!$A$88,$BA$205^A174,IF(A174='Données projet'!$A$88,'Données projet'!$B$88,BD173+BC174-BL173)))</f>
        <v>520.0120000000004</v>
      </c>
      <c r="BE174" s="13">
        <f>BD174*VLOOKUP('Données projet'!$B$11,Paramètres!$A$1:$I$89,3,0)*VLOOKUP('Données projet'!$B$11,Paramètres!$A$1:$I$89,5,0)</f>
        <v>470.50685760000033</v>
      </c>
      <c r="BF174" s="13">
        <f t="shared" si="167"/>
        <v>105.93301791241842</v>
      </c>
      <c r="BG174" s="20">
        <f t="shared" si="168"/>
        <v>1003.9661165174626</v>
      </c>
      <c r="BH174" s="59">
        <f t="shared" si="116"/>
        <v>1292.7012779621241</v>
      </c>
      <c r="BI174" s="59">
        <f ca="1">AVERAGE(OFFSET($BH$3,0,0,'Données projet'!$E$11+1,1))-AVERAGE(OFFSET($H$3,0,0,'Données projet'!$E$11+1,1))</f>
        <v>627.65081154031589</v>
      </c>
      <c r="BJ174" s="59">
        <f t="shared" si="146"/>
        <v>288.78083487077618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64.148952611118901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64.148952611118901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8.5459999999999976</v>
      </c>
      <c r="BY174" s="12">
        <f>IF('Données projet'!$A$114&gt;35,BY173+BX174-CG173,IF(A174&lt;'Données projet'!$A$114,$BV$205^A174,IF(A174='Données projet'!$A$114,'Données projet'!$B$114,BY173+BX174-CG173)))</f>
        <v>520.0120000000004</v>
      </c>
      <c r="BZ174" s="13">
        <f>BY174*VLOOKUP('Données projet'!$B$12,Paramètres!$A$1:$I$89,3,0)*VLOOKUP('Données projet'!$B$12,Paramètres!$A$1:$I$89,5,0)</f>
        <v>527.2921680000004</v>
      </c>
      <c r="CA174" s="13">
        <f t="shared" si="170"/>
        <v>117.15386255722979</v>
      </c>
      <c r="CB174" s="20">
        <f t="shared" si="171"/>
        <v>1122.4101698871759</v>
      </c>
      <c r="CC174" s="59">
        <f t="shared" si="119"/>
        <v>1411.1453313318375</v>
      </c>
      <c r="CD174" s="59">
        <f ca="1">AVERAGE(OFFSET($CC$3,0,0,'Données projet'!$E$12+1,1))-AVERAGE(OFFSET($H$3,0,0,'Données projet'!$E$12+1,1))</f>
        <v>692.2706942067415</v>
      </c>
      <c r="CE174" s="59">
        <f t="shared" si="148"/>
        <v>316.17529091924803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71.891067581426384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71.891067581426384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8.5459999999999976</v>
      </c>
      <c r="CT174" s="12">
        <f>IF('Données projet'!$A$140&gt;35,CT173+CS174-DB173,IF(A174&lt;'Données projet'!$A$140,$CQ$205^A174,IF(A174='Données projet'!$A$140,'Données projet'!$B$140,CT173+CS174-DB173)))</f>
        <v>520.0120000000004</v>
      </c>
      <c r="CU174" s="17">
        <f>CT174*VLOOKUP('Données projet'!$B$13,Paramètres!$A$1:$I$89,3,0)*VLOOKUP('Données projet'!$B$13,Paramètres!$A$1:$I$89,5,0)</f>
        <v>592.18966560000047</v>
      </c>
      <c r="CV174" s="13">
        <f t="shared" si="173"/>
        <v>129.80710047464277</v>
      </c>
      <c r="CW174" s="20">
        <f t="shared" si="174"/>
        <v>1257.477700913337</v>
      </c>
      <c r="CX174" s="59">
        <f t="shared" si="122"/>
        <v>1546.2128623579986</v>
      </c>
      <c r="CY174" s="59">
        <f ca="1">AVERAGE(OFFSET($CX$3,0,0,'Données projet'!$E$13+1,1))-AVERAGE(OFFSET($H$3,0,0,'Données projet'!$E$13+1,1))</f>
        <v>765.9523557587147</v>
      </c>
      <c r="CZ174" s="59">
        <f t="shared" si="150"/>
        <v>347.40395092312815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80.739198976063463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80.739198976063463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146.15384615384625</v>
      </c>
      <c r="DP174" s="17">
        <f>DO174*VLOOKUP('Données projet'!$B$14,Paramètres!$A$1:$I$89,3,0)*VLOOKUP('Données projet'!$B$14,Paramètres!$A$1:$I$89,5,0)</f>
        <v>127.68000000000011</v>
      </c>
      <c r="DQ174" s="13">
        <f t="shared" si="176"/>
        <v>33.45971491465221</v>
      </c>
      <c r="DR174" s="20">
        <f t="shared" si="177"/>
        <v>280.65167014301943</v>
      </c>
      <c r="DS174" s="59">
        <f t="shared" si="125"/>
        <v>569.38683158768094</v>
      </c>
      <c r="DT174" s="59">
        <f ca="1">AVERAGE(OFFSET($DS$3,0,0,'Données projet'!$E$14+1,1))-AVERAGE(OFFSET($H$3,0,0,'Données projet'!$E$14+1,1))</f>
        <v>253.82888243490106</v>
      </c>
      <c r="DU174" s="59">
        <f t="shared" si="152"/>
        <v>224.11983819941796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4.6862166413819395</v>
      </c>
      <c r="EB174" s="21">
        <f>EXP(-LN(2)/25)*EB173+(1-EXP(-LN(2)/25))/(LN(2)/25)*Calculateur!DW174*Calculateur!DY174*VLOOKUP('Données projet'!$B$14,Paramètres!$A$1:$I$89,3,0)*0.475*44/12</f>
        <v>1.2324295202515896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5.9186461616335286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-4.5474735088646412E-13</v>
      </c>
      <c r="O175" s="13">
        <f>N175*VLOOKUP('Données projet'!$B$9,Paramètres!$A$1:$I$89,3,0)*VLOOKUP('Données projet'!$B$9,Paramètres!$A$1:$I$89,5,0)</f>
        <v>-2.1282176021486519E-13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387.50901594883317</v>
      </c>
      <c r="T175" s="59">
        <f t="shared" si="142"/>
        <v>361.3623790401972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54.76680035321516</v>
      </c>
      <c r="AA175" s="21">
        <f>EXP(-LN(2)/25)*AA174+(1-EXP(-LN(2)/25))/(LN(2)/25)*Calculateur!V175*Calculateur!X175*VLOOKUP('Données projet'!$B$9,Paramètres!$A$1:$I$89,3,0)*0.475*44/12</f>
        <v>13.147875677739114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67.914676030954269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373.47758082856359</v>
      </c>
      <c r="AO175" s="59">
        <f t="shared" si="144"/>
        <v>277.24895424120166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27.820770719970749</v>
      </c>
      <c r="AV175" s="21">
        <f>EXP(-LN(2)/25)*AV174+(1-EXP(-LN(2)/25))/(LN(2)/25)*Calculateur!AQ175*Calculateur!AS175*VLOOKUP('Données projet'!$B$10,Paramètres!$A$1:$I$89,3,0)*0.475*44/12</f>
        <v>6.2995357811570365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34.120306501127786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8.5459999999999976</v>
      </c>
      <c r="BD175" s="12">
        <f>IF('Données projet'!$A$88&gt;35,BD174+BC175-BL174,IF(A175&lt;'Données projet'!$A$88,$BA$205^A175,IF(A175='Données projet'!$A$88,'Données projet'!$B$88,BD174+BC175-BL174)))</f>
        <v>528.55800000000045</v>
      </c>
      <c r="BE175" s="13">
        <f>BD175*VLOOKUP('Données projet'!$B$11,Paramètres!$A$1:$I$89,3,0)*VLOOKUP('Données projet'!$B$11,Paramètres!$A$1:$I$89,5,0)</f>
        <v>478.23927840000039</v>
      </c>
      <c r="BF175" s="13">
        <f t="shared" si="167"/>
        <v>107.46983969122122</v>
      </c>
      <c r="BG175" s="20">
        <f t="shared" si="168"/>
        <v>1020.110047342211</v>
      </c>
      <c r="BH175" s="59">
        <f t="shared" si="116"/>
        <v>1308.9249767891688</v>
      </c>
      <c r="BI175" s="59">
        <f ca="1">AVERAGE(OFFSET($BH$3,0,0,'Données projet'!$E$11+1,1))-AVERAGE(OFFSET($H$3,0,0,'Données projet'!$E$11+1,1))</f>
        <v>627.65081154031589</v>
      </c>
      <c r="BJ175" s="59">
        <f t="shared" si="146"/>
        <v>288.78083487077618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62.891030777412482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62.891030777412482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8.5459999999999976</v>
      </c>
      <c r="BY175" s="12">
        <f>IF('Données projet'!$A$114&gt;35,BY174+BX175-CG174,IF(A175&lt;'Données projet'!$A$114,$BV$205^A175,IF(A175='Données projet'!$A$114,'Données projet'!$B$114,BY174+BX175-CG174)))</f>
        <v>528.55800000000045</v>
      </c>
      <c r="BZ175" s="13">
        <f>BY175*VLOOKUP('Données projet'!$B$12,Paramètres!$A$1:$I$89,3,0)*VLOOKUP('Données projet'!$B$12,Paramètres!$A$1:$I$89,5,0)</f>
        <v>535.95781200000044</v>
      </c>
      <c r="CA175" s="13">
        <f t="shared" si="170"/>
        <v>118.85347058310219</v>
      </c>
      <c r="CB175" s="20">
        <f t="shared" si="171"/>
        <v>1140.4629838322371</v>
      </c>
      <c r="CC175" s="59">
        <f t="shared" si="119"/>
        <v>1429.2779132791948</v>
      </c>
      <c r="CD175" s="59">
        <f ca="1">AVERAGE(OFFSET($CC$3,0,0,'Données projet'!$E$12+1,1))-AVERAGE(OFFSET($H$3,0,0,'Données projet'!$E$12+1,1))</f>
        <v>692.2706942067415</v>
      </c>
      <c r="CE175" s="59">
        <f t="shared" si="148"/>
        <v>316.17529091924803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70.481327595376086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70.481327595376086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8.5459999999999976</v>
      </c>
      <c r="CT175" s="12">
        <f>IF('Données projet'!$A$140&gt;35,CT174+CS175-DB174,IF(A175&lt;'Données projet'!$A$140,$CQ$205^A175,IF(A175='Données projet'!$A$140,'Données projet'!$B$140,CT174+CS175-DB174)))</f>
        <v>528.55800000000045</v>
      </c>
      <c r="CU175" s="17">
        <f>CT175*VLOOKUP('Données projet'!$B$13,Paramètres!$A$1:$I$89,3,0)*VLOOKUP('Données projet'!$B$13,Paramètres!$A$1:$I$89,5,0)</f>
        <v>601.92185040000049</v>
      </c>
      <c r="CV175" s="13">
        <f t="shared" si="173"/>
        <v>131.69027517299429</v>
      </c>
      <c r="CW175" s="20">
        <f t="shared" si="174"/>
        <v>1277.7077853729659</v>
      </c>
      <c r="CX175" s="59">
        <f t="shared" si="122"/>
        <v>1566.5227148199235</v>
      </c>
      <c r="CY175" s="59">
        <f ca="1">AVERAGE(OFFSET($CX$3,0,0,'Données projet'!$E$13+1,1))-AVERAGE(OFFSET($H$3,0,0,'Données projet'!$E$13+1,1))</f>
        <v>765.9523557587147</v>
      </c>
      <c r="CZ175" s="59">
        <f t="shared" si="150"/>
        <v>347.40395092312815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79.155952530191584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79.155952530191584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146.15384615384625</v>
      </c>
      <c r="DP175" s="17">
        <f>DO175*VLOOKUP('Données projet'!$B$14,Paramètres!$A$1:$I$89,3,0)*VLOOKUP('Données projet'!$B$14,Paramètres!$A$1:$I$89,5,0)</f>
        <v>127.68000000000011</v>
      </c>
      <c r="DQ175" s="13">
        <f t="shared" si="176"/>
        <v>33.45971491465221</v>
      </c>
      <c r="DR175" s="20">
        <f t="shared" si="177"/>
        <v>280.65167014301943</v>
      </c>
      <c r="DS175" s="59">
        <f t="shared" si="125"/>
        <v>569.46659958997702</v>
      </c>
      <c r="DT175" s="59">
        <f ca="1">AVERAGE(OFFSET($DS$3,0,0,'Données projet'!$E$14+1,1))-AVERAGE(OFFSET($H$3,0,0,'Données projet'!$E$14+1,1))</f>
        <v>253.82888243490106</v>
      </c>
      <c r="DU175" s="59">
        <f t="shared" si="152"/>
        <v>224.11983819941796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4.5943227913543563</v>
      </c>
      <c r="EB175" s="21">
        <f>EXP(-LN(2)/25)*EB174+(1-EXP(-LN(2)/25))/(LN(2)/25)*Calculateur!DW175*Calculateur!DY175*VLOOKUP('Données projet'!$B$14,Paramètres!$A$1:$I$89,3,0)*0.475*44/12</f>
        <v>1.1987286702096582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5.7930514615640147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-4.5474735088646412E-13</v>
      </c>
      <c r="O176" s="13">
        <f>N176*VLOOKUP('Données projet'!$B$9,Paramètres!$A$1:$I$89,3,0)*VLOOKUP('Données projet'!$B$9,Paramètres!$A$1:$I$89,5,0)</f>
        <v>-2.1282176021486519E-13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387.50901594883317</v>
      </c>
      <c r="T176" s="59">
        <f t="shared" si="142"/>
        <v>361.3623790401972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53.692856802738412</v>
      </c>
      <c r="AA176" s="21">
        <f>EXP(-LN(2)/25)*AA175+(1-EXP(-LN(2)/25))/(LN(2)/25)*Calculateur!V176*Calculateur!X176*VLOOKUP('Données projet'!$B$9,Paramètres!$A$1:$I$89,3,0)*0.475*44/12</f>
        <v>12.788346325914606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66.481203128653021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373.47758082856359</v>
      </c>
      <c r="AO176" s="59">
        <f t="shared" si="144"/>
        <v>277.24895424120166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27.275222375146711</v>
      </c>
      <c r="AV176" s="21">
        <f>EXP(-LN(2)/25)*AV175+(1-EXP(-LN(2)/25))/(LN(2)/25)*Calculateur!AQ176*Calculateur!AS176*VLOOKUP('Données projet'!$B$10,Paramètres!$A$1:$I$89,3,0)*0.475*44/12</f>
        <v>6.1272746439431085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33.402497019089822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8.5459999999999976</v>
      </c>
      <c r="BD176" s="12">
        <f>IF('Données projet'!$A$88&gt;35,BD175+BC176-BL175,IF(A176&lt;'Données projet'!$A$88,$BA$205^A176,IF(A176='Données projet'!$A$88,'Données projet'!$B$88,BD175+BC176-BL175)))</f>
        <v>537.1040000000005</v>
      </c>
      <c r="BE176" s="13">
        <f>BD176*VLOOKUP('Données projet'!$B$11,Paramètres!$A$1:$I$89,3,0)*VLOOKUP('Données projet'!$B$11,Paramètres!$A$1:$I$89,5,0)</f>
        <v>485.97169920000039</v>
      </c>
      <c r="BF176" s="13">
        <f t="shared" si="167"/>
        <v>109.00377173434057</v>
      </c>
      <c r="BG176" s="20">
        <f t="shared" si="168"/>
        <v>1036.2489452106438</v>
      </c>
      <c r="BH176" s="59">
        <f t="shared" si="116"/>
        <v>1325.1422588633923</v>
      </c>
      <c r="BI176" s="59">
        <f ca="1">AVERAGE(OFFSET($BH$3,0,0,'Données projet'!$E$11+1,1))-AVERAGE(OFFSET($H$3,0,0,'Données projet'!$E$11+1,1))</f>
        <v>627.65081154031589</v>
      </c>
      <c r="BJ176" s="59">
        <f t="shared" si="146"/>
        <v>288.78083487077618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61.657776023608484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61.657776023608484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8.5459999999999976</v>
      </c>
      <c r="BY176" s="12">
        <f>IF('Données projet'!$A$114&gt;35,BY175+BX176-CG175,IF(A176&lt;'Données projet'!$A$114,$BV$205^A176,IF(A176='Données projet'!$A$114,'Données projet'!$B$114,BY175+BX176-CG175)))</f>
        <v>537.1040000000005</v>
      </c>
      <c r="BZ176" s="13">
        <f>BY176*VLOOKUP('Données projet'!$B$12,Paramètres!$A$1:$I$89,3,0)*VLOOKUP('Données projet'!$B$12,Paramètres!$A$1:$I$89,5,0)</f>
        <v>544.62345600000049</v>
      </c>
      <c r="CA176" s="13">
        <f t="shared" si="170"/>
        <v>120.54988278104692</v>
      </c>
      <c r="CB176" s="20">
        <f t="shared" si="171"/>
        <v>1158.510231710324</v>
      </c>
      <c r="CC176" s="59">
        <f t="shared" si="119"/>
        <v>1447.4035453630725</v>
      </c>
      <c r="CD176" s="59">
        <f ca="1">AVERAGE(OFFSET($CC$3,0,0,'Données projet'!$E$12+1,1))-AVERAGE(OFFSET($H$3,0,0,'Données projet'!$E$12+1,1))</f>
        <v>692.2706942067415</v>
      </c>
      <c r="CE176" s="59">
        <f t="shared" si="148"/>
        <v>316.17529091924803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69.099231750595749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69.099231750595749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8.5459999999999976</v>
      </c>
      <c r="CT176" s="12">
        <f>IF('Données projet'!$A$140&gt;35,CT175+CS176-DB175,IF(A176&lt;'Données projet'!$A$140,$CQ$205^A176,IF(A176='Données projet'!$A$140,'Données projet'!$B$140,CT175+CS176-DB175)))</f>
        <v>537.1040000000005</v>
      </c>
      <c r="CU176" s="17">
        <f>CT176*VLOOKUP('Données projet'!$B$13,Paramètres!$A$1:$I$89,3,0)*VLOOKUP('Données projet'!$B$13,Paramètres!$A$1:$I$89,5,0)</f>
        <v>611.65403520000052</v>
      </c>
      <c r="CV176" s="13">
        <f t="shared" si="173"/>
        <v>133.56990887706829</v>
      </c>
      <c r="CW176" s="20">
        <f t="shared" si="174"/>
        <v>1297.9317026008948</v>
      </c>
      <c r="CX176" s="59">
        <f t="shared" si="122"/>
        <v>1586.8250162536433</v>
      </c>
      <c r="CY176" s="59">
        <f ca="1">AVERAGE(OFFSET($CX$3,0,0,'Données projet'!$E$13+1,1))-AVERAGE(OFFSET($H$3,0,0,'Données projet'!$E$13+1,1))</f>
        <v>765.9523557587147</v>
      </c>
      <c r="CZ176" s="59">
        <f t="shared" si="150"/>
        <v>347.40395092312815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77.603752581438286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77.603752581438286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146.15384615384625</v>
      </c>
      <c r="DP176" s="17">
        <f>DO176*VLOOKUP('Données projet'!$B$14,Paramètres!$A$1:$I$89,3,0)*VLOOKUP('Données projet'!$B$14,Paramètres!$A$1:$I$89,5,0)</f>
        <v>127.68000000000011</v>
      </c>
      <c r="DQ176" s="13">
        <f t="shared" si="176"/>
        <v>33.45971491465221</v>
      </c>
      <c r="DR176" s="20">
        <f t="shared" si="177"/>
        <v>280.65167014301943</v>
      </c>
      <c r="DS176" s="59">
        <f t="shared" si="125"/>
        <v>569.54498379576785</v>
      </c>
      <c r="DT176" s="59">
        <f ca="1">AVERAGE(OFFSET($DS$3,0,0,'Données projet'!$E$14+1,1))-AVERAGE(OFFSET($H$3,0,0,'Données projet'!$E$14+1,1))</f>
        <v>253.82888243490106</v>
      </c>
      <c r="DU176" s="59">
        <f t="shared" si="152"/>
        <v>224.11983819941796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4.5042309236760998</v>
      </c>
      <c r="EB176" s="21">
        <f>EXP(-LN(2)/25)*EB175+(1-EXP(-LN(2)/25))/(LN(2)/25)*Calculateur!DW176*Calculateur!DY176*VLOOKUP('Données projet'!$B$14,Paramètres!$A$1:$I$89,3,0)*0.475*44/12</f>
        <v>1.1659493716843741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5.6701802953604741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-4.5474735088646412E-13</v>
      </c>
      <c r="O177" s="13">
        <f>N177*VLOOKUP('Données projet'!$B$9,Paramètres!$A$1:$I$89,3,0)*VLOOKUP('Données projet'!$B$9,Paramètres!$A$1:$I$89,5,0)</f>
        <v>-2.1282176021486519E-13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387.50901594883317</v>
      </c>
      <c r="T177" s="59">
        <f t="shared" si="142"/>
        <v>361.3623790401972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52.639972630245623</v>
      </c>
      <c r="AA177" s="21">
        <f>EXP(-LN(2)/25)*AA176+(1-EXP(-LN(2)/25))/(LN(2)/25)*Calculateur!V177*Calculateur!X177*VLOOKUP('Données projet'!$B$9,Paramètres!$A$1:$I$89,3,0)*0.475*44/12</f>
        <v>12.438648323122566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65.078620953368187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373.47758082856359</v>
      </c>
      <c r="AO177" s="59">
        <f t="shared" si="144"/>
        <v>277.24895424120166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26.740371900613042</v>
      </c>
      <c r="AV177" s="21">
        <f>EXP(-LN(2)/25)*AV176+(1-EXP(-LN(2)/25))/(LN(2)/25)*Calculateur!AQ177*Calculateur!AS177*VLOOKUP('Données projet'!$B$10,Paramètres!$A$1:$I$89,3,0)*0.475*44/12</f>
        <v>5.9597239965851143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32.700095897198153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>
        <f>VLOOKUP(A177,'Données projet'!$A$87:$I$107,2,0)</f>
        <v>545.65</v>
      </c>
      <c r="BB177" s="12">
        <f>VLOOKUP(A177,'Données projet'!$A$87:$I$107,9,0)</f>
        <v>8.5459999999999976</v>
      </c>
      <c r="BC177" s="12">
        <f t="array" ref="BC177">INDEX(BB:BB,MIN(IF(ISNUMBER(BB177:BB373),ROW(BB177:BB373),"")))</f>
        <v>8.5459999999999976</v>
      </c>
      <c r="BD177" s="12">
        <f>IF('Données projet'!$A$88&gt;35,BD176+BC177-BL176,IF(A177&lt;'Données projet'!$A$88,$BA$205^A177,IF(A177='Données projet'!$A$88,'Données projet'!$B$88,BD176+BC177-BL176)))</f>
        <v>545.65000000000055</v>
      </c>
      <c r="BE177" s="13">
        <f>BD177*VLOOKUP('Données projet'!$B$11,Paramètres!$A$1:$I$89,3,0)*VLOOKUP('Données projet'!$B$11,Paramètres!$A$1:$I$89,5,0)</f>
        <v>493.7041200000005</v>
      </c>
      <c r="BF177" s="13">
        <f t="shared" si="167"/>
        <v>110.53486532995269</v>
      </c>
      <c r="BG177" s="20">
        <f t="shared" si="168"/>
        <v>1052.3828994496685</v>
      </c>
      <c r="BH177" s="59">
        <f t="shared" si="116"/>
        <v>1341.3532375174782</v>
      </c>
      <c r="BI177" s="59">
        <f ca="1">AVERAGE(OFFSET($BH$3,0,0,'Données projet'!$E$11+1,1))-AVERAGE(OFFSET($H$3,0,0,'Données projet'!$E$11+1,1))</f>
        <v>627.65081154031589</v>
      </c>
      <c r="BJ177" s="59">
        <f t="shared" si="146"/>
        <v>288.78083487077618</v>
      </c>
      <c r="BK177" s="15">
        <f>IF(ISNA(VLOOKUP(A177,'Données projet'!$A$87:$I$107,3,0)),0,VLOOKUP(A177,'Données projet'!$A$87:$I$107,3,0))</f>
        <v>15</v>
      </c>
      <c r="BL177" s="15">
        <f>IF(ISNA(VLOOKUP(A177,'Données projet'!$A$87:$I$107,4,0)),0,VLOOKUP(A177,'Données projet'!$A$87:$I$107,4,0))</f>
        <v>214.77</v>
      </c>
      <c r="BM177" s="16">
        <f>IF(ISNA(VLOOKUP(A177,'Données projet'!$A$87:$I$107,5,0)),0%,VLOOKUP(A177,'Données projet'!$A$87:$I$107,5,0)*VLOOKUP('Données projet'!$B$11,Paramètres!$A$1:$I$89,7,0))</f>
        <v>0.25800000000000001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115.87208689768337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115.87208689768337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545.65</v>
      </c>
      <c r="BW177" s="12">
        <f>VLOOKUP(A177,'Données projet'!$A$113:$I$133,9,0)</f>
        <v>8.5459999999999976</v>
      </c>
      <c r="BX177" s="12">
        <f t="array" ref="BX177">INDEX(BW:BW,MIN(IF(ISNUMBER(BW177:BW373),ROW(BW177:BW373),"")))</f>
        <v>8.5459999999999976</v>
      </c>
      <c r="BY177" s="12">
        <f>IF('Données projet'!$A$114&gt;35,BY176+BX177-CG176,IF(A177&lt;'Données projet'!$A$114,$BV$205^A177,IF(A177='Données projet'!$A$114,'Données projet'!$B$114,BY176+BX177-CG176)))</f>
        <v>545.65000000000055</v>
      </c>
      <c r="BZ177" s="13">
        <f>BY177*VLOOKUP('Données projet'!$B$12,Paramètres!$A$1:$I$89,3,0)*VLOOKUP('Données projet'!$B$12,Paramètres!$A$1:$I$89,5,0)</f>
        <v>553.28910000000053</v>
      </c>
      <c r="CA177" s="13">
        <f t="shared" si="170"/>
        <v>122.24315587188718</v>
      </c>
      <c r="CB177" s="20">
        <f t="shared" si="171"/>
        <v>1176.5520123102044</v>
      </c>
      <c r="CC177" s="59">
        <f t="shared" si="119"/>
        <v>1465.5223503780142</v>
      </c>
      <c r="CD177" s="59">
        <f ca="1">AVERAGE(OFFSET($CC$3,0,0,'Données projet'!$E$12+1,1))-AVERAGE(OFFSET($H$3,0,0,'Données projet'!$E$12+1,1))</f>
        <v>692.2706942067415</v>
      </c>
      <c r="CE177" s="59">
        <f t="shared" si="148"/>
        <v>316.17529091924803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0.25800000000000001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129.85664910947281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129.85664910947281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>
        <f>VLOOKUP(A177,'Données projet'!$A$139:$I$159,2,0)</f>
        <v>545.65</v>
      </c>
      <c r="CR177" s="12">
        <f>VLOOKUP(A177,'Données projet'!$A$139:$I$159,9,0)</f>
        <v>8.5459999999999976</v>
      </c>
      <c r="CS177" s="12">
        <f t="array" ref="CS177">INDEX(CR:CR,MIN(IF(ISNUMBER(CR177:CR373),ROW(CR177:CR373),"")))</f>
        <v>8.5459999999999976</v>
      </c>
      <c r="CT177" s="12">
        <f>IF('Données projet'!$A$140&gt;35,CT176+CS177-DB176,IF(A177&lt;'Données projet'!$A$140,$CQ$205^A177,IF(A177='Données projet'!$A$140,'Données projet'!$B$140,CT176+CS177-DB176)))</f>
        <v>545.65000000000055</v>
      </c>
      <c r="CU177" s="17">
        <f>CT177*VLOOKUP('Données projet'!$B$13,Paramètres!$A$1:$I$89,3,0)*VLOOKUP('Données projet'!$B$13,Paramètres!$A$1:$I$89,5,0)</f>
        <v>621.38622000000066</v>
      </c>
      <c r="CV177" s="13">
        <f t="shared" si="173"/>
        <v>135.44606443383751</v>
      </c>
      <c r="CW177" s="20">
        <f t="shared" si="174"/>
        <v>1318.1495620556013</v>
      </c>
      <c r="CX177" s="59">
        <f t="shared" si="122"/>
        <v>1607.1199001234111</v>
      </c>
      <c r="CY177" s="59">
        <f ca="1">AVERAGE(OFFSET($CX$3,0,0,'Données projet'!$E$13+1,1))-AVERAGE(OFFSET($H$3,0,0,'Données projet'!$E$13+1,1))</f>
        <v>765.9523557587147</v>
      </c>
      <c r="CZ177" s="59">
        <f t="shared" si="150"/>
        <v>347.40395092312815</v>
      </c>
      <c r="DA177" s="15">
        <f>IF(ISNA(VLOOKUP(A177,'Données projet'!$A$139:$I$159,3,0)),0,VLOOKUP(A177,'Données projet'!$A$139:$I$159,3,0))</f>
        <v>15</v>
      </c>
      <c r="DB177" s="15">
        <f>IF(ISNA(VLOOKUP(A177,'Données projet'!$A$139:$I$159,4,0)),0,VLOOKUP(A177,'Données projet'!$A$139:$I$159,4,0))</f>
        <v>214.77</v>
      </c>
      <c r="DC177" s="16">
        <f>IF(ISNA(VLOOKUP(A177,'Données projet'!$A$139:$I$159,5,0)),0%,VLOOKUP(A177,'Données projet'!$A$139:$I$159,5,0)*VLOOKUP('Données projet'!$B$13,Paramètres!$A$1:$I$89,7,0))</f>
        <v>0.25800000000000001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145.83900592294634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145.83900592294634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146.15384615384625</v>
      </c>
      <c r="DP177" s="17">
        <f>DO177*VLOOKUP('Données projet'!$B$14,Paramètres!$A$1:$I$89,3,0)*VLOOKUP('Données projet'!$B$14,Paramètres!$A$1:$I$89,5,0)</f>
        <v>127.68000000000011</v>
      </c>
      <c r="DQ177" s="13">
        <f t="shared" si="176"/>
        <v>33.45971491465221</v>
      </c>
      <c r="DR177" s="20">
        <f t="shared" si="177"/>
        <v>280.65167014301943</v>
      </c>
      <c r="DS177" s="59">
        <f t="shared" si="125"/>
        <v>569.62200821082911</v>
      </c>
      <c r="DT177" s="59">
        <f ca="1">AVERAGE(OFFSET($DS$3,0,0,'Données projet'!$E$14+1,1))-AVERAGE(OFFSET($H$3,0,0,'Données projet'!$E$14+1,1))</f>
        <v>253.82888243490106</v>
      </c>
      <c r="DU177" s="59">
        <f t="shared" si="152"/>
        <v>224.11983819941796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4.4159057025724007</v>
      </c>
      <c r="EB177" s="21">
        <f>EXP(-LN(2)/25)*EB176+(1-EXP(-LN(2)/25))/(LN(2)/25)*Calculateur!DW177*Calculateur!DY177*VLOOKUP('Données projet'!$B$14,Paramètres!$A$1:$I$89,3,0)*0.475*44/12</f>
        <v>1.1340664248010521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5.5499721273734526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-4.5474735088646412E-13</v>
      </c>
      <c r="O178" s="13">
        <f>N178*VLOOKUP('Données projet'!$B$9,Paramètres!$A$1:$I$89,3,0)*VLOOKUP('Données projet'!$B$9,Paramètres!$A$1:$I$89,5,0)</f>
        <v>-2.1282176021486519E-13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387.50901594883317</v>
      </c>
      <c r="T178" s="59">
        <f t="shared" si="142"/>
        <v>361.3623790401972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51.607734874179485</v>
      </c>
      <c r="AA178" s="21">
        <f>EXP(-LN(2)/25)*AA177+(1-EXP(-LN(2)/25))/(LN(2)/25)*Calculateur!V178*Calculateur!X178*VLOOKUP('Données projet'!$B$9,Paramètres!$A$1:$I$89,3,0)*0.475*44/12</f>
        <v>12.098512830606692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63.706247704786179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373.47758082856359</v>
      </c>
      <c r="AO178" s="59">
        <f t="shared" si="144"/>
        <v>277.24895424120166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26.216009517658399</v>
      </c>
      <c r="AV178" s="21">
        <f>EXP(-LN(2)/25)*AV177+(1-EXP(-LN(2)/25))/(LN(2)/25)*Calculateur!AQ178*Calculateur!AS178*VLOOKUP('Données projet'!$B$10,Paramètres!$A$1:$I$89,3,0)*0.475*44/12</f>
        <v>5.7967550304902309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32.012764548148631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5.3866666666666747</v>
      </c>
      <c r="BD178" s="12">
        <f>IF('Données projet'!$A$88&gt;35,BD177+BC178-BL177,IF(A178&lt;'Données projet'!$A$88,$BA$205^A178,IF(A178='Données projet'!$A$88,'Données projet'!$B$88,BD177+BC178-BL177)))</f>
        <v>336.26666666666722</v>
      </c>
      <c r="BE178" s="13">
        <f>BD178*VLOOKUP('Données projet'!$B$11,Paramètres!$A$1:$I$89,3,0)*VLOOKUP('Données projet'!$B$11,Paramètres!$A$1:$I$89,5,0)</f>
        <v>304.2540800000005</v>
      </c>
      <c r="BF178" s="13">
        <f t="shared" si="167"/>
        <v>72.067549889405967</v>
      </c>
      <c r="BG178" s="20">
        <f t="shared" si="168"/>
        <v>655.42683872404962</v>
      </c>
      <c r="BH178" s="59">
        <f t="shared" si="116"/>
        <v>944.47286500552002</v>
      </c>
      <c r="BI178" s="59">
        <f ca="1">AVERAGE(OFFSET($BH$3,0,0,'Données projet'!$E$11+1,1))-AVERAGE(OFFSET($H$3,0,0,'Données projet'!$E$11+1,1))</f>
        <v>627.65081154031589</v>
      </c>
      <c r="BJ178" s="59">
        <f t="shared" si="146"/>
        <v>288.78083487077618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113.59990594861424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113.59990594861424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5.3866666666666747</v>
      </c>
      <c r="BY178" s="12">
        <f>IF('Données projet'!$A$114&gt;35,BY177+BX178-CG177,IF(A178&lt;'Données projet'!$A$114,$BV$205^A178,IF(A178='Données projet'!$A$114,'Données projet'!$B$114,BY177+BX178-CG177)))</f>
        <v>336.26666666666722</v>
      </c>
      <c r="BZ178" s="13">
        <f>BY178*VLOOKUP('Données projet'!$B$12,Paramètres!$A$1:$I$89,3,0)*VLOOKUP('Données projet'!$B$12,Paramètres!$A$1:$I$89,5,0)</f>
        <v>340.97440000000057</v>
      </c>
      <c r="CA178" s="13">
        <f t="shared" si="170"/>
        <v>79.70123008824433</v>
      </c>
      <c r="CB178" s="20">
        <f t="shared" si="171"/>
        <v>732.67672240369313</v>
      </c>
      <c r="CC178" s="59">
        <f t="shared" si="119"/>
        <v>1021.7227486851635</v>
      </c>
      <c r="CD178" s="59">
        <f ca="1">AVERAGE(OFFSET($CC$3,0,0,'Données projet'!$E$12+1,1))-AVERAGE(OFFSET($H$3,0,0,'Données projet'!$E$12+1,1))</f>
        <v>692.2706942067415</v>
      </c>
      <c r="CE178" s="59">
        <f t="shared" si="148"/>
        <v>316.17529091924803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127.31023942517119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127.31023942517119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5.3866666666666747</v>
      </c>
      <c r="CT178" s="12">
        <f>IF('Données projet'!$A$140&gt;35,CT177+CS178-DB177,IF(A178&lt;'Données projet'!$A$140,$CQ$205^A178,IF(A178='Données projet'!$A$140,'Données projet'!$B$140,CT177+CS178-DB177)))</f>
        <v>336.26666666666722</v>
      </c>
      <c r="CU178" s="17">
        <f>CT178*VLOOKUP('Données projet'!$B$13,Paramètres!$A$1:$I$89,3,0)*VLOOKUP('Données projet'!$B$13,Paramètres!$A$1:$I$89,5,0)</f>
        <v>382.94048000000066</v>
      </c>
      <c r="CV178" s="13">
        <f t="shared" si="173"/>
        <v>88.309385249363274</v>
      </c>
      <c r="CW178" s="20">
        <f t="shared" si="174"/>
        <v>820.76018197597557</v>
      </c>
      <c r="CX178" s="59">
        <f t="shared" si="122"/>
        <v>1109.8062082574461</v>
      </c>
      <c r="CY178" s="59">
        <f ca="1">AVERAGE(OFFSET($CX$3,0,0,'Données projet'!$E$13+1,1))-AVERAGE(OFFSET($H$3,0,0,'Données projet'!$E$13+1,1))</f>
        <v>765.9523557587147</v>
      </c>
      <c r="CZ178" s="59">
        <f t="shared" si="150"/>
        <v>347.40395092312815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142.9791919698076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142.9791919698076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146.15384615384625</v>
      </c>
      <c r="DP178" s="17">
        <f>DO178*VLOOKUP('Données projet'!$B$14,Paramètres!$A$1:$I$89,3,0)*VLOOKUP('Données projet'!$B$14,Paramètres!$A$1:$I$89,5,0)</f>
        <v>127.68000000000011</v>
      </c>
      <c r="DQ178" s="13">
        <f t="shared" si="176"/>
        <v>33.45971491465221</v>
      </c>
      <c r="DR178" s="20">
        <f t="shared" si="177"/>
        <v>280.65167014301943</v>
      </c>
      <c r="DS178" s="59">
        <f t="shared" si="125"/>
        <v>569.69769642448978</v>
      </c>
      <c r="DT178" s="59">
        <f ca="1">AVERAGE(OFFSET($DS$3,0,0,'Données projet'!$E$14+1,1))-AVERAGE(OFFSET($H$3,0,0,'Données projet'!$E$14+1,1))</f>
        <v>253.82888243490106</v>
      </c>
      <c r="DU178" s="59">
        <f t="shared" si="152"/>
        <v>224.11983819941796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4.3293124851814797</v>
      </c>
      <c r="EB178" s="21">
        <f>EXP(-LN(2)/25)*EB177+(1-EXP(-LN(2)/25))/(LN(2)/25)*Calculateur!DW178*Calculateur!DY178*VLOOKUP('Données projet'!$B$14,Paramètres!$A$1:$I$89,3,0)*0.475*44/12</f>
        <v>1.1030553187769061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5.4323678039583854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-4.5474735088646412E-13</v>
      </c>
      <c r="O179" s="13">
        <f>N179*VLOOKUP('Données projet'!$B$9,Paramètres!$A$1:$I$89,3,0)*VLOOKUP('Données projet'!$B$9,Paramètres!$A$1:$I$89,5,0)</f>
        <v>-2.1282176021486519E-13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387.50901594883317</v>
      </c>
      <c r="T179" s="59">
        <f t="shared" si="142"/>
        <v>361.3623790401972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50.59573867090694</v>
      </c>
      <c r="AA179" s="21">
        <f>EXP(-LN(2)/25)*AA178+(1-EXP(-LN(2)/25))/(LN(2)/25)*Calculateur!V179*Calculateur!X179*VLOOKUP('Données projet'!$B$9,Paramètres!$A$1:$I$89,3,0)*0.475*44/12</f>
        <v>11.767678361020614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62.363417031927554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373.47758082856359</v>
      </c>
      <c r="AO179" s="59">
        <f t="shared" si="144"/>
        <v>277.24895424120166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25.701929561204025</v>
      </c>
      <c r="AV179" s="21">
        <f>EXP(-LN(2)/25)*AV178+(1-EXP(-LN(2)/25))/(LN(2)/25)*Calculateur!AQ179*Calculateur!AS179*VLOOKUP('Données projet'!$B$10,Paramètres!$A$1:$I$89,3,0)*0.475*44/12</f>
        <v>5.6382424593433775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31.340172020547403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5.3866666666666747</v>
      </c>
      <c r="BD179" s="12">
        <f>IF('Données projet'!$A$88&gt;35,BD178+BC179-BL178,IF(A179&lt;'Données projet'!$A$88,$BA$205^A179,IF(A179='Données projet'!$A$88,'Données projet'!$B$88,BD178+BC179-BL178)))</f>
        <v>341.65333333333388</v>
      </c>
      <c r="BE179" s="13">
        <f>BD179*VLOOKUP('Données projet'!$B$11,Paramètres!$A$1:$I$89,3,0)*VLOOKUP('Données projet'!$B$11,Paramètres!$A$1:$I$89,5,0)</f>
        <v>309.12793600000049</v>
      </c>
      <c r="BF179" s="13">
        <f t="shared" si="167"/>
        <v>73.086678650713282</v>
      </c>
      <c r="BG179" s="20">
        <f t="shared" si="168"/>
        <v>665.6904538499931</v>
      </c>
      <c r="BH179" s="59">
        <f t="shared" si="116"/>
        <v>954.81085532383076</v>
      </c>
      <c r="BI179" s="59">
        <f ca="1">AVERAGE(OFFSET($BH$3,0,0,'Données projet'!$E$11+1,1))-AVERAGE(OFFSET($H$3,0,0,'Données projet'!$E$11+1,1))</f>
        <v>627.65081154031589</v>
      </c>
      <c r="BJ179" s="59">
        <f t="shared" si="146"/>
        <v>288.78083487077618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111.37228108206281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111.37228108206281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5.3866666666666747</v>
      </c>
      <c r="BY179" s="12">
        <f>IF('Données projet'!$A$114&gt;35,BY178+BX179-CG178,IF(A179&lt;'Données projet'!$A$114,$BV$205^A179,IF(A179='Données projet'!$A$114,'Données projet'!$B$114,BY178+BX179-CG178)))</f>
        <v>341.65333333333388</v>
      </c>
      <c r="BZ179" s="13">
        <f>BY179*VLOOKUP('Données projet'!$B$12,Paramètres!$A$1:$I$89,3,0)*VLOOKUP('Données projet'!$B$12,Paramètres!$A$1:$I$89,5,0)</f>
        <v>346.43648000000053</v>
      </c>
      <c r="CA179" s="13">
        <f t="shared" si="170"/>
        <v>80.828309002667666</v>
      </c>
      <c r="CB179" s="20">
        <f t="shared" si="171"/>
        <v>744.15284084631367</v>
      </c>
      <c r="CC179" s="59">
        <f t="shared" si="119"/>
        <v>1033.2732423201512</v>
      </c>
      <c r="CD179" s="59">
        <f ca="1">AVERAGE(OFFSET($CC$3,0,0,'Données projet'!$E$12+1,1))-AVERAGE(OFFSET($H$3,0,0,'Données projet'!$E$12+1,1))</f>
        <v>692.2706942067415</v>
      </c>
      <c r="CE179" s="59">
        <f t="shared" si="148"/>
        <v>316.17529091924803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124.81376328162217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124.81376328162217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5.3866666666666747</v>
      </c>
      <c r="CT179" s="12">
        <f>IF('Données projet'!$A$140&gt;35,CT178+CS179-DB178,IF(A179&lt;'Données projet'!$A$140,$CQ$205^A179,IF(A179='Données projet'!$A$140,'Données projet'!$B$140,CT178+CS179-DB178)))</f>
        <v>341.65333333333388</v>
      </c>
      <c r="CU179" s="17">
        <f>CT179*VLOOKUP('Données projet'!$B$13,Paramètres!$A$1:$I$89,3,0)*VLOOKUP('Données projet'!$B$13,Paramètres!$A$1:$I$89,5,0)</f>
        <v>389.07481600000062</v>
      </c>
      <c r="CV179" s="13">
        <f t="shared" si="173"/>
        <v>89.558194658578643</v>
      </c>
      <c r="CW179" s="20">
        <f t="shared" si="174"/>
        <v>833.61916023035883</v>
      </c>
      <c r="CX179" s="59">
        <f t="shared" si="122"/>
        <v>1122.7395617041964</v>
      </c>
      <c r="CY179" s="59">
        <f ca="1">AVERAGE(OFFSET($CX$3,0,0,'Données projet'!$E$13+1,1))-AVERAGE(OFFSET($H$3,0,0,'Données projet'!$E$13+1,1))</f>
        <v>765.9523557587147</v>
      </c>
      <c r="CZ179" s="59">
        <f t="shared" si="150"/>
        <v>347.40395092312815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140.17545722397563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140.17545722397563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146.15384615384625</v>
      </c>
      <c r="DP179" s="17">
        <f>DO179*VLOOKUP('Données projet'!$B$14,Paramètres!$A$1:$I$89,3,0)*VLOOKUP('Données projet'!$B$14,Paramètres!$A$1:$I$89,5,0)</f>
        <v>127.68000000000011</v>
      </c>
      <c r="DQ179" s="13">
        <f t="shared" si="176"/>
        <v>33.45971491465221</v>
      </c>
      <c r="DR179" s="20">
        <f t="shared" si="177"/>
        <v>280.65167014301943</v>
      </c>
      <c r="DS179" s="59">
        <f t="shared" si="125"/>
        <v>569.77207161685703</v>
      </c>
      <c r="DT179" s="59">
        <f ca="1">AVERAGE(OFFSET($DS$3,0,0,'Données projet'!$E$14+1,1))-AVERAGE(OFFSET($H$3,0,0,'Données projet'!$E$14+1,1))</f>
        <v>253.82888243490106</v>
      </c>
      <c r="DU179" s="59">
        <f t="shared" si="152"/>
        <v>224.11983819941796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4.2444173079669474</v>
      </c>
      <c r="EB179" s="21">
        <f>EXP(-LN(2)/25)*EB178+(1-EXP(-LN(2)/25))/(LN(2)/25)*Calculateur!DW179*Calculateur!DY179*VLOOKUP('Données projet'!$B$14,Paramètres!$A$1:$I$89,3,0)*0.475*44/12</f>
        <v>1.0728922130777934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5.3173095210447405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-4.5474735088646412E-13</v>
      </c>
      <c r="O180" s="13">
        <f>N180*VLOOKUP('Données projet'!$B$9,Paramètres!$A$1:$I$89,3,0)*VLOOKUP('Données projet'!$B$9,Paramètres!$A$1:$I$89,5,0)</f>
        <v>-2.1282176021486519E-13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387.50901594883317</v>
      </c>
      <c r="T180" s="59">
        <f t="shared" si="142"/>
        <v>361.3623790401972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49.603587095923835</v>
      </c>
      <c r="AA180" s="21">
        <f>EXP(-LN(2)/25)*AA179+(1-EXP(-LN(2)/25))/(LN(2)/25)*Calculateur!V180*Calculateur!X180*VLOOKUP('Données projet'!$B$9,Paramètres!$A$1:$I$89,3,0)*0.475*44/12</f>
        <v>11.445890577403196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61.049477673327033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373.47758082856359</v>
      </c>
      <c r="AO180" s="59">
        <f t="shared" si="144"/>
        <v>277.24895424120166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25.19793039913791</v>
      </c>
      <c r="AV180" s="21">
        <f>EXP(-LN(2)/25)*AV179+(1-EXP(-LN(2)/25))/(LN(2)/25)*Calculateur!AQ180*Calculateur!AS180*VLOOKUP('Données projet'!$B$10,Paramètres!$A$1:$I$89,3,0)*0.475*44/12</f>
        <v>5.4840644227903486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30.681994821928257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>
        <f>VLOOKUP(A180,'Données projet'!$A$87:$I$107,2,0)</f>
        <v>347.04</v>
      </c>
      <c r="BB180" s="12">
        <f>VLOOKUP(A180,'Données projet'!$A$87:$I$107,9,0)</f>
        <v>5.3866666666666747</v>
      </c>
      <c r="BC180" s="12">
        <f t="array" ref="BC180">INDEX(BB:BB,MIN(IF(ISNUMBER(BB180:BB376),ROW(BB180:BB376),"")))</f>
        <v>5.3866666666666747</v>
      </c>
      <c r="BD180" s="12">
        <f>IF('Données projet'!$A$88&gt;35,BD179+BC180-BL179,IF(A180&lt;'Données projet'!$A$88,$BA$205^A180,IF(A180='Données projet'!$A$88,'Données projet'!$B$88,BD179+BC180-BL179)))</f>
        <v>347.04000000000053</v>
      </c>
      <c r="BE180" s="13">
        <f>BD180*VLOOKUP('Données projet'!$B$11,Paramètres!$A$1:$I$89,3,0)*VLOOKUP('Données projet'!$B$11,Paramètres!$A$1:$I$89,5,0)</f>
        <v>314.00179200000048</v>
      </c>
      <c r="BF180" s="13">
        <f t="shared" si="167"/>
        <v>74.103938722927282</v>
      </c>
      <c r="BG180" s="20">
        <f t="shared" si="168"/>
        <v>675.95081434243241</v>
      </c>
      <c r="BH180" s="59">
        <f t="shared" si="116"/>
        <v>965.14430076532767</v>
      </c>
      <c r="BI180" s="59">
        <f ca="1">AVERAGE(OFFSET($BH$3,0,0,'Données projet'!$E$11+1,1))-AVERAGE(OFFSET($H$3,0,0,'Données projet'!$E$11+1,1))</f>
        <v>627.65081154031589</v>
      </c>
      <c r="BJ180" s="59">
        <f t="shared" si="146"/>
        <v>288.78083487077618</v>
      </c>
      <c r="BK180" s="15">
        <f>IF(ISNA(VLOOKUP(A180,'Données projet'!$A$87:$I$107,3,0)),0,VLOOKUP(A180,'Données projet'!$A$87:$I$107,3,0))</f>
        <v>16</v>
      </c>
      <c r="BL180" s="15">
        <f>IF(ISNA(VLOOKUP(A180,'Données projet'!$A$87:$I$107,4,0)),0,VLOOKUP(A180,'Données projet'!$A$87:$I$107,4,0))</f>
        <v>115.19</v>
      </c>
      <c r="BM180" s="16">
        <f>IF(ISNA(VLOOKUP(A180,'Données projet'!$A$87:$I$107,5,0)),0%,VLOOKUP(A180,'Données projet'!$A$87:$I$107,5,0)*VLOOKUP('Données projet'!$B$11,Paramètres!$A$1:$I$89,7,0))</f>
        <v>0.25800000000000001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138.91418204963006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138.91418204963006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347.04</v>
      </c>
      <c r="BW180" s="12">
        <f>VLOOKUP(A180,'Données projet'!$A$113:$I$133,9,0)</f>
        <v>5.3866666666666747</v>
      </c>
      <c r="BX180" s="12">
        <f t="array" ref="BX180">INDEX(BW:BW,MIN(IF(ISNUMBER(BW180:BW376),ROW(BW180:BW376),"")))</f>
        <v>5.3866666666666747</v>
      </c>
      <c r="BY180" s="12">
        <f>IF('Données projet'!$A$114&gt;35,BY179+BX180-CG179,IF(A180&lt;'Données projet'!$A$114,$BV$205^A180,IF(A180='Données projet'!$A$114,'Données projet'!$B$114,BY179+BX180-CG179)))</f>
        <v>347.04000000000053</v>
      </c>
      <c r="BZ180" s="13">
        <f>BY180*VLOOKUP('Données projet'!$B$12,Paramètres!$A$1:$I$89,3,0)*VLOOKUP('Données projet'!$B$12,Paramètres!$A$1:$I$89,5,0)</f>
        <v>351.8985600000006</v>
      </c>
      <c r="CA180" s="13">
        <f t="shared" si="170"/>
        <v>81.953321289050805</v>
      </c>
      <c r="CB180" s="20">
        <f t="shared" si="171"/>
        <v>755.62535991176446</v>
      </c>
      <c r="CC180" s="59">
        <f t="shared" si="119"/>
        <v>1044.8188463346596</v>
      </c>
      <c r="CD180" s="59">
        <f ca="1">AVERAGE(OFFSET($CC$3,0,0,'Données projet'!$E$12+1,1))-AVERAGE(OFFSET($H$3,0,0,'Données projet'!$E$12+1,1))</f>
        <v>692.2706942067415</v>
      </c>
      <c r="CE180" s="59">
        <f t="shared" si="148"/>
        <v>316.17529091924803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0.25800000000000001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155.67968677975784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155.67968677975784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>
        <f>VLOOKUP(A180,'Données projet'!$A$139:$I$159,2,0)</f>
        <v>347.04</v>
      </c>
      <c r="CR180" s="12">
        <f>VLOOKUP(A180,'Données projet'!$A$139:$I$159,9,0)</f>
        <v>5.3866666666666747</v>
      </c>
      <c r="CS180" s="12">
        <f t="array" ref="CS180">INDEX(CR:CR,MIN(IF(ISNUMBER(CR180:CR376),ROW(CR180:CR376),"")))</f>
        <v>5.3866666666666747</v>
      </c>
      <c r="CT180" s="12">
        <f>IF('Données projet'!$A$140&gt;35,CT179+CS180-DB179,IF(A180&lt;'Données projet'!$A$140,$CQ$205^A180,IF(A180='Données projet'!$A$140,'Données projet'!$B$140,CT179+CS180-DB179)))</f>
        <v>347.04000000000053</v>
      </c>
      <c r="CU180" s="17">
        <f>CT180*VLOOKUP('Données projet'!$B$13,Paramètres!$A$1:$I$89,3,0)*VLOOKUP('Données projet'!$B$13,Paramètres!$A$1:$I$89,5,0)</f>
        <v>395.20915200000059</v>
      </c>
      <c r="CV180" s="13">
        <f t="shared" si="173"/>
        <v>90.804714232975144</v>
      </c>
      <c r="CW180" s="20">
        <f t="shared" si="174"/>
        <v>846.47415035576603</v>
      </c>
      <c r="CX180" s="59">
        <f t="shared" si="122"/>
        <v>1135.6676367786613</v>
      </c>
      <c r="CY180" s="59">
        <f ca="1">AVERAGE(OFFSET($CX$3,0,0,'Données projet'!$E$13+1,1))-AVERAGE(OFFSET($H$3,0,0,'Données projet'!$E$13+1,1))</f>
        <v>765.9523557587147</v>
      </c>
      <c r="CZ180" s="59">
        <f t="shared" si="150"/>
        <v>347.40395092312815</v>
      </c>
      <c r="DA180" s="15">
        <f>IF(ISNA(VLOOKUP(A180,'Données projet'!$A$139:$I$159,3,0)),0,VLOOKUP(A180,'Données projet'!$A$139:$I$159,3,0))</f>
        <v>16</v>
      </c>
      <c r="DB180" s="15">
        <f>IF(ISNA(VLOOKUP(A180,'Données projet'!$A$139:$I$159,4,0)),0,VLOOKUP(A180,'Données projet'!$A$139:$I$159,4,0))</f>
        <v>115.19</v>
      </c>
      <c r="DC180" s="16">
        <f>IF(ISNA(VLOOKUP(A180,'Données projet'!$A$139:$I$159,5,0)),0%,VLOOKUP(A180,'Données projet'!$A$139:$I$159,5,0)*VLOOKUP('Données projet'!$B$13,Paramètres!$A$1:$I$89,7,0))</f>
        <v>0.25800000000000001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174.84026361418955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174.84026361418955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146.15384615384625</v>
      </c>
      <c r="DP180" s="17">
        <f>DO180*VLOOKUP('Données projet'!$B$14,Paramètres!$A$1:$I$89,3,0)*VLOOKUP('Données projet'!$B$14,Paramètres!$A$1:$I$89,5,0)</f>
        <v>127.68000000000011</v>
      </c>
      <c r="DQ180" s="13">
        <f t="shared" si="176"/>
        <v>33.45971491465221</v>
      </c>
      <c r="DR180" s="20">
        <f t="shared" si="177"/>
        <v>280.65167014301943</v>
      </c>
      <c r="DS180" s="59">
        <f t="shared" si="125"/>
        <v>569.84515656591475</v>
      </c>
      <c r="DT180" s="59">
        <f ca="1">AVERAGE(OFFSET($DS$3,0,0,'Données projet'!$E$14+1,1))-AVERAGE(OFFSET($H$3,0,0,'Données projet'!$E$14+1,1))</f>
        <v>253.82888243490106</v>
      </c>
      <c r="DU180" s="59">
        <f t="shared" si="152"/>
        <v>224.11983819941796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4.1611868733966464</v>
      </c>
      <c r="EB180" s="21">
        <f>EXP(-LN(2)/25)*EB179+(1-EXP(-LN(2)/25))/(LN(2)/25)*Calculateur!DW180*Calculateur!DY180*VLOOKUP('Données projet'!$B$14,Paramètres!$A$1:$I$89,3,0)*0.475*44/12</f>
        <v>1.0435539190902317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5.204740792486878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-4.5474735088646412E-13</v>
      </c>
      <c r="O181" s="13">
        <f>N181*VLOOKUP('Données projet'!$B$9,Paramètres!$A$1:$I$89,3,0)*VLOOKUP('Données projet'!$B$9,Paramètres!$A$1:$I$89,5,0)</f>
        <v>-2.1282176021486519E-13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387.50901594883317</v>
      </c>
      <c r="T181" s="59">
        <f t="shared" si="142"/>
        <v>361.3623790401972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48.630891008173442</v>
      </c>
      <c r="AA181" s="21">
        <f>EXP(-LN(2)/25)*AA180+(1-EXP(-LN(2)/25))/(LN(2)/25)*Calculateur!V181*Calculateur!X181*VLOOKUP('Données projet'!$B$9,Paramètres!$A$1:$I$89,3,0)*0.475*44/12</f>
        <v>11.132902097650881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59.76379310582432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373.47758082856359</v>
      </c>
      <c r="AO181" s="59">
        <f t="shared" si="144"/>
        <v>277.24895424120166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24.703814353230776</v>
      </c>
      <c r="AV181" s="21">
        <f>EXP(-LN(2)/25)*AV180+(1-EXP(-LN(2)/25))/(LN(2)/25)*Calculateur!AQ181*Calculateur!AS181*VLOOKUP('Données projet'!$B$10,Paramètres!$A$1:$I$89,3,0)*0.475*44/12</f>
        <v>5.3341023927547324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30.037916745985509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3.2566666666666606</v>
      </c>
      <c r="BD181" s="12">
        <f>IF('Données projet'!$A$88&gt;35,BD180+BC181-BL180,IF(A181&lt;'Données projet'!$A$88,$BA$205^A181,IF(A181='Données projet'!$A$88,'Données projet'!$B$88,BD180+BC181-BL180)))</f>
        <v>235.10666666666719</v>
      </c>
      <c r="BE181" s="13">
        <f>BD181*VLOOKUP('Données projet'!$B$11,Paramètres!$A$1:$I$89,3,0)*VLOOKUP('Données projet'!$B$11,Paramètres!$A$1:$I$89,5,0)</f>
        <v>212.72451200000049</v>
      </c>
      <c r="BF181" s="13">
        <f t="shared" si="167"/>
        <v>52.530512718953382</v>
      </c>
      <c r="BG181" s="20">
        <f t="shared" si="168"/>
        <v>461.98583471884461</v>
      </c>
      <c r="BH181" s="59">
        <f t="shared" si="116"/>
        <v>751.25113823032484</v>
      </c>
      <c r="BI181" s="59">
        <f ca="1">AVERAGE(OFFSET($BH$3,0,0,'Données projet'!$E$11+1,1))-AVERAGE(OFFSET($H$3,0,0,'Données projet'!$E$11+1,1))</f>
        <v>627.65081154031589</v>
      </c>
      <c r="BJ181" s="59">
        <f t="shared" si="146"/>
        <v>288.78083487077618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136.19015966892155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136.19015966892155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3.2566666666666606</v>
      </c>
      <c r="BY181" s="12">
        <f>IF('Données projet'!$A$114&gt;35,BY180+BX181-CG180,IF(A181&lt;'Données projet'!$A$114,$BV$205^A181,IF(A181='Données projet'!$A$114,'Données projet'!$B$114,BY180+BX181-CG180)))</f>
        <v>235.10666666666719</v>
      </c>
      <c r="BZ181" s="13">
        <f>BY181*VLOOKUP('Données projet'!$B$12,Paramètres!$A$1:$I$89,3,0)*VLOOKUP('Données projet'!$B$12,Paramètres!$A$1:$I$89,5,0)</f>
        <v>238.39816000000053</v>
      </c>
      <c r="CA181" s="13">
        <f t="shared" si="170"/>
        <v>58.09475259380514</v>
      </c>
      <c r="CB181" s="20">
        <f t="shared" si="171"/>
        <v>516.39182276754491</v>
      </c>
      <c r="CC181" s="59">
        <f t="shared" si="119"/>
        <v>805.65712627902508</v>
      </c>
      <c r="CD181" s="59">
        <f ca="1">AVERAGE(OFFSET($CC$3,0,0,'Données projet'!$E$12+1,1))-AVERAGE(OFFSET($H$3,0,0,'Données projet'!$E$12+1,1))</f>
        <v>692.2706942067415</v>
      </c>
      <c r="CE181" s="59">
        <f t="shared" si="148"/>
        <v>316.17529091924803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152.62690307723969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152.62690307723969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3.2566666666666606</v>
      </c>
      <c r="CT181" s="12">
        <f>IF('Données projet'!$A$140&gt;35,CT180+CS181-DB180,IF(A181&lt;'Données projet'!$A$140,$CQ$205^A181,IF(A181='Données projet'!$A$140,'Données projet'!$B$140,CT180+CS181-DB180)))</f>
        <v>235.10666666666719</v>
      </c>
      <c r="CU181" s="17">
        <f>CT181*VLOOKUP('Données projet'!$B$13,Paramètres!$A$1:$I$89,3,0)*VLOOKUP('Données projet'!$B$13,Paramètres!$A$1:$I$89,5,0)</f>
        <v>267.7394720000006</v>
      </c>
      <c r="CV181" s="13">
        <f t="shared" si="173"/>
        <v>64.369293699639954</v>
      </c>
      <c r="CW181" s="20">
        <f t="shared" si="174"/>
        <v>578.42276692687403</v>
      </c>
      <c r="CX181" s="59">
        <f t="shared" si="122"/>
        <v>867.6880704383542</v>
      </c>
      <c r="CY181" s="59">
        <f ca="1">AVERAGE(OFFSET($CX$3,0,0,'Données projet'!$E$13+1,1))-AVERAGE(OFFSET($H$3,0,0,'Données projet'!$E$13+1,1))</f>
        <v>765.9523557587147</v>
      </c>
      <c r="CZ181" s="59">
        <f t="shared" si="150"/>
        <v>347.40395092312815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171.41175268674607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171.41175268674607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146.15384615384625</v>
      </c>
      <c r="DP181" s="17">
        <f>DO181*VLOOKUP('Données projet'!$B$14,Paramètres!$A$1:$I$89,3,0)*VLOOKUP('Données projet'!$B$14,Paramètres!$A$1:$I$89,5,0)</f>
        <v>127.68000000000011</v>
      </c>
      <c r="DQ181" s="13">
        <f t="shared" si="176"/>
        <v>33.45971491465221</v>
      </c>
      <c r="DR181" s="20">
        <f t="shared" si="177"/>
        <v>280.65167014301943</v>
      </c>
      <c r="DS181" s="59">
        <f t="shared" si="125"/>
        <v>569.91697365449954</v>
      </c>
      <c r="DT181" s="59">
        <f ca="1">AVERAGE(OFFSET($DS$3,0,0,'Données projet'!$E$14+1,1))-AVERAGE(OFFSET($H$3,0,0,'Données projet'!$E$14+1,1))</f>
        <v>253.82888243490106</v>
      </c>
      <c r="DU181" s="59">
        <f t="shared" si="152"/>
        <v>224.11983819941796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4.0795885368827172</v>
      </c>
      <c r="EB181" s="21">
        <f>EXP(-LN(2)/25)*EB180+(1-EXP(-LN(2)/25))/(LN(2)/25)*Calculateur!DW181*Calculateur!DY181*VLOOKUP('Données projet'!$B$14,Paramètres!$A$1:$I$89,3,0)*0.475*44/12</f>
        <v>1.0150178822945937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5.0946064191773104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-4.5474735088646412E-13</v>
      </c>
      <c r="O182" s="13">
        <f>N182*VLOOKUP('Données projet'!$B$9,Paramètres!$A$1:$I$89,3,0)*VLOOKUP('Données projet'!$B$9,Paramètres!$A$1:$I$89,5,0)</f>
        <v>-2.1282176021486519E-13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387.50901594883317</v>
      </c>
      <c r="T182" s="59">
        <f t="shared" si="142"/>
        <v>361.3623790401972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47.677268897417804</v>
      </c>
      <c r="AA182" s="21">
        <f>EXP(-LN(2)/25)*AA181+(1-EXP(-LN(2)/25))/(LN(2)/25)*Calculateur!V182*Calculateur!X182*VLOOKUP('Données projet'!$B$9,Paramètres!$A$1:$I$89,3,0)*0.475*44/12</f>
        <v>10.82847230433674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58.505741201754546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373.47758082856359</v>
      </c>
      <c r="AO182" s="59">
        <f t="shared" si="144"/>
        <v>277.24895424120166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24.219387621602849</v>
      </c>
      <c r="AV182" s="21">
        <f>EXP(-LN(2)/25)*AV181+(1-EXP(-LN(2)/25))/(LN(2)/25)*Calculateur!AQ182*Calculateur!AS182*VLOOKUP('Données projet'!$B$10,Paramètres!$A$1:$I$89,3,0)*0.475*44/12</f>
        <v>5.1882410823166003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29.40762870391945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3.2566666666666606</v>
      </c>
      <c r="BD182" s="12">
        <f>IF('Données projet'!$A$88&gt;35,BD181+BC182-BL181,IF(A182&lt;'Données projet'!$A$88,$BA$205^A182,IF(A182='Données projet'!$A$88,'Données projet'!$B$88,BD181+BC182-BL181)))</f>
        <v>238.36333333333386</v>
      </c>
      <c r="BE182" s="13">
        <f>BD182*VLOOKUP('Données projet'!$B$11,Paramètres!$A$1:$I$89,3,0)*VLOOKUP('Données projet'!$B$11,Paramètres!$A$1:$I$89,5,0)</f>
        <v>215.67114400000045</v>
      </c>
      <c r="BF182" s="13">
        <f t="shared" si="167"/>
        <v>53.172944836363733</v>
      </c>
      <c r="BG182" s="20">
        <f t="shared" si="168"/>
        <v>468.23678805666754</v>
      </c>
      <c r="BH182" s="59">
        <f t="shared" si="116"/>
        <v>757.57266279080466</v>
      </c>
      <c r="BI182" s="59">
        <f ca="1">AVERAGE(OFFSET($BH$3,0,0,'Données projet'!$E$11+1,1))-AVERAGE(OFFSET($H$3,0,0,'Données projet'!$E$11+1,1))</f>
        <v>627.65081154031589</v>
      </c>
      <c r="BJ182" s="59">
        <f t="shared" si="146"/>
        <v>288.78083487077618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133.51955370560913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133.51955370560913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3.2566666666666606</v>
      </c>
      <c r="BY182" s="12">
        <f>IF('Données projet'!$A$114&gt;35,BY181+BX182-CG181,IF(A182&lt;'Données projet'!$A$114,$BV$205^A182,IF(A182='Données projet'!$A$114,'Données projet'!$B$114,BY181+BX182-CG181)))</f>
        <v>238.36333333333386</v>
      </c>
      <c r="BZ182" s="13">
        <f>BY182*VLOOKUP('Données projet'!$B$12,Paramètres!$A$1:$I$89,3,0)*VLOOKUP('Données projet'!$B$12,Paramètres!$A$1:$I$89,5,0)</f>
        <v>241.70042000000055</v>
      </c>
      <c r="CA182" s="13">
        <f t="shared" si="170"/>
        <v>58.805233664472574</v>
      </c>
      <c r="CB182" s="20">
        <f t="shared" si="171"/>
        <v>523.38068013229065</v>
      </c>
      <c r="CC182" s="59">
        <f t="shared" si="119"/>
        <v>812.71655486642771</v>
      </c>
      <c r="CD182" s="59">
        <f ca="1">AVERAGE(OFFSET($CC$3,0,0,'Données projet'!$E$12+1,1))-AVERAGE(OFFSET($H$3,0,0,'Données projet'!$E$12+1,1))</f>
        <v>692.2706942067415</v>
      </c>
      <c r="CE182" s="59">
        <f t="shared" si="148"/>
        <v>316.17529091924803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149.6339826011137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149.6339826011137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3.2566666666666606</v>
      </c>
      <c r="CT182" s="12">
        <f>IF('Données projet'!$A$140&gt;35,CT181+CS182-DB181,IF(A182&lt;'Données projet'!$A$140,$CQ$205^A182,IF(A182='Données projet'!$A$140,'Données projet'!$B$140,CT181+CS182-DB181)))</f>
        <v>238.36333333333386</v>
      </c>
      <c r="CU182" s="17">
        <f>CT182*VLOOKUP('Données projet'!$B$13,Paramètres!$A$1:$I$89,3,0)*VLOOKUP('Données projet'!$B$13,Paramètres!$A$1:$I$89,5,0)</f>
        <v>271.44816400000059</v>
      </c>
      <c r="CV182" s="13">
        <f t="shared" si="173"/>
        <v>65.156510490553757</v>
      </c>
      <c r="CW182" s="20">
        <f t="shared" si="174"/>
        <v>586.25314140438206</v>
      </c>
      <c r="CX182" s="59">
        <f t="shared" si="122"/>
        <v>875.58901613851913</v>
      </c>
      <c r="CY182" s="59">
        <f ca="1">AVERAGE(OFFSET($CX$3,0,0,'Données projet'!$E$13+1,1))-AVERAGE(OFFSET($H$3,0,0,'Données projet'!$E$13+1,1))</f>
        <v>765.9523557587147</v>
      </c>
      <c r="CZ182" s="59">
        <f t="shared" si="150"/>
        <v>347.40395092312815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168.05047276740459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168.05047276740459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146.15384615384625</v>
      </c>
      <c r="DP182" s="17">
        <f>DO182*VLOOKUP('Données projet'!$B$14,Paramètres!$A$1:$I$89,3,0)*VLOOKUP('Données projet'!$B$14,Paramètres!$A$1:$I$89,5,0)</f>
        <v>127.68000000000011</v>
      </c>
      <c r="DQ182" s="13">
        <f t="shared" si="176"/>
        <v>33.45971491465221</v>
      </c>
      <c r="DR182" s="20">
        <f t="shared" si="177"/>
        <v>280.65167014301943</v>
      </c>
      <c r="DS182" s="59">
        <f t="shared" si="125"/>
        <v>569.98754487715655</v>
      </c>
      <c r="DT182" s="59">
        <f ca="1">AVERAGE(OFFSET($DS$3,0,0,'Données projet'!$E$14+1,1))-AVERAGE(OFFSET($H$3,0,0,'Données projet'!$E$14+1,1))</f>
        <v>253.82888243490106</v>
      </c>
      <c r="DU182" s="59">
        <f t="shared" si="152"/>
        <v>224.11983819941796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3.999590293977755</v>
      </c>
      <c r="EB182" s="21">
        <f>EXP(-LN(2)/25)*EB181+(1-EXP(-LN(2)/25))/(LN(2)/25)*Calculateur!DW182*Calculateur!DY182*VLOOKUP('Données projet'!$B$14,Paramètres!$A$1:$I$89,3,0)*0.475*44/12</f>
        <v>0.98726216492577745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4.9868524589035328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-4.5474735088646412E-13</v>
      </c>
      <c r="O183" s="13">
        <f>N183*VLOOKUP('Données projet'!$B$9,Paramètres!$A$1:$I$89,3,0)*VLOOKUP('Données projet'!$B$9,Paramètres!$A$1:$I$89,5,0)</f>
        <v>-2.1282176021486519E-13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387.50901594883317</v>
      </c>
      <c r="T183" s="59">
        <f t="shared" si="142"/>
        <v>361.3623790401972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46.74234673460203</v>
      </c>
      <c r="AA183" s="21">
        <f>EXP(-LN(2)/25)*AA182+(1-EXP(-LN(2)/25))/(LN(2)/25)*Calculateur!V183*Calculateur!X183*VLOOKUP('Données projet'!$B$9,Paramètres!$A$1:$I$89,3,0)*0.475*44/12</f>
        <v>10.532367159730043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57.274713894332073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373.47758082856359</v>
      </c>
      <c r="AO183" s="59">
        <f t="shared" si="144"/>
        <v>277.24895424120166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23.744460202711014</v>
      </c>
      <c r="AV183" s="21">
        <f>EXP(-LN(2)/25)*AV182+(1-EXP(-LN(2)/25))/(LN(2)/25)*Calculateur!AQ183*Calculateur!AS183*VLOOKUP('Données projet'!$B$10,Paramètres!$A$1:$I$89,3,0)*0.475*44/12</f>
        <v>5.0463683570829119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28.790828559793926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>
        <f>VLOOKUP(A183,'Données projet'!$A$87:$I$107,2,0)</f>
        <v>241.62</v>
      </c>
      <c r="BB183" s="12">
        <f>VLOOKUP(A183,'Données projet'!$A$87:$I$107,9,0)</f>
        <v>3.2566666666666606</v>
      </c>
      <c r="BC183" s="12">
        <f t="array" ref="BC183">INDEX(BB:BB,MIN(IF(ISNUMBER(BB183:BB379),ROW(BB183:BB379),"")))</f>
        <v>3.2566666666666606</v>
      </c>
      <c r="BD183" s="12">
        <f>IF('Données projet'!$A$88&gt;35,BD182+BC183-BL182,IF(A183&lt;'Données projet'!$A$88,$BA$205^A183,IF(A183='Données projet'!$A$88,'Données projet'!$B$88,BD182+BC183-BL182)))</f>
        <v>241.62000000000052</v>
      </c>
      <c r="BE183" s="13">
        <f>BD183*VLOOKUP('Données projet'!$B$11,Paramètres!$A$1:$I$89,3,0)*VLOOKUP('Données projet'!$B$11,Paramètres!$A$1:$I$89,5,0)</f>
        <v>218.61777600000045</v>
      </c>
      <c r="BF183" s="13">
        <f t="shared" si="167"/>
        <v>53.814356054061541</v>
      </c>
      <c r="BG183" s="20">
        <f t="shared" si="168"/>
        <v>474.48596332749122</v>
      </c>
      <c r="BH183" s="59">
        <f t="shared" si="116"/>
        <v>763.89118503134591</v>
      </c>
      <c r="BI183" s="59">
        <f ca="1">AVERAGE(OFFSET($BH$3,0,0,'Données projet'!$E$11+1,1))-AVERAGE(OFFSET($H$3,0,0,'Données projet'!$E$11+1,1))</f>
        <v>627.65081154031589</v>
      </c>
      <c r="BJ183" s="59">
        <f t="shared" si="146"/>
        <v>288.78083487077618</v>
      </c>
      <c r="BK183" s="15">
        <f>IF(ISNA(VLOOKUP(A183,'Données projet'!$A$87:$I$107,3,0)),0,VLOOKUP(A183,'Données projet'!$A$87:$I$107,3,0))</f>
        <v>17</v>
      </c>
      <c r="BL183" s="15">
        <f>IF(ISNA(VLOOKUP(A183,'Données projet'!$A$87:$I$107,4,0)),0,VLOOKUP(A183,'Données projet'!$A$87:$I$107,4,0))</f>
        <v>77.72</v>
      </c>
      <c r="BM183" s="16">
        <f>IF(ISNA(VLOOKUP(A183,'Données projet'!$A$87:$I$107,5,0)),0%,VLOOKUP(A183,'Données projet'!$A$87:$I$107,5,0)*VLOOKUP('Données projet'!$B$11,Paramètres!$A$1:$I$89,7,0))</f>
        <v>0.25800000000000001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150.95768056842175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150.95768056842175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241.62</v>
      </c>
      <c r="BW183" s="12">
        <f>VLOOKUP(A183,'Données projet'!$A$113:$I$133,9,0)</f>
        <v>3.2566666666666606</v>
      </c>
      <c r="BX183" s="12">
        <f t="array" ref="BX183">INDEX(BW:BW,MIN(IF(ISNUMBER(BW183:BW379),ROW(BW183:BW379),"")))</f>
        <v>3.2566666666666606</v>
      </c>
      <c r="BY183" s="12">
        <f>IF('Données projet'!$A$114&gt;35,BY182+BX183-CG182,IF(A183&lt;'Données projet'!$A$114,$BV$205^A183,IF(A183='Données projet'!$A$114,'Données projet'!$B$114,BY182+BX183-CG182)))</f>
        <v>241.62000000000052</v>
      </c>
      <c r="BZ183" s="13">
        <f>BY183*VLOOKUP('Données projet'!$B$12,Paramètres!$A$1:$I$89,3,0)*VLOOKUP('Données projet'!$B$12,Paramètres!$A$1:$I$89,5,0)</f>
        <v>245.00268000000054</v>
      </c>
      <c r="CA183" s="13">
        <f t="shared" si="170"/>
        <v>59.514585697688133</v>
      </c>
      <c r="CB183" s="20">
        <f t="shared" si="171"/>
        <v>530.36757109014115</v>
      </c>
      <c r="CC183" s="59">
        <f t="shared" si="119"/>
        <v>819.77279279399579</v>
      </c>
      <c r="CD183" s="59">
        <f ca="1">AVERAGE(OFFSET($CC$3,0,0,'Données projet'!$E$12+1,1))-AVERAGE(OFFSET($H$3,0,0,'Données projet'!$E$12+1,1))</f>
        <v>692.2706942067415</v>
      </c>
      <c r="CE183" s="59">
        <f t="shared" si="148"/>
        <v>316.17529091924803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0.25800000000000001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169.17671098185198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169.17671098185198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>
        <f>VLOOKUP(A183,'Données projet'!$A$139:$I$159,2,0)</f>
        <v>241.62</v>
      </c>
      <c r="CR183" s="12">
        <f>VLOOKUP(A183,'Données projet'!$A$139:$I$159,9,0)</f>
        <v>3.2566666666666606</v>
      </c>
      <c r="CS183" s="12">
        <f t="array" ref="CS183">INDEX(CR:CR,MIN(IF(ISNUMBER(CR183:CR379),ROW(CR183:CR379),"")))</f>
        <v>3.2566666666666606</v>
      </c>
      <c r="CT183" s="12">
        <f>IF('Données projet'!$A$140&gt;35,CT182+CS183-DB182,IF(A183&lt;'Données projet'!$A$140,$CQ$205^A183,IF(A183='Données projet'!$A$140,'Données projet'!$B$140,CT182+CS183-DB182)))</f>
        <v>241.62000000000052</v>
      </c>
      <c r="CU183" s="17">
        <f>CT183*VLOOKUP('Données projet'!$B$13,Paramètres!$A$1:$I$89,3,0)*VLOOKUP('Données projet'!$B$13,Paramètres!$A$1:$I$89,5,0)</f>
        <v>275.15685600000057</v>
      </c>
      <c r="CV183" s="13">
        <f t="shared" si="173"/>
        <v>65.942476301988421</v>
      </c>
      <c r="CW183" s="20">
        <f t="shared" si="174"/>
        <v>594.08133709263075</v>
      </c>
      <c r="CX183" s="59">
        <f t="shared" si="122"/>
        <v>883.48655879648538</v>
      </c>
      <c r="CY183" s="59">
        <f ca="1">AVERAGE(OFFSET($CX$3,0,0,'Données projet'!$E$13+1,1))-AVERAGE(OFFSET($H$3,0,0,'Données projet'!$E$13+1,1))</f>
        <v>765.9523557587147</v>
      </c>
      <c r="CZ183" s="59">
        <f t="shared" si="150"/>
        <v>347.40395092312815</v>
      </c>
      <c r="DA183" s="15">
        <f>IF(ISNA(VLOOKUP(A183,'Données projet'!$A$139:$I$159,3,0)),0,VLOOKUP(A183,'Données projet'!$A$139:$I$159,3,0))</f>
        <v>17</v>
      </c>
      <c r="DB183" s="15">
        <f>IF(ISNA(VLOOKUP(A183,'Données projet'!$A$139:$I$159,4,0)),0,VLOOKUP(A183,'Données projet'!$A$139:$I$159,4,0))</f>
        <v>77.72</v>
      </c>
      <c r="DC183" s="16">
        <f>IF(ISNA(VLOOKUP(A183,'Données projet'!$A$139:$I$159,5,0)),0%,VLOOKUP(A183,'Données projet'!$A$139:$I$159,5,0)*VLOOKUP('Données projet'!$B$13,Paramètres!$A$1:$I$89,7,0))</f>
        <v>0.25800000000000001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189.9984600257722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189.9984600257722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146.15384615384625</v>
      </c>
      <c r="DP183" s="17">
        <f>DO183*VLOOKUP('Données projet'!$B$14,Paramètres!$A$1:$I$89,3,0)*VLOOKUP('Données projet'!$B$14,Paramètres!$A$1:$I$89,5,0)</f>
        <v>127.68000000000011</v>
      </c>
      <c r="DQ183" s="13">
        <f t="shared" si="176"/>
        <v>33.45971491465221</v>
      </c>
      <c r="DR183" s="20">
        <f t="shared" si="177"/>
        <v>280.65167014301943</v>
      </c>
      <c r="DS183" s="59">
        <f t="shared" si="125"/>
        <v>570.05689184687412</v>
      </c>
      <c r="DT183" s="59">
        <f ca="1">AVERAGE(OFFSET($DS$3,0,0,'Données projet'!$E$14+1,1))-AVERAGE(OFFSET($H$3,0,0,'Données projet'!$E$14+1,1))</f>
        <v>253.82888243490106</v>
      </c>
      <c r="DU183" s="59">
        <f t="shared" si="152"/>
        <v>224.11983819941796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3.921160767822049</v>
      </c>
      <c r="EB183" s="21">
        <f>EXP(-LN(2)/25)*EB182+(1-EXP(-LN(2)/25))/(LN(2)/25)*Calculateur!DW183*Calculateur!DY183*VLOOKUP('Données projet'!$B$14,Paramètres!$A$1:$I$89,3,0)*0.475*44/12</f>
        <v>0.96026542910802126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4.8814261969300698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-4.5474735088646412E-13</v>
      </c>
      <c r="O184" s="13">
        <f>N184*VLOOKUP('Données projet'!$B$9,Paramètres!$A$1:$I$89,3,0)*VLOOKUP('Données projet'!$B$9,Paramètres!$A$1:$I$89,5,0)</f>
        <v>-2.1282176021486519E-13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387.50901594883317</v>
      </c>
      <c r="T184" s="59">
        <f t="shared" si="142"/>
        <v>361.3623790401972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45.825757825152863</v>
      </c>
      <c r="AA184" s="21">
        <f>EXP(-LN(2)/25)*AA183+(1-EXP(-LN(2)/25))/(LN(2)/25)*Calculateur!V184*Calculateur!X184*VLOOKUP('Données projet'!$B$9,Paramètres!$A$1:$I$89,3,0)*0.475*44/12</f>
        <v>10.244359025874108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56.070116851026967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373.47758082856359</v>
      </c>
      <c r="AO184" s="59">
        <f t="shared" si="144"/>
        <v>277.24895424120166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23.278845820826529</v>
      </c>
      <c r="AV184" s="21">
        <f>EXP(-LN(2)/25)*AV183+(1-EXP(-LN(2)/25))/(LN(2)/25)*Calculateur!AQ184*Calculateur!AS184*VLOOKUP('Données projet'!$B$10,Paramètres!$A$1:$I$89,3,0)*0.475*44/12</f>
        <v>4.9083751489815013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28.187220969808031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1.9533333333333285</v>
      </c>
      <c r="BD184" s="12">
        <f>IF('Données projet'!$A$88&gt;35,BD183+BC184-BL183,IF(A184&lt;'Données projet'!$A$88,$BA$205^A184,IF(A184='Données projet'!$A$88,'Données projet'!$B$88,BD183+BC184-BL183)))</f>
        <v>165.85333333333384</v>
      </c>
      <c r="BE184" s="13">
        <f>BD184*VLOOKUP('Données projet'!$B$11,Paramètres!$A$1:$I$89,3,0)*VLOOKUP('Données projet'!$B$11,Paramètres!$A$1:$I$89,5,0)</f>
        <v>150.06409600000046</v>
      </c>
      <c r="BF184" s="13">
        <f t="shared" si="167"/>
        <v>38.593151304664545</v>
      </c>
      <c r="BG184" s="20">
        <f t="shared" si="168"/>
        <v>328.57803905562486</v>
      </c>
      <c r="BH184" s="59">
        <f t="shared" si="116"/>
        <v>618.051404714309</v>
      </c>
      <c r="BI184" s="59">
        <f ca="1">AVERAGE(OFFSET($BH$3,0,0,'Données projet'!$E$11+1,1))-AVERAGE(OFFSET($H$3,0,0,'Données projet'!$E$11+1,1))</f>
        <v>627.65081154031589</v>
      </c>
      <c r="BJ184" s="59">
        <f t="shared" si="146"/>
        <v>288.78083487077618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147.99749252756848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147.99749252756848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1.9533333333333285</v>
      </c>
      <c r="BY184" s="12">
        <f>IF('Données projet'!$A$114&gt;35,BY183+BX184-CG183,IF(A184&lt;'Données projet'!$A$114,$BV$205^A184,IF(A184='Données projet'!$A$114,'Données projet'!$B$114,BY183+BX184-CG183)))</f>
        <v>165.85333333333384</v>
      </c>
      <c r="BZ184" s="13">
        <f>BY184*VLOOKUP('Données projet'!$B$12,Paramètres!$A$1:$I$89,3,0)*VLOOKUP('Données projet'!$B$12,Paramètres!$A$1:$I$89,5,0)</f>
        <v>168.17528000000053</v>
      </c>
      <c r="CA184" s="13">
        <f t="shared" si="170"/>
        <v>42.681090680670735</v>
      </c>
      <c r="CB184" s="20">
        <f t="shared" si="171"/>
        <v>367.24151226883578</v>
      </c>
      <c r="CC184" s="59">
        <f t="shared" si="119"/>
        <v>656.71487792751986</v>
      </c>
      <c r="CD184" s="59">
        <f ca="1">AVERAGE(OFFSET($CC$3,0,0,'Données projet'!$E$12+1,1))-AVERAGE(OFFSET($H$3,0,0,'Données projet'!$E$12+1,1))</f>
        <v>692.2706942067415</v>
      </c>
      <c r="CE184" s="59">
        <f t="shared" si="148"/>
        <v>316.17529091924803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165.85925886710262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165.85925886710262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1.9533333333333285</v>
      </c>
      <c r="CT184" s="12">
        <f>IF('Données projet'!$A$140&gt;35,CT183+CS184-DB183,IF(A184&lt;'Données projet'!$A$140,$CQ$205^A184,IF(A184='Données projet'!$A$140,'Données projet'!$B$140,CT183+CS184-DB183)))</f>
        <v>165.85333333333384</v>
      </c>
      <c r="CU184" s="17">
        <f>CT184*VLOOKUP('Données projet'!$B$13,Paramètres!$A$1:$I$89,3,0)*VLOOKUP('Données projet'!$B$13,Paramètres!$A$1:$I$89,5,0)</f>
        <v>188.87377600000056</v>
      </c>
      <c r="CV184" s="13">
        <f t="shared" si="173"/>
        <v>47.290874627771771</v>
      </c>
      <c r="CW184" s="20">
        <f t="shared" si="174"/>
        <v>411.32009984337014</v>
      </c>
      <c r="CX184" s="59">
        <f t="shared" si="122"/>
        <v>700.79346550205423</v>
      </c>
      <c r="CY184" s="59">
        <f ca="1">AVERAGE(OFFSET($CX$3,0,0,'Données projet'!$E$13+1,1))-AVERAGE(OFFSET($H$3,0,0,'Données projet'!$E$13+1,1))</f>
        <v>765.9523557587147</v>
      </c>
      <c r="CZ184" s="59">
        <f t="shared" si="150"/>
        <v>347.40395092312815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186.27270611228448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186.27270611228448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146.15384615384625</v>
      </c>
      <c r="DP184" s="17">
        <f>DO184*VLOOKUP('Données projet'!$B$14,Paramètres!$A$1:$I$89,3,0)*VLOOKUP('Données projet'!$B$14,Paramètres!$A$1:$I$89,5,0)</f>
        <v>127.68000000000011</v>
      </c>
      <c r="DQ184" s="13">
        <f t="shared" si="176"/>
        <v>33.45971491465221</v>
      </c>
      <c r="DR184" s="20">
        <f t="shared" si="177"/>
        <v>280.65167014301943</v>
      </c>
      <c r="DS184" s="59">
        <f t="shared" si="125"/>
        <v>570.12503580170346</v>
      </c>
      <c r="DT184" s="59">
        <f ca="1">AVERAGE(OFFSET($DS$3,0,0,'Données projet'!$E$14+1,1))-AVERAGE(OFFSET($H$3,0,0,'Données projet'!$E$14+1,1))</f>
        <v>253.82888243490106</v>
      </c>
      <c r="DU184" s="59">
        <f t="shared" si="152"/>
        <v>224.11983819941796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3.8442691968369691</v>
      </c>
      <c r="EB184" s="21">
        <f>EXP(-LN(2)/25)*EB183+(1-EXP(-LN(2)/25))/(LN(2)/25)*Calculateur!DW184*Calculateur!DY184*VLOOKUP('Données projet'!$B$14,Paramètres!$A$1:$I$89,3,0)*0.475*44/12</f>
        <v>0.93400692045089817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4.7782761172878674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-4.5474735088646412E-13</v>
      </c>
      <c r="O185" s="13">
        <f>N185*VLOOKUP('Données projet'!$B$9,Paramètres!$A$1:$I$89,3,0)*VLOOKUP('Données projet'!$B$9,Paramètres!$A$1:$I$89,5,0)</f>
        <v>-2.1282176021486519E-13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387.50901594883317</v>
      </c>
      <c r="T185" s="59">
        <f t="shared" si="142"/>
        <v>361.3623790401972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44.927142665153958</v>
      </c>
      <c r="AA185" s="21">
        <f>EXP(-LN(2)/25)*AA184+(1-EXP(-LN(2)/25))/(LN(2)/25)*Calculateur!V185*Calculateur!X185*VLOOKUP('Données projet'!$B$9,Paramètres!$A$1:$I$89,3,0)*0.475*44/12</f>
        <v>9.9642264895841528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54.891369154738115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373.47758082856359</v>
      </c>
      <c r="AO185" s="59">
        <f t="shared" si="144"/>
        <v>277.24895424120166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22.822361852974065</v>
      </c>
      <c r="AV185" s="21">
        <f>EXP(-LN(2)/25)*AV184+(1-EXP(-LN(2)/25))/(LN(2)/25)*Calculateur!AQ185*Calculateur!AS185*VLOOKUP('Données projet'!$B$10,Paramètres!$A$1:$I$89,3,0)*0.475*44/12</f>
        <v>4.7741553724123715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27.596517225386435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1.9533333333333285</v>
      </c>
      <c r="BD185" s="12">
        <f>IF('Données projet'!$A$88&gt;35,BD184+BC185-BL184,IF(A185&lt;'Données projet'!$A$88,$BA$205^A185,IF(A185='Données projet'!$A$88,'Données projet'!$B$88,BD184+BC185-BL184)))</f>
        <v>167.80666666666716</v>
      </c>
      <c r="BE185" s="13">
        <f>BD185*VLOOKUP('Données projet'!$B$11,Paramètres!$A$1:$I$89,3,0)*VLOOKUP('Données projet'!$B$11,Paramètres!$A$1:$I$89,5,0)</f>
        <v>151.83147200000045</v>
      </c>
      <c r="BF185" s="13">
        <f t="shared" si="167"/>
        <v>38.994499777620597</v>
      </c>
      <c r="BG185" s="20">
        <f t="shared" si="168"/>
        <v>332.35523417935661</v>
      </c>
      <c r="BH185" s="59">
        <f t="shared" si="116"/>
        <v>621.89556164760097</v>
      </c>
      <c r="BI185" s="59">
        <f ca="1">AVERAGE(OFFSET($BH$3,0,0,'Données projet'!$E$11+1,1))-AVERAGE(OFFSET($H$3,0,0,'Données projet'!$E$11+1,1))</f>
        <v>627.65081154031589</v>
      </c>
      <c r="BJ185" s="59">
        <f t="shared" si="146"/>
        <v>288.78083487077618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145.09535196865994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145.09535196865994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1.9533333333333285</v>
      </c>
      <c r="BY185" s="12">
        <f>IF('Données projet'!$A$114&gt;35,BY184+BX185-CG184,IF(A185&lt;'Données projet'!$A$114,$BV$205^A185,IF(A185='Données projet'!$A$114,'Données projet'!$B$114,BY184+BX185-CG184)))</f>
        <v>167.80666666666716</v>
      </c>
      <c r="BZ185" s="13">
        <f>BY185*VLOOKUP('Données projet'!$B$12,Paramètres!$A$1:$I$89,3,0)*VLOOKUP('Données projet'!$B$12,Paramètres!$A$1:$I$89,5,0)</f>
        <v>170.1559600000005</v>
      </c>
      <c r="CA185" s="13">
        <f t="shared" si="170"/>
        <v>43.124951572816009</v>
      </c>
      <c r="CB185" s="20">
        <f t="shared" si="171"/>
        <v>371.46425432265534</v>
      </c>
      <c r="CC185" s="59">
        <f t="shared" si="119"/>
        <v>661.00458179089969</v>
      </c>
      <c r="CD185" s="59">
        <f ca="1">AVERAGE(OFFSET($CC$3,0,0,'Données projet'!$E$12+1,1))-AVERAGE(OFFSET($H$3,0,0,'Données projet'!$E$12+1,1))</f>
        <v>692.2706942067415</v>
      </c>
      <c r="CE185" s="59">
        <f t="shared" si="148"/>
        <v>316.17529091924803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162.60685996487751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162.60685996487751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1.9533333333333285</v>
      </c>
      <c r="CT185" s="12">
        <f>IF('Données projet'!$A$140&gt;35,CT184+CS185-DB184,IF(A185&lt;'Données projet'!$A$140,$CQ$205^A185,IF(A185='Données projet'!$A$140,'Données projet'!$B$140,CT184+CS185-DB184)))</f>
        <v>167.80666666666716</v>
      </c>
      <c r="CU185" s="17">
        <f>CT185*VLOOKUP('Données projet'!$B$13,Paramètres!$A$1:$I$89,3,0)*VLOOKUP('Données projet'!$B$13,Paramètres!$A$1:$I$89,5,0)</f>
        <v>191.09823200000056</v>
      </c>
      <c r="CV185" s="13">
        <f t="shared" si="173"/>
        <v>47.782674848147138</v>
      </c>
      <c r="CW185" s="20">
        <f t="shared" si="174"/>
        <v>416.05091276052389</v>
      </c>
      <c r="CX185" s="59">
        <f t="shared" si="122"/>
        <v>705.59124022876836</v>
      </c>
      <c r="CY185" s="59">
        <f ca="1">AVERAGE(OFFSET($CX$3,0,0,'Données projet'!$E$13+1,1))-AVERAGE(OFFSET($H$3,0,0,'Données projet'!$E$13+1,1))</f>
        <v>765.9523557587147</v>
      </c>
      <c r="CZ185" s="59">
        <f t="shared" si="150"/>
        <v>347.40395092312815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182.62001196055476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182.62001196055476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146.15384615384625</v>
      </c>
      <c r="DP185" s="17">
        <f>DO185*VLOOKUP('Données projet'!$B$14,Paramètres!$A$1:$I$89,3,0)*VLOOKUP('Données projet'!$B$14,Paramètres!$A$1:$I$89,5,0)</f>
        <v>127.68000000000011</v>
      </c>
      <c r="DQ185" s="13">
        <f t="shared" si="176"/>
        <v>33.45971491465221</v>
      </c>
      <c r="DR185" s="20">
        <f t="shared" si="177"/>
        <v>280.65167014301943</v>
      </c>
      <c r="DS185" s="59">
        <f t="shared" si="125"/>
        <v>570.19199761126379</v>
      </c>
      <c r="DT185" s="59">
        <f ca="1">AVERAGE(OFFSET($DS$3,0,0,'Données projet'!$E$14+1,1))-AVERAGE(OFFSET($H$3,0,0,'Données projet'!$E$14+1,1))</f>
        <v>253.82888243490106</v>
      </c>
      <c r="DU185" s="59">
        <f t="shared" si="152"/>
        <v>224.11983819941796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3.7688854226596793</v>
      </c>
      <c r="EB185" s="21">
        <f>EXP(-LN(2)/25)*EB184+(1-EXP(-LN(2)/25))/(LN(2)/25)*Calculateur!DW185*Calculateur!DY185*VLOOKUP('Données projet'!$B$14,Paramètres!$A$1:$I$89,3,0)*0.475*44/12</f>
        <v>0.90846645209387911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4.6773518747535583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-4.5474735088646412E-13</v>
      </c>
      <c r="O186" s="13">
        <f>N186*VLOOKUP('Données projet'!$B$9,Paramètres!$A$1:$I$89,3,0)*VLOOKUP('Données projet'!$B$9,Paramètres!$A$1:$I$89,5,0)</f>
        <v>-2.1282176021486519E-13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387.50901594883317</v>
      </c>
      <c r="T186" s="59">
        <f t="shared" si="142"/>
        <v>361.3623790401972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44.046148800341506</v>
      </c>
      <c r="AA186" s="21">
        <f>EXP(-LN(2)/25)*AA185+(1-EXP(-LN(2)/25))/(LN(2)/25)*Calculateur!V186*Calculateur!X186*VLOOKUP('Données projet'!$B$9,Paramètres!$A$1:$I$89,3,0)*0.475*44/12</f>
        <v>9.6917541922305759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53.737902992572081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373.47758082856359</v>
      </c>
      <c r="AO186" s="59">
        <f t="shared" si="144"/>
        <v>277.24895424120166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22.374829257303464</v>
      </c>
      <c r="AV186" s="21">
        <f>EXP(-LN(2)/25)*AV185+(1-EXP(-LN(2)/25))/(LN(2)/25)*Calculateur!AQ186*Calculateur!AS186*VLOOKUP('Données projet'!$B$10,Paramètres!$A$1:$I$89,3,0)*0.475*44/12</f>
        <v>4.6436058426918354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27.018435099995301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>
        <f>VLOOKUP(A186,'Données projet'!$A$87:$I$107,2,0)</f>
        <v>169.76</v>
      </c>
      <c r="BB186" s="12">
        <f>VLOOKUP(A186,'Données projet'!$A$87:$I$107,9,0)</f>
        <v>1.9533333333333285</v>
      </c>
      <c r="BC186" s="12">
        <f t="array" ref="BC186">INDEX(BB:BB,MIN(IF(ISNUMBER(BB186:BB382),ROW(BB186:BB382),"")))</f>
        <v>1.9533333333333285</v>
      </c>
      <c r="BD186" s="12">
        <f>IF('Données projet'!$A$88&gt;35,BD185+BC186-BL185,IF(A186&lt;'Données projet'!$A$88,$BA$205^A186,IF(A186='Données projet'!$A$88,'Données projet'!$B$88,BD185+BC186-BL185)))</f>
        <v>169.76000000000047</v>
      </c>
      <c r="BE186" s="13">
        <f>BD186*VLOOKUP('Données projet'!$B$11,Paramètres!$A$1:$I$89,3,0)*VLOOKUP('Données projet'!$B$11,Paramètres!$A$1:$I$89,5,0)</f>
        <v>153.5988480000004</v>
      </c>
      <c r="BF186" s="13">
        <f t="shared" si="167"/>
        <v>39.395304802658316</v>
      </c>
      <c r="BG186" s="20">
        <f t="shared" si="168"/>
        <v>336.13148279796388</v>
      </c>
      <c r="BH186" s="59">
        <f t="shared" si="116"/>
        <v>625.7376104380769</v>
      </c>
      <c r="BI186" s="59">
        <f ca="1">AVERAGE(OFFSET($BH$3,0,0,'Données projet'!$E$11+1,1))-AVERAGE(OFFSET($H$3,0,0,'Données projet'!$E$11+1,1))</f>
        <v>627.65081154031589</v>
      </c>
      <c r="BJ186" s="59">
        <f t="shared" si="146"/>
        <v>288.78083487077618</v>
      </c>
      <c r="BK186" s="15">
        <f>IF(ISNA(VLOOKUP(A186,'Données projet'!$A$87:$I$107,3,0)),0,VLOOKUP(A186,'Données projet'!$A$87:$I$107,3,0))</f>
        <v>18</v>
      </c>
      <c r="BL186" s="15">
        <f>IF(ISNA(VLOOKUP(A186,'Données projet'!$A$87:$I$107,4,0)),0,VLOOKUP(A186,'Données projet'!$A$87:$I$107,4,0))</f>
        <v>169.76</v>
      </c>
      <c r="BM186" s="16">
        <f>IF(ISNA(VLOOKUP(A186,'Données projet'!$A$87:$I$107,5,0)),0%,VLOOKUP(A186,'Données projet'!$A$87:$I$107,5,0)*VLOOKUP('Données projet'!$B$11,Paramètres!$A$1:$I$89,7,0))</f>
        <v>0.25800000000000001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186.05825662893167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186.05825662893167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169.76</v>
      </c>
      <c r="BW186" s="12">
        <f>VLOOKUP(A186,'Données projet'!$A$113:$I$133,9,0)</f>
        <v>1.9533333333333285</v>
      </c>
      <c r="BX186" s="12">
        <f t="array" ref="BX186">INDEX(BW:BW,MIN(IF(ISNUMBER(BW186:BW382),ROW(BW186:BW382),"")))</f>
        <v>1.9533333333333285</v>
      </c>
      <c r="BY186" s="12">
        <f>IF('Données projet'!$A$114&gt;35,BY185+BX186-CG185,IF(A186&lt;'Données projet'!$A$114,$BV$205^A186,IF(A186='Données projet'!$A$114,'Données projet'!$B$114,BY185+BX186-CG185)))</f>
        <v>169.76000000000047</v>
      </c>
      <c r="BZ186" s="13">
        <f>BY186*VLOOKUP('Données projet'!$B$12,Paramètres!$A$1:$I$89,3,0)*VLOOKUP('Données projet'!$B$12,Paramètres!$A$1:$I$89,5,0)</f>
        <v>172.13664000000048</v>
      </c>
      <c r="CA186" s="13">
        <f t="shared" si="170"/>
        <v>43.568211452887901</v>
      </c>
      <c r="CB186" s="20">
        <f t="shared" si="171"/>
        <v>375.68594961378062</v>
      </c>
      <c r="CC186" s="59">
        <f t="shared" si="119"/>
        <v>665.29207725389358</v>
      </c>
      <c r="CD186" s="59">
        <f ca="1">AVERAGE(OFFSET($CC$3,0,0,'Données projet'!$E$12+1,1))-AVERAGE(OFFSET($H$3,0,0,'Données projet'!$E$12+1,1))</f>
        <v>692.2706942067415</v>
      </c>
      <c r="CE186" s="59">
        <f t="shared" si="148"/>
        <v>316.17529091924803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0.25800000000000001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208.51356346345793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208.51356346345793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>
        <f>VLOOKUP(A186,'Données projet'!$A$139:$I$159,2,0)</f>
        <v>169.76</v>
      </c>
      <c r="CR186" s="12">
        <f>VLOOKUP(A186,'Données projet'!$A$139:$I$159,9,0)</f>
        <v>1.9533333333333285</v>
      </c>
      <c r="CS186" s="12">
        <f t="array" ref="CS186">INDEX(CR:CR,MIN(IF(ISNUMBER(CR186:CR382),ROW(CR186:CR382),"")))</f>
        <v>1.9533333333333285</v>
      </c>
      <c r="CT186" s="12">
        <f>IF('Données projet'!$A$140&gt;35,CT185+CS186-DB185,IF(A186&lt;'Données projet'!$A$140,$CQ$205^A186,IF(A186='Données projet'!$A$140,'Données projet'!$B$140,CT185+CS186-DB185)))</f>
        <v>169.76000000000047</v>
      </c>
      <c r="CU186" s="17">
        <f>CT186*VLOOKUP('Données projet'!$B$13,Paramètres!$A$1:$I$89,3,0)*VLOOKUP('Données projet'!$B$13,Paramètres!$A$1:$I$89,5,0)</f>
        <v>193.32268800000054</v>
      </c>
      <c r="CV186" s="13">
        <f t="shared" si="173"/>
        <v>48.273809143960584</v>
      </c>
      <c r="CW186" s="20">
        <f t="shared" si="174"/>
        <v>420.78056585906558</v>
      </c>
      <c r="CX186" s="59">
        <f t="shared" si="122"/>
        <v>710.38669349917859</v>
      </c>
      <c r="CY186" s="59">
        <f ca="1">AVERAGE(OFFSET($CX$3,0,0,'Données projet'!$E$13+1,1))-AVERAGE(OFFSET($H$3,0,0,'Données projet'!$E$13+1,1))</f>
        <v>765.9523557587147</v>
      </c>
      <c r="CZ186" s="59">
        <f t="shared" si="150"/>
        <v>347.40395092312815</v>
      </c>
      <c r="DA186" s="15">
        <f>IF(ISNA(VLOOKUP(A186,'Données projet'!$A$139:$I$159,3,0)),0,VLOOKUP(A186,'Données projet'!$A$139:$I$159,3,0))</f>
        <v>18</v>
      </c>
      <c r="DB186" s="15">
        <f>IF(ISNA(VLOOKUP(A186,'Données projet'!$A$139:$I$159,4,0)),0,VLOOKUP(A186,'Données projet'!$A$139:$I$159,4,0))</f>
        <v>169.76</v>
      </c>
      <c r="DC186" s="16">
        <f>IF(ISNA(VLOOKUP(A186,'Données projet'!$A$139:$I$159,5,0)),0%,VLOOKUP(A186,'Données projet'!$A$139:$I$159,5,0)*VLOOKUP('Données projet'!$B$13,Paramètres!$A$1:$I$89,7,0))</f>
        <v>0.25800000000000001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234.17677127434504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234.17677127434504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146.15384615384625</v>
      </c>
      <c r="DP186" s="17">
        <f>DO186*VLOOKUP('Données projet'!$B$14,Paramètres!$A$1:$I$89,3,0)*VLOOKUP('Données projet'!$B$14,Paramètres!$A$1:$I$89,5,0)</f>
        <v>127.68000000000011</v>
      </c>
      <c r="DQ186" s="13">
        <f t="shared" si="176"/>
        <v>33.45971491465221</v>
      </c>
      <c r="DR186" s="20">
        <f t="shared" si="177"/>
        <v>280.65167014301943</v>
      </c>
      <c r="DS186" s="59">
        <f t="shared" si="125"/>
        <v>570.25779778313245</v>
      </c>
      <c r="DT186" s="59">
        <f ca="1">AVERAGE(OFFSET($DS$3,0,0,'Données projet'!$E$14+1,1))-AVERAGE(OFFSET($H$3,0,0,'Données projet'!$E$14+1,1))</f>
        <v>253.82888243490106</v>
      </c>
      <c r="DU186" s="59">
        <f t="shared" si="152"/>
        <v>224.11983819941796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3.6949798783144439</v>
      </c>
      <c r="EB186" s="21">
        <f>EXP(-LN(2)/25)*EB185+(1-EXP(-LN(2)/25))/(LN(2)/25)*Calculateur!DW186*Calculateur!DY186*VLOOKUP('Données projet'!$B$14,Paramètres!$A$1:$I$89,3,0)*0.475*44/12</f>
        <v>0.88362438918719755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4.5786042675016416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-4.5474735088646412E-13</v>
      </c>
      <c r="O187" s="13">
        <f>N187*VLOOKUP('Données projet'!$B$9,Paramètres!$A$1:$I$89,3,0)*VLOOKUP('Données projet'!$B$9,Paramètres!$A$1:$I$89,5,0)</f>
        <v>-2.1282176021486519E-13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387.50901594883317</v>
      </c>
      <c r="T187" s="59">
        <f t="shared" si="142"/>
        <v>361.3623790401972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43.18243068786483</v>
      </c>
      <c r="AA187" s="21">
        <f>EXP(-LN(2)/25)*AA186+(1-EXP(-LN(2)/25))/(LN(2)/25)*Calculateur!V187*Calculateur!X187*VLOOKUP('Données projet'!$B$9,Paramètres!$A$1:$I$89,3,0)*0.475*44/12</f>
        <v>9.4267326641768285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52.609163352041662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373.47758082856359</v>
      </c>
      <c r="AO187" s="59">
        <f t="shared" si="144"/>
        <v>277.24895424120166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21.936072502866033</v>
      </c>
      <c r="AV187" s="21">
        <f>EXP(-LN(2)/25)*AV186+(1-EXP(-LN(2)/25))/(LN(2)/25)*Calculateur!AQ187*Calculateur!AS187*VLOOKUP('Données projet'!$B$10,Paramètres!$A$1:$I$89,3,0)*0.475*44/12</f>
        <v>4.5166261967268087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26.45269869959284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4.8316906031686813E-13</v>
      </c>
      <c r="BE187" s="13">
        <f>BD187*VLOOKUP('Données projet'!$B$11,Paramètres!$A$1:$I$89,3,0)*VLOOKUP('Données projet'!$B$11,Paramètres!$A$1:$I$89,5,0)</f>
        <v>4.3717136577470225E-13</v>
      </c>
      <c r="BF187" s="13">
        <f t="shared" si="167"/>
        <v>5.5313598682231701E-12</v>
      </c>
      <c r="BG187" s="20">
        <f t="shared" si="168"/>
        <v>1.039519189921296E-11</v>
      </c>
      <c r="BH187" s="59">
        <f t="shared" si="116"/>
        <v>289.67078632611714</v>
      </c>
      <c r="BI187" s="59">
        <f ca="1">AVERAGE(OFFSET($BH$3,0,0,'Données projet'!$E$11+1,1))-AVERAGE(OFFSET($H$3,0,0,'Données projet'!$E$11+1,1))</f>
        <v>627.65081154031589</v>
      </c>
      <c r="BJ187" s="59">
        <f t="shared" si="146"/>
        <v>288.78083487077618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182.40976770076921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182.40976770076921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4.8316906031686813E-13</v>
      </c>
      <c r="BZ187" s="13">
        <f>BY187*VLOOKUP('Données projet'!$B$12,Paramètres!$A$1:$I$89,3,0)*VLOOKUP('Données projet'!$B$12,Paramètres!$A$1:$I$89,5,0)</f>
        <v>4.8993342716130437E-13</v>
      </c>
      <c r="CA187" s="13">
        <f t="shared" si="170"/>
        <v>6.1172634040517391E-12</v>
      </c>
      <c r="CB187" s="20">
        <f t="shared" si="171"/>
        <v>1.1507534481029384E-11</v>
      </c>
      <c r="CC187" s="59">
        <f t="shared" si="119"/>
        <v>289.67078632611822</v>
      </c>
      <c r="CD187" s="59">
        <f ca="1">AVERAGE(OFFSET($CC$3,0,0,'Données projet'!$E$12+1,1))-AVERAGE(OFFSET($H$3,0,0,'Données projet'!$E$12+1,1))</f>
        <v>692.2706942067415</v>
      </c>
      <c r="CE187" s="59">
        <f t="shared" si="148"/>
        <v>316.17529091924803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204.42473966465516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204.42473966465516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4.8316906031686813E-13</v>
      </c>
      <c r="CU187" s="17">
        <f>CT187*VLOOKUP('Données projet'!$B$13,Paramètres!$A$1:$I$89,3,0)*VLOOKUP('Données projet'!$B$13,Paramètres!$A$1:$I$89,5,0)</f>
        <v>5.5023292588884943E-13</v>
      </c>
      <c r="CV187" s="13">
        <f t="shared" si="173"/>
        <v>6.7779602651316659E-12</v>
      </c>
      <c r="CW187" s="20">
        <f t="shared" si="174"/>
        <v>1.2763269807694063E-11</v>
      </c>
      <c r="CX187" s="59">
        <f t="shared" si="122"/>
        <v>289.67078632611953</v>
      </c>
      <c r="CY187" s="59">
        <f ca="1">AVERAGE(OFFSET($CX$3,0,0,'Données projet'!$E$13+1,1))-AVERAGE(OFFSET($H$3,0,0,'Données projet'!$E$13+1,1))</f>
        <v>765.9523557587147</v>
      </c>
      <c r="CZ187" s="59">
        <f t="shared" si="150"/>
        <v>347.40395092312815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229.58470762338195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229.58470762338195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146.15384615384625</v>
      </c>
      <c r="DP187" s="17">
        <f>DO187*VLOOKUP('Données projet'!$B$14,Paramètres!$A$1:$I$89,3,0)*VLOOKUP('Données projet'!$B$14,Paramètres!$A$1:$I$89,5,0)</f>
        <v>127.68000000000011</v>
      </c>
      <c r="DQ187" s="13">
        <f t="shared" si="176"/>
        <v>33.45971491465221</v>
      </c>
      <c r="DR187" s="20">
        <f t="shared" si="177"/>
        <v>280.65167014301943</v>
      </c>
      <c r="DS187" s="59">
        <f t="shared" si="125"/>
        <v>570.32245646912611</v>
      </c>
      <c r="DT187" s="59">
        <f ca="1">AVERAGE(OFFSET($DS$3,0,0,'Données projet'!$E$14+1,1))-AVERAGE(OFFSET($H$3,0,0,'Données projet'!$E$14+1,1))</f>
        <v>253.82888243490106</v>
      </c>
      <c r="DU187" s="59">
        <f t="shared" si="152"/>
        <v>224.11983819941796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3.6225235766158876</v>
      </c>
      <c r="EB187" s="21">
        <f>EXP(-LN(2)/25)*EB186+(1-EXP(-LN(2)/25))/(LN(2)/25)*Calculateur!DW187*Calculateur!DY187*VLOOKUP('Données projet'!$B$14,Paramètres!$A$1:$I$89,3,0)*0.475*44/12</f>
        <v>0.85946163379708651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4.481985210412974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-4.5474735088646412E-13</v>
      </c>
      <c r="O188" s="13">
        <f>N188*VLOOKUP('Données projet'!$B$9,Paramètres!$A$1:$I$89,3,0)*VLOOKUP('Données projet'!$B$9,Paramètres!$A$1:$I$89,5,0)</f>
        <v>-2.1282176021486519E-13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387.50901594883317</v>
      </c>
      <c r="T188" s="59">
        <f t="shared" si="142"/>
        <v>361.3623790401972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42.335649560757794</v>
      </c>
      <c r="AA188" s="21">
        <f>EXP(-LN(2)/25)*AA187+(1-EXP(-LN(2)/25))/(LN(2)/25)*Calculateur!V188*Calculateur!X188*VLOOKUP('Données projet'!$B$9,Paramètres!$A$1:$I$89,3,0)*0.475*44/12</f>
        <v>9.1689581637445876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51.504607724502378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373.47758082856359</v>
      </c>
      <c r="AO188" s="59">
        <f t="shared" si="144"/>
        <v>277.24895424120166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21.505919500767924</v>
      </c>
      <c r="AV188" s="21">
        <f>EXP(-LN(2)/25)*AV187+(1-EXP(-LN(2)/25))/(LN(2)/25)*Calculateur!AQ188*Calculateur!AS188*VLOOKUP('Données projet'!$B$10,Paramètres!$A$1:$I$89,3,0)*0.475*44/12</f>
        <v>4.3931188158582657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25.899038316626189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4.8316906031686813E-13</v>
      </c>
      <c r="BE188" s="13">
        <f>BD188*VLOOKUP('Données projet'!$B$11,Paramètres!$A$1:$I$89,3,0)*VLOOKUP('Données projet'!$B$11,Paramètres!$A$1:$I$89,5,0)</f>
        <v>4.3717136577470225E-13</v>
      </c>
      <c r="BF188" s="13">
        <f t="shared" si="167"/>
        <v>5.5313598682231701E-12</v>
      </c>
      <c r="BG188" s="20">
        <f t="shared" si="168"/>
        <v>1.039519189921296E-11</v>
      </c>
      <c r="BH188" s="59">
        <f t="shared" si="116"/>
        <v>289.73432332846414</v>
      </c>
      <c r="BI188" s="59">
        <f ca="1">AVERAGE(OFFSET($BH$3,0,0,'Données projet'!$E$11+1,1))-AVERAGE(OFFSET($H$3,0,0,'Données projet'!$E$11+1,1))</f>
        <v>627.65081154031589</v>
      </c>
      <c r="BJ188" s="59">
        <f t="shared" si="146"/>
        <v>288.78083487077618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178.83282341512952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178.83282341512952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4.8316906031686813E-13</v>
      </c>
      <c r="BZ188" s="13">
        <f>BY188*VLOOKUP('Données projet'!$B$12,Paramètres!$A$1:$I$89,3,0)*VLOOKUP('Données projet'!$B$12,Paramètres!$A$1:$I$89,5,0)</f>
        <v>4.8993342716130437E-13</v>
      </c>
      <c r="CA188" s="13">
        <f t="shared" si="170"/>
        <v>6.1172634040517391E-12</v>
      </c>
      <c r="CB188" s="20">
        <f t="shared" si="171"/>
        <v>1.1507534481029384E-11</v>
      </c>
      <c r="CC188" s="59">
        <f t="shared" si="119"/>
        <v>289.73432332846522</v>
      </c>
      <c r="CD188" s="59">
        <f ca="1">AVERAGE(OFFSET($CC$3,0,0,'Données projet'!$E$12+1,1))-AVERAGE(OFFSET($H$3,0,0,'Données projet'!$E$12+1,1))</f>
        <v>692.2706942067415</v>
      </c>
      <c r="CE188" s="59">
        <f t="shared" si="148"/>
        <v>316.17529091924803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200.41609520661066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200.41609520661066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4.8316906031686813E-13</v>
      </c>
      <c r="CU188" s="17">
        <f>CT188*VLOOKUP('Données projet'!$B$13,Paramètres!$A$1:$I$89,3,0)*VLOOKUP('Données projet'!$B$13,Paramètres!$A$1:$I$89,5,0)</f>
        <v>5.5023292588884943E-13</v>
      </c>
      <c r="CV188" s="13">
        <f t="shared" si="173"/>
        <v>6.7779602651316659E-12</v>
      </c>
      <c r="CW188" s="20">
        <f t="shared" si="174"/>
        <v>1.2763269807694063E-11</v>
      </c>
      <c r="CX188" s="59">
        <f t="shared" si="122"/>
        <v>289.73432332846653</v>
      </c>
      <c r="CY188" s="59">
        <f ca="1">AVERAGE(OFFSET($CX$3,0,0,'Données projet'!$E$13+1,1))-AVERAGE(OFFSET($H$3,0,0,'Données projet'!$E$13+1,1))</f>
        <v>765.9523557587147</v>
      </c>
      <c r="CZ188" s="59">
        <f t="shared" si="150"/>
        <v>347.40395092312815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225.08269153973197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225.08269153973197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146.15384615384625</v>
      </c>
      <c r="DP188" s="17">
        <f>DO188*VLOOKUP('Données projet'!$B$14,Paramètres!$A$1:$I$89,3,0)*VLOOKUP('Données projet'!$B$14,Paramètres!$A$1:$I$89,5,0)</f>
        <v>127.68000000000011</v>
      </c>
      <c r="DQ188" s="13">
        <f t="shared" si="176"/>
        <v>33.45971491465221</v>
      </c>
      <c r="DR188" s="20">
        <f t="shared" si="177"/>
        <v>280.65167014301943</v>
      </c>
      <c r="DS188" s="59">
        <f t="shared" si="125"/>
        <v>570.38599347147317</v>
      </c>
      <c r="DT188" s="59">
        <f ca="1">AVERAGE(OFFSET($DS$3,0,0,'Données projet'!$E$14+1,1))-AVERAGE(OFFSET($H$3,0,0,'Données projet'!$E$14+1,1))</f>
        <v>253.82888243490106</v>
      </c>
      <c r="DU188" s="59">
        <f t="shared" si="152"/>
        <v>224.11983819941796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3.5514880987996595</v>
      </c>
      <c r="EB188" s="21">
        <f>EXP(-LN(2)/25)*EB187+(1-EXP(-LN(2)/25))/(LN(2)/25)*Calculateur!DW188*Calculateur!DY188*VLOOKUP('Données projet'!$B$14,Paramètres!$A$1:$I$89,3,0)*0.475*44/12</f>
        <v>0.83595961022378218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4.3874477090234416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-4.5474735088646412E-13</v>
      </c>
      <c r="O189" s="13">
        <f>N189*VLOOKUP('Données projet'!$B$9,Paramètres!$A$1:$I$89,3,0)*VLOOKUP('Données projet'!$B$9,Paramètres!$A$1:$I$89,5,0)</f>
        <v>-2.1282176021486519E-13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387.50901594883317</v>
      </c>
      <c r="T189" s="59">
        <f t="shared" si="142"/>
        <v>361.3623790401972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41.505473295067837</v>
      </c>
      <c r="AA189" s="21">
        <f>EXP(-LN(2)/25)*AA188+(1-EXP(-LN(2)/25))/(LN(2)/25)*Calculateur!V189*Calculateur!X189*VLOOKUP('Données projet'!$B$9,Paramètres!$A$1:$I$89,3,0)*0.475*44/12</f>
        <v>8.9182325205824373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50.423705815650273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373.47758082856359</v>
      </c>
      <c r="AO189" s="59">
        <f t="shared" si="144"/>
        <v>277.24895424120166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21.084201536673532</v>
      </c>
      <c r="AV189" s="21">
        <f>EXP(-LN(2)/25)*AV188+(1-EXP(-LN(2)/25))/(LN(2)/25)*Calculateur!AQ189*Calculateur!AS189*VLOOKUP('Données projet'!$B$10,Paramètres!$A$1:$I$89,3,0)*0.475*44/12</f>
        <v>4.2729887508145437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25.357190287488077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4.8316906031686813E-13</v>
      </c>
      <c r="BE189" s="13">
        <f>BD189*VLOOKUP('Données projet'!$B$11,Paramètres!$A$1:$I$89,3,0)*VLOOKUP('Données projet'!$B$11,Paramètres!$A$1:$I$89,5,0)</f>
        <v>4.3717136577470225E-13</v>
      </c>
      <c r="BF189" s="13">
        <f t="shared" si="167"/>
        <v>5.5313598682231701E-12</v>
      </c>
      <c r="BG189" s="20">
        <f t="shared" si="168"/>
        <v>1.039519189921296E-11</v>
      </c>
      <c r="BH189" s="59">
        <f t="shared" si="116"/>
        <v>289.79675810586781</v>
      </c>
      <c r="BI189" s="59">
        <f ca="1">AVERAGE(OFFSET($BH$3,0,0,'Données projet'!$E$11+1,1))-AVERAGE(OFFSET($H$3,0,0,'Données projet'!$E$11+1,1))</f>
        <v>627.65081154031589</v>
      </c>
      <c r="BJ189" s="59">
        <f t="shared" si="146"/>
        <v>288.78083487077618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175.32602082521063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175.32602082521063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4.8316906031686813E-13</v>
      </c>
      <c r="BZ189" s="13">
        <f>BY189*VLOOKUP('Données projet'!$B$12,Paramètres!$A$1:$I$89,3,0)*VLOOKUP('Données projet'!$B$12,Paramètres!$A$1:$I$89,5,0)</f>
        <v>4.8993342716130437E-13</v>
      </c>
      <c r="CA189" s="13">
        <f t="shared" si="170"/>
        <v>6.1172634040517391E-12</v>
      </c>
      <c r="CB189" s="20">
        <f t="shared" si="171"/>
        <v>1.1507534481029384E-11</v>
      </c>
      <c r="CC189" s="59">
        <f t="shared" si="119"/>
        <v>289.79675810586889</v>
      </c>
      <c r="CD189" s="59">
        <f ca="1">AVERAGE(OFFSET($CC$3,0,0,'Données projet'!$E$12+1,1))-AVERAGE(OFFSET($H$3,0,0,'Données projet'!$E$12+1,1))</f>
        <v>692.2706942067415</v>
      </c>
      <c r="CE189" s="59">
        <f t="shared" si="148"/>
        <v>316.17529091924803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196.48605782135672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196.48605782135672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4.8316906031686813E-13</v>
      </c>
      <c r="CU189" s="17">
        <f>CT189*VLOOKUP('Données projet'!$B$13,Paramètres!$A$1:$I$89,3,0)*VLOOKUP('Données projet'!$B$13,Paramètres!$A$1:$I$89,5,0)</f>
        <v>5.5023292588884943E-13</v>
      </c>
      <c r="CV189" s="13">
        <f t="shared" si="173"/>
        <v>6.7779602651316659E-12</v>
      </c>
      <c r="CW189" s="20">
        <f t="shared" si="174"/>
        <v>1.2763269807694063E-11</v>
      </c>
      <c r="CX189" s="59">
        <f t="shared" si="122"/>
        <v>289.7967581058702</v>
      </c>
      <c r="CY189" s="59">
        <f ca="1">AVERAGE(OFFSET($CX$3,0,0,'Données projet'!$E$13+1,1))-AVERAGE(OFFSET($H$3,0,0,'Données projet'!$E$13+1,1))</f>
        <v>765.9523557587147</v>
      </c>
      <c r="CZ189" s="59">
        <f t="shared" si="150"/>
        <v>347.40395092312815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220.6689572455237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220.6689572455237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146.15384615384625</v>
      </c>
      <c r="DP189" s="17">
        <f>DO189*VLOOKUP('Données projet'!$B$14,Paramètres!$A$1:$I$89,3,0)*VLOOKUP('Données projet'!$B$14,Paramètres!$A$1:$I$89,5,0)</f>
        <v>127.68000000000011</v>
      </c>
      <c r="DQ189" s="13">
        <f t="shared" si="176"/>
        <v>33.45971491465221</v>
      </c>
      <c r="DR189" s="20">
        <f t="shared" si="177"/>
        <v>280.65167014301943</v>
      </c>
      <c r="DS189" s="59">
        <f t="shared" si="125"/>
        <v>570.44842824887678</v>
      </c>
      <c r="DT189" s="59">
        <f ca="1">AVERAGE(OFFSET($DS$3,0,0,'Données projet'!$E$14+1,1))-AVERAGE(OFFSET($H$3,0,0,'Données projet'!$E$14+1,1))</f>
        <v>253.82888243490106</v>
      </c>
      <c r="DU189" s="59">
        <f t="shared" si="152"/>
        <v>224.11983819941796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3.4818455833760447</v>
      </c>
      <c r="EB189" s="21">
        <f>EXP(-LN(2)/25)*EB188+(1-EXP(-LN(2)/25))/(LN(2)/25)*Calculateur!DW189*Calculateur!DY189*VLOOKUP('Données projet'!$B$14,Paramètres!$A$1:$I$89,3,0)*0.475*44/12</f>
        <v>0.81310025072100756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4.2949458340970521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-4.5474735088646412E-13</v>
      </c>
      <c r="O190" s="13">
        <f>N190*VLOOKUP('Données projet'!$B$9,Paramètres!$A$1:$I$89,3,0)*VLOOKUP('Données projet'!$B$9,Paramètres!$A$1:$I$89,5,0)</f>
        <v>-2.1282176021486519E-13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387.50901594883317</v>
      </c>
      <c r="T190" s="59">
        <f t="shared" si="142"/>
        <v>361.3623790401972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40.691576279590535</v>
      </c>
      <c r="AA190" s="21">
        <f>EXP(-LN(2)/25)*AA189+(1-EXP(-LN(2)/25))/(LN(2)/25)*Calculateur!V190*Calculateur!X190*VLOOKUP('Données projet'!$B$9,Paramètres!$A$1:$I$89,3,0)*0.475*44/12</f>
        <v>8.6743629833176445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49.365939262908178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373.47758082856359</v>
      </c>
      <c r="AO190" s="59">
        <f t="shared" si="144"/>
        <v>277.24895424120166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20.670753204632472</v>
      </c>
      <c r="AV190" s="21">
        <f>EXP(-LN(2)/25)*AV189+(1-EXP(-LN(2)/25))/(LN(2)/25)*Calculateur!AQ190*Calculateur!AS190*VLOOKUP('Données projet'!$B$10,Paramètres!$A$1:$I$89,3,0)*0.475*44/12</f>
        <v>4.1561436487168075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24.826896853349279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4.8316906031686813E-13</v>
      </c>
      <c r="BE190" s="13">
        <f>BD190*VLOOKUP('Données projet'!$B$11,Paramètres!$A$1:$I$89,3,0)*VLOOKUP('Données projet'!$B$11,Paramètres!$A$1:$I$89,5,0)</f>
        <v>4.3717136577470225E-13</v>
      </c>
      <c r="BF190" s="13">
        <f t="shared" si="167"/>
        <v>5.5313598682231701E-12</v>
      </c>
      <c r="BG190" s="20">
        <f t="shared" si="168"/>
        <v>1.039519189921296E-11</v>
      </c>
      <c r="BH190" s="59">
        <f t="shared" si="116"/>
        <v>289.85810977946682</v>
      </c>
      <c r="BI190" s="59">
        <f ca="1">AVERAGE(OFFSET($BH$3,0,0,'Données projet'!$E$11+1,1))-AVERAGE(OFFSET($H$3,0,0,'Données projet'!$E$11+1,1))</f>
        <v>627.65081154031589</v>
      </c>
      <c r="BJ190" s="59">
        <f t="shared" si="146"/>
        <v>288.78083487077618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171.88798449514167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171.88798449514167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4.8316906031686813E-13</v>
      </c>
      <c r="BZ190" s="13">
        <f>BY190*VLOOKUP('Données projet'!$B$12,Paramètres!$A$1:$I$89,3,0)*VLOOKUP('Données projet'!$B$12,Paramètres!$A$1:$I$89,5,0)</f>
        <v>4.8993342716130437E-13</v>
      </c>
      <c r="CA190" s="13">
        <f t="shared" si="170"/>
        <v>6.1172634040517391E-12</v>
      </c>
      <c r="CB190" s="20">
        <f t="shared" si="171"/>
        <v>1.1507534481029384E-11</v>
      </c>
      <c r="CC190" s="59">
        <f t="shared" si="119"/>
        <v>289.8581097794679</v>
      </c>
      <c r="CD190" s="59">
        <f ca="1">AVERAGE(OFFSET($CC$3,0,0,'Données projet'!$E$12+1,1))-AVERAGE(OFFSET($H$3,0,0,'Données projet'!$E$12+1,1))</f>
        <v>692.2706942067415</v>
      </c>
      <c r="CE190" s="59">
        <f t="shared" si="148"/>
        <v>316.17529091924803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192.63308607214151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192.63308607214151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4.8316906031686813E-13</v>
      </c>
      <c r="CU190" s="17">
        <f>CT190*VLOOKUP('Données projet'!$B$13,Paramètres!$A$1:$I$89,3,0)*VLOOKUP('Données projet'!$B$13,Paramètres!$A$1:$I$89,5,0)</f>
        <v>5.5023292588884943E-13</v>
      </c>
      <c r="CV190" s="13">
        <f t="shared" si="173"/>
        <v>6.7779602651316659E-12</v>
      </c>
      <c r="CW190" s="20">
        <f t="shared" si="174"/>
        <v>1.2763269807694063E-11</v>
      </c>
      <c r="CX190" s="59">
        <f t="shared" si="122"/>
        <v>289.8581097794692</v>
      </c>
      <c r="CY190" s="59">
        <f ca="1">AVERAGE(OFFSET($CX$3,0,0,'Données projet'!$E$13+1,1))-AVERAGE(OFFSET($H$3,0,0,'Données projet'!$E$13+1,1))</f>
        <v>765.9523557587147</v>
      </c>
      <c r="CZ190" s="59">
        <f t="shared" si="150"/>
        <v>347.40395092312815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216.34177358871278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216.34177358871278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146.15384615384625</v>
      </c>
      <c r="DP190" s="17">
        <f>DO190*VLOOKUP('Données projet'!$B$14,Paramètres!$A$1:$I$89,3,0)*VLOOKUP('Données projet'!$B$14,Paramètres!$A$1:$I$89,5,0)</f>
        <v>127.68000000000011</v>
      </c>
      <c r="DQ190" s="13">
        <f t="shared" si="176"/>
        <v>33.45971491465221</v>
      </c>
      <c r="DR190" s="20">
        <f t="shared" si="177"/>
        <v>280.65167014301943</v>
      </c>
      <c r="DS190" s="59">
        <f t="shared" si="125"/>
        <v>570.5097799224759</v>
      </c>
      <c r="DT190" s="59">
        <f ca="1">AVERAGE(OFFSET($DS$3,0,0,'Données projet'!$E$14+1,1))-AVERAGE(OFFSET($H$3,0,0,'Données projet'!$E$14+1,1))</f>
        <v>253.82888243490106</v>
      </c>
      <c r="DU190" s="59">
        <f t="shared" si="152"/>
        <v>224.11983819941796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3.4135687152021466</v>
      </c>
      <c r="EB190" s="21">
        <f>EXP(-LN(2)/25)*EB189+(1-EXP(-LN(2)/25))/(LN(2)/25)*Calculateur!DW190*Calculateur!DY190*VLOOKUP('Données projet'!$B$14,Paramètres!$A$1:$I$89,3,0)*0.475*44/12</f>
        <v>0.79086598160595778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4.2044346968081046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-4.5474735088646412E-13</v>
      </c>
      <c r="O191" s="13">
        <f>N191*VLOOKUP('Données projet'!$B$9,Paramètres!$A$1:$I$89,3,0)*VLOOKUP('Données projet'!$B$9,Paramètres!$A$1:$I$89,5,0)</f>
        <v>-2.1282176021486519E-13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387.50901594883317</v>
      </c>
      <c r="T191" s="59">
        <f t="shared" si="142"/>
        <v>361.3623790401972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39.893639288158582</v>
      </c>
      <c r="AA191" s="21">
        <f>EXP(-LN(2)/25)*AA190+(1-EXP(-LN(2)/25))/(LN(2)/25)*Calculateur!V191*Calculateur!X191*VLOOKUP('Données projet'!$B$9,Paramètres!$A$1:$I$89,3,0)*0.475*44/12</f>
        <v>8.4371620713738995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48.330801359532479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373.47758082856359</v>
      </c>
      <c r="AO191" s="59">
        <f t="shared" si="144"/>
        <v>277.24895424120166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20.265412342204158</v>
      </c>
      <c r="AV191" s="21">
        <f>EXP(-LN(2)/25)*AV190+(1-EXP(-LN(2)/25))/(LN(2)/25)*Calculateur!AQ191*Calculateur!AS191*VLOOKUP('Données projet'!$B$10,Paramètres!$A$1:$I$89,3,0)*0.475*44/12</f>
        <v>4.0424936820805506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24.307906024284708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4.8316906031686813E-13</v>
      </c>
      <c r="BE191" s="13">
        <f>BD191*VLOOKUP('Données projet'!$B$11,Paramètres!$A$1:$I$89,3,0)*VLOOKUP('Données projet'!$B$11,Paramètres!$A$1:$I$89,5,0)</f>
        <v>4.3717136577470225E-13</v>
      </c>
      <c r="BF191" s="13">
        <f t="shared" si="167"/>
        <v>5.5313598682231701E-12</v>
      </c>
      <c r="BG191" s="20">
        <f t="shared" si="168"/>
        <v>1.039519189921296E-11</v>
      </c>
      <c r="BH191" s="59">
        <f t="shared" si="116"/>
        <v>289.91839713869064</v>
      </c>
      <c r="BI191" s="59">
        <f ca="1">AVERAGE(OFFSET($BH$3,0,0,'Données projet'!$E$11+1,1))-AVERAGE(OFFSET($H$3,0,0,'Données projet'!$E$11+1,1))</f>
        <v>627.65081154031589</v>
      </c>
      <c r="BJ191" s="59">
        <f t="shared" si="146"/>
        <v>288.78083487077618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168.51736596051026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168.51736596051026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4.8316906031686813E-13</v>
      </c>
      <c r="BZ191" s="13">
        <f>BY191*VLOOKUP('Données projet'!$B$12,Paramètres!$A$1:$I$89,3,0)*VLOOKUP('Données projet'!$B$12,Paramètres!$A$1:$I$89,5,0)</f>
        <v>4.8993342716130437E-13</v>
      </c>
      <c r="CA191" s="13">
        <f t="shared" si="170"/>
        <v>6.1172634040517391E-12</v>
      </c>
      <c r="CB191" s="20">
        <f t="shared" si="171"/>
        <v>1.1507534481029384E-11</v>
      </c>
      <c r="CC191" s="59">
        <f t="shared" si="119"/>
        <v>289.91839713869172</v>
      </c>
      <c r="CD191" s="59">
        <f ca="1">AVERAGE(OFFSET($CC$3,0,0,'Données projet'!$E$12+1,1))-AVERAGE(OFFSET($H$3,0,0,'Données projet'!$E$12+1,1))</f>
        <v>692.2706942067415</v>
      </c>
      <c r="CE191" s="59">
        <f t="shared" si="148"/>
        <v>316.17529091924803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188.85566874884771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188.85566874884771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4.8316906031686813E-13</v>
      </c>
      <c r="CU191" s="17">
        <f>CT191*VLOOKUP('Données projet'!$B$13,Paramètres!$A$1:$I$89,3,0)*VLOOKUP('Données projet'!$B$13,Paramètres!$A$1:$I$89,5,0)</f>
        <v>5.5023292588884943E-13</v>
      </c>
      <c r="CV191" s="13">
        <f t="shared" si="173"/>
        <v>6.7779602651316659E-12</v>
      </c>
      <c r="CW191" s="20">
        <f t="shared" si="174"/>
        <v>1.2763269807694063E-11</v>
      </c>
      <c r="CX191" s="59">
        <f t="shared" si="122"/>
        <v>289.91839713869302</v>
      </c>
      <c r="CY191" s="59">
        <f ca="1">AVERAGE(OFFSET($CX$3,0,0,'Données projet'!$E$13+1,1))-AVERAGE(OFFSET($H$3,0,0,'Données projet'!$E$13+1,1))</f>
        <v>765.9523557587147</v>
      </c>
      <c r="CZ191" s="59">
        <f t="shared" si="150"/>
        <v>347.40395092312815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212.09944336409049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212.09944336409049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146.15384615384625</v>
      </c>
      <c r="DP191" s="17">
        <f>DO191*VLOOKUP('Données projet'!$B$14,Paramètres!$A$1:$I$89,3,0)*VLOOKUP('Données projet'!$B$14,Paramètres!$A$1:$I$89,5,0)</f>
        <v>127.68000000000011</v>
      </c>
      <c r="DQ191" s="13">
        <f t="shared" si="176"/>
        <v>33.45971491465221</v>
      </c>
      <c r="DR191" s="20">
        <f t="shared" si="177"/>
        <v>280.65167014301943</v>
      </c>
      <c r="DS191" s="59">
        <f t="shared" si="125"/>
        <v>570.57006728169972</v>
      </c>
      <c r="DT191" s="59">
        <f ca="1">AVERAGE(OFFSET($DS$3,0,0,'Données projet'!$E$14+1,1))-AVERAGE(OFFSET($H$3,0,0,'Données projet'!$E$14+1,1))</f>
        <v>253.82888243490106</v>
      </c>
      <c r="DU191" s="59">
        <f t="shared" si="152"/>
        <v>224.11983819941796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3.3466307147683612</v>
      </c>
      <c r="EB191" s="21">
        <f>EXP(-LN(2)/25)*EB190+(1-EXP(-LN(2)/25))/(LN(2)/25)*Calculateur!DW191*Calculateur!DY191*VLOOKUP('Données projet'!$B$14,Paramètres!$A$1:$I$89,3,0)*0.475*44/12</f>
        <v>0.76923970974910849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4.1158704245174693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-4.5474735088646412E-13</v>
      </c>
      <c r="O192" s="13">
        <f>N192*VLOOKUP('Données projet'!$B$9,Paramètres!$A$1:$I$89,3,0)*VLOOKUP('Données projet'!$B$9,Paramètres!$A$1:$I$89,5,0)</f>
        <v>-2.1282176021486519E-13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387.50901594883317</v>
      </c>
      <c r="T192" s="59">
        <f t="shared" si="142"/>
        <v>361.3623790401972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39.111349354435099</v>
      </c>
      <c r="AA192" s="21">
        <f>EXP(-LN(2)/25)*AA191+(1-EXP(-LN(2)/25))/(LN(2)/25)*Calculateur!V192*Calculateur!X192*VLOOKUP('Données projet'!$B$9,Paramètres!$A$1:$I$89,3,0)*0.475*44/12</f>
        <v>8.2064474308411111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47.317796785276208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373.47758082856359</v>
      </c>
      <c r="AO192" s="59">
        <f t="shared" si="144"/>
        <v>277.24895424120166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19.868019966854547</v>
      </c>
      <c r="AV192" s="21">
        <f>EXP(-LN(2)/25)*AV191+(1-EXP(-LN(2)/25))/(LN(2)/25)*Calculateur!AQ192*Calculateur!AS192*VLOOKUP('Données projet'!$B$10,Paramètres!$A$1:$I$89,3,0)*0.475*44/12</f>
        <v>3.9319514797585544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23.7999714466131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4.8316906031686813E-13</v>
      </c>
      <c r="BE192" s="13">
        <f>BD192*VLOOKUP('Données projet'!$B$11,Paramètres!$A$1:$I$89,3,0)*VLOOKUP('Données projet'!$B$11,Paramètres!$A$1:$I$89,5,0)</f>
        <v>4.3717136577470225E-13</v>
      </c>
      <c r="BF192" s="13">
        <f t="shared" si="167"/>
        <v>5.5313598682231701E-12</v>
      </c>
      <c r="BG192" s="20">
        <f t="shared" si="168"/>
        <v>1.039519189921296E-11</v>
      </c>
      <c r="BH192" s="59">
        <f t="shared" si="116"/>
        <v>289.97763864701426</v>
      </c>
      <c r="BI192" s="59">
        <f ca="1">AVERAGE(OFFSET($BH$3,0,0,'Données projet'!$E$11+1,1))-AVERAGE(OFFSET($H$3,0,0,'Données projet'!$E$11+1,1))</f>
        <v>627.65081154031589</v>
      </c>
      <c r="BJ192" s="59">
        <f t="shared" si="146"/>
        <v>288.78083487077618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165.21284319946867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165.21284319946867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4.8316906031686813E-13</v>
      </c>
      <c r="BZ192" s="13">
        <f>BY192*VLOOKUP('Données projet'!$B$12,Paramètres!$A$1:$I$89,3,0)*VLOOKUP('Données projet'!$B$12,Paramètres!$A$1:$I$89,5,0)</f>
        <v>4.8993342716130437E-13</v>
      </c>
      <c r="CA192" s="13">
        <f t="shared" si="170"/>
        <v>6.1172634040517391E-12</v>
      </c>
      <c r="CB192" s="20">
        <f t="shared" si="171"/>
        <v>1.1507534481029384E-11</v>
      </c>
      <c r="CC192" s="59">
        <f t="shared" si="119"/>
        <v>289.97763864701534</v>
      </c>
      <c r="CD192" s="59">
        <f ca="1">AVERAGE(OFFSET($CC$3,0,0,'Données projet'!$E$12+1,1))-AVERAGE(OFFSET($H$3,0,0,'Données projet'!$E$12+1,1))</f>
        <v>692.2706942067415</v>
      </c>
      <c r="CE192" s="59">
        <f t="shared" si="148"/>
        <v>316.17529091924803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185.15232427526661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185.15232427526661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4.8316906031686813E-13</v>
      </c>
      <c r="CU192" s="17">
        <f>CT192*VLOOKUP('Données projet'!$B$13,Paramètres!$A$1:$I$89,3,0)*VLOOKUP('Données projet'!$B$13,Paramètres!$A$1:$I$89,5,0)</f>
        <v>5.5023292588884943E-13</v>
      </c>
      <c r="CV192" s="13">
        <f t="shared" si="173"/>
        <v>6.7779602651316659E-12</v>
      </c>
      <c r="CW192" s="20">
        <f t="shared" si="174"/>
        <v>1.2763269807694063E-11</v>
      </c>
      <c r="CX192" s="59">
        <f t="shared" si="122"/>
        <v>289.97763864701665</v>
      </c>
      <c r="CY192" s="59">
        <f ca="1">AVERAGE(OFFSET($CX$3,0,0,'Données projet'!$E$13+1,1))-AVERAGE(OFFSET($H$3,0,0,'Données projet'!$E$13+1,1))</f>
        <v>765.9523557587147</v>
      </c>
      <c r="CZ192" s="59">
        <f t="shared" si="150"/>
        <v>347.40395092312815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207.9403026476071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207.9403026476071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146.15384615384625</v>
      </c>
      <c r="DP192" s="17">
        <f>DO192*VLOOKUP('Données projet'!$B$14,Paramètres!$A$1:$I$89,3,0)*VLOOKUP('Données projet'!$B$14,Paramètres!$A$1:$I$89,5,0)</f>
        <v>127.68000000000011</v>
      </c>
      <c r="DQ192" s="13">
        <f t="shared" si="176"/>
        <v>33.45971491465221</v>
      </c>
      <c r="DR192" s="20">
        <f t="shared" si="177"/>
        <v>280.65167014301943</v>
      </c>
      <c r="DS192" s="59">
        <f t="shared" si="125"/>
        <v>570.62930879002329</v>
      </c>
      <c r="DT192" s="59">
        <f ca="1">AVERAGE(OFFSET($DS$3,0,0,'Données projet'!$E$14+1,1))-AVERAGE(OFFSET($H$3,0,0,'Données projet'!$E$14+1,1))</f>
        <v>253.82888243490106</v>
      </c>
      <c r="DU192" s="59">
        <f t="shared" si="152"/>
        <v>224.11983819941796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3.2810053276949338</v>
      </c>
      <c r="EB192" s="21">
        <f>EXP(-LN(2)/25)*EB191+(1-EXP(-LN(2)/25))/(LN(2)/25)*Calculateur!DW192*Calculateur!DY192*VLOOKUP('Données projet'!$B$14,Paramètres!$A$1:$I$89,3,0)*0.475*44/12</f>
        <v>0.7482048094334609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4.0292101371283948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-4.5474735088646412E-13</v>
      </c>
      <c r="O193" s="13">
        <f>N193*VLOOKUP('Données projet'!$B$9,Paramètres!$A$1:$I$89,3,0)*VLOOKUP('Données projet'!$B$9,Paramètres!$A$1:$I$89,5,0)</f>
        <v>-2.1282176021486519E-13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387.50901594883317</v>
      </c>
      <c r="T193" s="59">
        <f t="shared" si="142"/>
        <v>361.3623790401972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38.344399649162192</v>
      </c>
      <c r="AA193" s="21">
        <f>EXP(-LN(2)/25)*AA192+(1-EXP(-LN(2)/25))/(LN(2)/25)*Calculateur!V193*Calculateur!X193*VLOOKUP('Données projet'!$B$9,Paramètres!$A$1:$I$89,3,0)*0.475*44/12</f>
        <v>7.9820416942864467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46.326441343448636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373.47758082856359</v>
      </c>
      <c r="AO193" s="59">
        <f t="shared" si="144"/>
        <v>277.24895424120166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19.478420213600128</v>
      </c>
      <c r="AV193" s="21">
        <f>EXP(-LN(2)/25)*AV192+(1-EXP(-LN(2)/25))/(LN(2)/25)*Calculateur!AQ193*Calculateur!AS193*VLOOKUP('Données projet'!$B$10,Paramètres!$A$1:$I$89,3,0)*0.475*44/12</f>
        <v>3.824432059772215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23.302852273372341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4.8316906031686813E-13</v>
      </c>
      <c r="BE193" s="13">
        <f>BD193*VLOOKUP('Données projet'!$B$11,Paramètres!$A$1:$I$89,3,0)*VLOOKUP('Données projet'!$B$11,Paramètres!$A$1:$I$89,5,0)</f>
        <v>4.3717136577470225E-13</v>
      </c>
      <c r="BF193" s="13">
        <f t="shared" si="167"/>
        <v>5.5313598682231701E-12</v>
      </c>
      <c r="BG193" s="20">
        <f t="shared" si="168"/>
        <v>1.039519189921296E-11</v>
      </c>
      <c r="BH193" s="59">
        <f t="shared" si="116"/>
        <v>290.03585244761268</v>
      </c>
      <c r="BI193" s="59">
        <f ca="1">AVERAGE(OFFSET($BH$3,0,0,'Données projet'!$E$11+1,1))-AVERAGE(OFFSET($H$3,0,0,'Données projet'!$E$11+1,1))</f>
        <v>627.65081154031589</v>
      </c>
      <c r="BJ193" s="59">
        <f t="shared" si="146"/>
        <v>288.78083487077618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161.97312011421124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161.97312011421124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4.8316906031686813E-13</v>
      </c>
      <c r="BZ193" s="13">
        <f>BY193*VLOOKUP('Données projet'!$B$12,Paramètres!$A$1:$I$89,3,0)*VLOOKUP('Données projet'!$B$12,Paramètres!$A$1:$I$89,5,0)</f>
        <v>4.8993342716130437E-13</v>
      </c>
      <c r="CA193" s="13">
        <f t="shared" si="170"/>
        <v>6.1172634040517391E-12</v>
      </c>
      <c r="CB193" s="20">
        <f t="shared" si="171"/>
        <v>1.1507534481029384E-11</v>
      </c>
      <c r="CC193" s="59">
        <f t="shared" si="119"/>
        <v>290.03585244761376</v>
      </c>
      <c r="CD193" s="59">
        <f ca="1">AVERAGE(OFFSET($CC$3,0,0,'Données projet'!$E$12+1,1))-AVERAGE(OFFSET($H$3,0,0,'Données projet'!$E$12+1,1))</f>
        <v>692.2706942067415</v>
      </c>
      <c r="CE193" s="59">
        <f t="shared" si="148"/>
        <v>316.17529091924803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181.52160012799536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181.52160012799536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4.8316906031686813E-13</v>
      </c>
      <c r="CU193" s="17">
        <f>CT193*VLOOKUP('Données projet'!$B$13,Paramètres!$A$1:$I$89,3,0)*VLOOKUP('Données projet'!$B$13,Paramètres!$A$1:$I$89,5,0)</f>
        <v>5.5023292588884943E-13</v>
      </c>
      <c r="CV193" s="13">
        <f t="shared" si="173"/>
        <v>6.7779602651316659E-12</v>
      </c>
      <c r="CW193" s="20">
        <f t="shared" si="174"/>
        <v>1.2763269807694063E-11</v>
      </c>
      <c r="CX193" s="59">
        <f t="shared" si="122"/>
        <v>290.03585244761507</v>
      </c>
      <c r="CY193" s="59">
        <f ca="1">AVERAGE(OFFSET($CX$3,0,0,'Données projet'!$E$13+1,1))-AVERAGE(OFFSET($H$3,0,0,'Données projet'!$E$13+1,1))</f>
        <v>765.9523557587147</v>
      </c>
      <c r="CZ193" s="59">
        <f t="shared" si="150"/>
        <v>347.40395092312815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203.86272014374862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203.86272014374862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146.15384615384625</v>
      </c>
      <c r="DP193" s="17">
        <f>DO193*VLOOKUP('Données projet'!$B$14,Paramètres!$A$1:$I$89,3,0)*VLOOKUP('Données projet'!$B$14,Paramètres!$A$1:$I$89,5,0)</f>
        <v>127.68000000000011</v>
      </c>
      <c r="DQ193" s="13">
        <f t="shared" si="176"/>
        <v>33.45971491465221</v>
      </c>
      <c r="DR193" s="20">
        <f t="shared" si="177"/>
        <v>280.65167014301943</v>
      </c>
      <c r="DS193" s="59">
        <f t="shared" si="125"/>
        <v>570.68752259062171</v>
      </c>
      <c r="DT193" s="59">
        <f ca="1">AVERAGE(OFFSET($DS$3,0,0,'Données projet'!$E$14+1,1))-AVERAGE(OFFSET($H$3,0,0,'Données projet'!$E$14+1,1))</f>
        <v>253.82888243490106</v>
      </c>
      <c r="DU193" s="59">
        <f t="shared" si="152"/>
        <v>224.11983819941796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3.2166668144344825</v>
      </c>
      <c r="EB193" s="21">
        <f>EXP(-LN(2)/25)*EB192+(1-EXP(-LN(2)/25))/(LN(2)/25)*Calculateur!DW193*Calculateur!DY193*VLOOKUP('Données projet'!$B$14,Paramètres!$A$1:$I$89,3,0)*0.475*44/12</f>
        <v>0.727745109573122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3.9444119240076043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-4.5474735088646412E-13</v>
      </c>
      <c r="O194" s="13">
        <f>N194*VLOOKUP('Données projet'!$B$9,Paramètres!$A$1:$I$89,3,0)*VLOOKUP('Données projet'!$B$9,Paramètres!$A$1:$I$89,5,0)</f>
        <v>-2.1282176021486519E-13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387.50901594883317</v>
      </c>
      <c r="T194" s="59">
        <f t="shared" si="142"/>
        <v>361.3623790401972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37.592489359816554</v>
      </c>
      <c r="AA194" s="21">
        <f>EXP(-LN(2)/25)*AA193+(1-EXP(-LN(2)/25))/(LN(2)/25)*Calculateur!V194*Calculateur!X194*VLOOKUP('Données projet'!$B$9,Paramètres!$A$1:$I$89,3,0)*0.475*44/12</f>
        <v>7.7637723443988547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45.356261704215406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373.47758082856359</v>
      </c>
      <c r="AO194" s="59">
        <f t="shared" si="144"/>
        <v>277.24895424120166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19.096460273874641</v>
      </c>
      <c r="AV194" s="21">
        <f>EXP(-LN(2)/25)*AV193+(1-EXP(-LN(2)/25))/(LN(2)/25)*Calculateur!AQ194*Calculateur!AS194*VLOOKUP('Données projet'!$B$10,Paramètres!$A$1:$I$89,3,0)*0.475*44/12</f>
        <v>3.7198527639796026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22.816313037854243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4.8316906031686813E-13</v>
      </c>
      <c r="BE194" s="13">
        <f>BD194*VLOOKUP('Données projet'!$B$11,Paramètres!$A$1:$I$89,3,0)*VLOOKUP('Données projet'!$B$11,Paramètres!$A$1:$I$89,5,0)</f>
        <v>4.3717136577470225E-13</v>
      </c>
      <c r="BF194" s="13">
        <f t="shared" si="167"/>
        <v>5.5313598682231701E-12</v>
      </c>
      <c r="BG194" s="20">
        <f t="shared" si="168"/>
        <v>1.039519189921296E-11</v>
      </c>
      <c r="BH194" s="59">
        <f t="shared" si="116"/>
        <v>290.09305636891725</v>
      </c>
      <c r="BI194" s="59">
        <f ca="1">AVERAGE(OFFSET($BH$3,0,0,'Données projet'!$E$11+1,1))-AVERAGE(OFFSET($H$3,0,0,'Données projet'!$E$11+1,1))</f>
        <v>627.65081154031589</v>
      </c>
      <c r="BJ194" s="59">
        <f t="shared" si="146"/>
        <v>288.78083487077618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158.79692602261974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158.79692602261974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4.8316906031686813E-13</v>
      </c>
      <c r="BZ194" s="13">
        <f>BY194*VLOOKUP('Données projet'!$B$12,Paramètres!$A$1:$I$89,3,0)*VLOOKUP('Données projet'!$B$12,Paramètres!$A$1:$I$89,5,0)</f>
        <v>4.8993342716130437E-13</v>
      </c>
      <c r="CA194" s="13">
        <f t="shared" si="170"/>
        <v>6.1172634040517391E-12</v>
      </c>
      <c r="CB194" s="20">
        <f t="shared" si="171"/>
        <v>1.1507534481029384E-11</v>
      </c>
      <c r="CC194" s="59">
        <f t="shared" si="119"/>
        <v>290.09305636891833</v>
      </c>
      <c r="CD194" s="59">
        <f ca="1">AVERAGE(OFFSET($CC$3,0,0,'Données projet'!$E$12+1,1))-AVERAGE(OFFSET($H$3,0,0,'Données projet'!$E$12+1,1))</f>
        <v>692.2706942067415</v>
      </c>
      <c r="CE194" s="59">
        <f t="shared" si="148"/>
        <v>316.17529091924803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177.96207226672902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177.96207226672902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4.8316906031686813E-13</v>
      </c>
      <c r="CU194" s="17">
        <f>CT194*VLOOKUP('Données projet'!$B$13,Paramètres!$A$1:$I$89,3,0)*VLOOKUP('Données projet'!$B$13,Paramètres!$A$1:$I$89,5,0)</f>
        <v>5.5023292588884943E-13</v>
      </c>
      <c r="CV194" s="13">
        <f t="shared" si="173"/>
        <v>6.7779602651316659E-12</v>
      </c>
      <c r="CW194" s="20">
        <f t="shared" si="174"/>
        <v>1.2763269807694063E-11</v>
      </c>
      <c r="CX194" s="59">
        <f t="shared" si="122"/>
        <v>290.09305636891963</v>
      </c>
      <c r="CY194" s="59">
        <f ca="1">AVERAGE(OFFSET($CX$3,0,0,'Données projet'!$E$13+1,1))-AVERAGE(OFFSET($H$3,0,0,'Données projet'!$E$13+1,1))</f>
        <v>765.9523557587147</v>
      </c>
      <c r="CZ194" s="59">
        <f t="shared" si="150"/>
        <v>347.40395092312815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199.86509654571105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199.86509654571105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146.15384615384625</v>
      </c>
      <c r="DP194" s="17">
        <f>DO194*VLOOKUP('Données projet'!$B$14,Paramètres!$A$1:$I$89,3,0)*VLOOKUP('Données projet'!$B$14,Paramètres!$A$1:$I$89,5,0)</f>
        <v>127.68000000000011</v>
      </c>
      <c r="DQ194" s="13">
        <f t="shared" si="176"/>
        <v>33.45971491465221</v>
      </c>
      <c r="DR194" s="20">
        <f t="shared" si="177"/>
        <v>280.65167014301943</v>
      </c>
      <c r="DS194" s="59">
        <f t="shared" si="125"/>
        <v>570.74472651192627</v>
      </c>
      <c r="DT194" s="59">
        <f ca="1">AVERAGE(OFFSET($DS$3,0,0,'Données projet'!$E$14+1,1))-AVERAGE(OFFSET($H$3,0,0,'Données projet'!$E$14+1,1))</f>
        <v>253.82888243490106</v>
      </c>
      <c r="DU194" s="59">
        <f t="shared" si="152"/>
        <v>224.11983819941796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3.1535899401764502</v>
      </c>
      <c r="EB194" s="21">
        <f>EXP(-LN(2)/25)*EB193+(1-EXP(-LN(2)/25))/(LN(2)/25)*Calculateur!DW194*Calculateur!DY194*VLOOKUP('Données projet'!$B$14,Paramètres!$A$1:$I$89,3,0)*0.475*44/12</f>
        <v>0.707844881281393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3.8614348214578431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-4.5474735088646412E-13</v>
      </c>
      <c r="O195" s="13">
        <f>N195*VLOOKUP('Données projet'!$B$9,Paramètres!$A$1:$I$89,3,0)*VLOOKUP('Données projet'!$B$9,Paramètres!$A$1:$I$89,5,0)</f>
        <v>-2.1282176021486519E-13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387.50901594883317</v>
      </c>
      <c r="T195" s="59">
        <f t="shared" si="142"/>
        <v>361.3623790401972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36.855323572624997</v>
      </c>
      <c r="AA195" s="21">
        <f>EXP(-LN(2)/25)*AA194+(1-EXP(-LN(2)/25))/(LN(2)/25)*Calculateur!V195*Calculateur!X195*VLOOKUP('Données projet'!$B$9,Paramètres!$A$1:$I$89,3,0)*0.475*44/12</f>
        <v>7.5514715813622244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44.406795153987218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373.47758082856359</v>
      </c>
      <c r="AO195" s="59">
        <f t="shared" si="144"/>
        <v>277.24895424120166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18.721990335594612</v>
      </c>
      <c r="AV195" s="21">
        <f>EXP(-LN(2)/25)*AV194+(1-EXP(-LN(2)/25))/(LN(2)/25)*Calculateur!AQ195*Calculateur!AS195*VLOOKUP('Données projet'!$B$10,Paramètres!$A$1:$I$89,3,0)*0.475*44/12</f>
        <v>3.6181331945300252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22.340123530124636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4.8316906031686813E-13</v>
      </c>
      <c r="BE195" s="13">
        <f>BD195*VLOOKUP('Données projet'!$B$11,Paramètres!$A$1:$I$89,3,0)*VLOOKUP('Données projet'!$B$11,Paramètres!$A$1:$I$89,5,0)</f>
        <v>4.3717136577470225E-13</v>
      </c>
      <c r="BF195" s="13">
        <f t="shared" si="167"/>
        <v>5.5313598682231701E-12</v>
      </c>
      <c r="BG195" s="20">
        <f t="shared" si="168"/>
        <v>1.039519189921296E-11</v>
      </c>
      <c r="BH195" s="59">
        <f t="shared" si="116"/>
        <v>290.14926793007606</v>
      </c>
      <c r="BI195" s="59">
        <f ca="1">AVERAGE(OFFSET($BH$3,0,0,'Données projet'!$E$11+1,1))-AVERAGE(OFFSET($H$3,0,0,'Données projet'!$E$11+1,1))</f>
        <v>627.65081154031589</v>
      </c>
      <c r="BJ195" s="59">
        <f t="shared" si="146"/>
        <v>288.78083487077618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155.68301515987724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155.68301515987724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4.8316906031686813E-13</v>
      </c>
      <c r="BZ195" s="13">
        <f>BY195*VLOOKUP('Données projet'!$B$12,Paramètres!$A$1:$I$89,3,0)*VLOOKUP('Données projet'!$B$12,Paramètres!$A$1:$I$89,5,0)</f>
        <v>4.8993342716130437E-13</v>
      </c>
      <c r="CA195" s="13">
        <f t="shared" si="170"/>
        <v>6.1172634040517391E-12</v>
      </c>
      <c r="CB195" s="20">
        <f t="shared" si="171"/>
        <v>1.1507534481029384E-11</v>
      </c>
      <c r="CC195" s="59">
        <f t="shared" si="119"/>
        <v>290.14926793007714</v>
      </c>
      <c r="CD195" s="59">
        <f ca="1">AVERAGE(OFFSET($CC$3,0,0,'Données projet'!$E$12+1,1))-AVERAGE(OFFSET($H$3,0,0,'Données projet'!$E$12+1,1))</f>
        <v>692.2706942067415</v>
      </c>
      <c r="CE195" s="59">
        <f t="shared" si="148"/>
        <v>316.17529091924803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174.47234457572452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174.47234457572452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4.8316906031686813E-13</v>
      </c>
      <c r="CU195" s="17">
        <f>CT195*VLOOKUP('Données projet'!$B$13,Paramètres!$A$1:$I$89,3,0)*VLOOKUP('Données projet'!$B$13,Paramètres!$A$1:$I$89,5,0)</f>
        <v>5.5023292588884943E-13</v>
      </c>
      <c r="CV195" s="13">
        <f t="shared" si="173"/>
        <v>6.7779602651316659E-12</v>
      </c>
      <c r="CW195" s="20">
        <f t="shared" si="174"/>
        <v>1.2763269807694063E-11</v>
      </c>
      <c r="CX195" s="59">
        <f t="shared" si="122"/>
        <v>290.14926793007845</v>
      </c>
      <c r="CY195" s="59">
        <f ca="1">AVERAGE(OFFSET($CX$3,0,0,'Données projet'!$E$13+1,1))-AVERAGE(OFFSET($H$3,0,0,'Données projet'!$E$13+1,1))</f>
        <v>765.9523557587147</v>
      </c>
      <c r="CZ195" s="59">
        <f t="shared" si="150"/>
        <v>347.40395092312815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195.94586390812137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195.94586390812137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146.15384615384625</v>
      </c>
      <c r="DP195" s="17">
        <f>DO195*VLOOKUP('Données projet'!$B$14,Paramètres!$A$1:$I$89,3,0)*VLOOKUP('Données projet'!$B$14,Paramètres!$A$1:$I$89,5,0)</f>
        <v>127.68000000000011</v>
      </c>
      <c r="DQ195" s="13">
        <f t="shared" si="176"/>
        <v>33.45971491465221</v>
      </c>
      <c r="DR195" s="20">
        <f t="shared" si="177"/>
        <v>280.65167014301943</v>
      </c>
      <c r="DS195" s="59">
        <f t="shared" si="125"/>
        <v>570.80093807308504</v>
      </c>
      <c r="DT195" s="59">
        <f ca="1">AVERAGE(OFFSET($DS$3,0,0,'Données projet'!$E$14+1,1))-AVERAGE(OFFSET($H$3,0,0,'Données projet'!$E$14+1,1))</f>
        <v>253.82888243490106</v>
      </c>
      <c r="DU195" s="59">
        <f t="shared" si="152"/>
        <v>224.11983819941796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3.0917499649495239</v>
      </c>
      <c r="EB195" s="21">
        <f>EXP(-LN(2)/25)*EB194+(1-EXP(-LN(2)/25))/(LN(2)/25)*Calculateur!DW195*Calculateur!DY195*VLOOKUP('Données projet'!$B$14,Paramètres!$A$1:$I$89,3,0)*0.475*44/12</f>
        <v>0.68848882577880877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3.7802387907283328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-4.5474735088646412E-13</v>
      </c>
      <c r="O196" s="13">
        <f>N196*VLOOKUP('Données projet'!$B$9,Paramètres!$A$1:$I$89,3,0)*VLOOKUP('Données projet'!$B$9,Paramètres!$A$1:$I$89,5,0)</f>
        <v>-2.1282176021486519E-13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387.50901594883317</v>
      </c>
      <c r="T196" s="59">
        <f t="shared" si="142"/>
        <v>361.3623790401972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36.132613156893534</v>
      </c>
      <c r="AA196" s="21">
        <f>EXP(-LN(2)/25)*AA195+(1-EXP(-LN(2)/25))/(LN(2)/25)*Calculateur!V196*Calculateur!X196*VLOOKUP('Données projet'!$B$9,Paramètres!$A$1:$I$89,3,0)*0.475*44/12</f>
        <v>7.3449761938552429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43.477589350748779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373.47758082856359</v>
      </c>
      <c r="AO196" s="59">
        <f t="shared" si="144"/>
        <v>277.24895424120166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18.354863524400145</v>
      </c>
      <c r="AV196" s="21">
        <f>EXP(-LN(2)/25)*AV195+(1-EXP(-LN(2)/25))/(LN(2)/25)*Calculateur!AQ196*Calculateur!AS196*VLOOKUP('Données projet'!$B$10,Paramètres!$A$1:$I$89,3,0)*0.475*44/12</f>
        <v>3.5191951520562466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21.874058676456393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4.8316906031686813E-13</v>
      </c>
      <c r="BE196" s="13">
        <f>BD196*VLOOKUP('Données projet'!$B$11,Paramètres!$A$1:$I$89,3,0)*VLOOKUP('Données projet'!$B$11,Paramètres!$A$1:$I$89,5,0)</f>
        <v>4.3717136577470225E-13</v>
      </c>
      <c r="BF196" s="13">
        <f t="shared" si="167"/>
        <v>5.5313598682231701E-12</v>
      </c>
      <c r="BG196" s="20">
        <f t="shared" si="168"/>
        <v>1.039519189921296E-11</v>
      </c>
      <c r="BH196" s="59">
        <f t="shared" ref="BH196:BH203" si="194">BG196+(AY196+AZ196)*44/12</f>
        <v>290.20450434631891</v>
      </c>
      <c r="BI196" s="59">
        <f ca="1">AVERAGE(OFFSET($BH$3,0,0,'Données projet'!$E$11+1,1))-AVERAGE(OFFSET($H$3,0,0,'Données projet'!$E$11+1,1))</f>
        <v>627.65081154031589</v>
      </c>
      <c r="BJ196" s="59">
        <f t="shared" si="146"/>
        <v>288.78083487077618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152.63016618985506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152.63016618985506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4.8316906031686813E-13</v>
      </c>
      <c r="BZ196" s="13">
        <f>BY196*VLOOKUP('Données projet'!$B$12,Paramètres!$A$1:$I$89,3,0)*VLOOKUP('Données projet'!$B$12,Paramètres!$A$1:$I$89,5,0)</f>
        <v>4.8993342716130437E-13</v>
      </c>
      <c r="CA196" s="13">
        <f t="shared" si="170"/>
        <v>6.1172634040517391E-12</v>
      </c>
      <c r="CB196" s="20">
        <f t="shared" si="171"/>
        <v>1.1507534481029384E-11</v>
      </c>
      <c r="CC196" s="59">
        <f t="shared" ref="CC196:CC203" si="195">CB196+(BT196+BU196)*44/12</f>
        <v>290.20450434631999</v>
      </c>
      <c r="CD196" s="59">
        <f ca="1">AVERAGE(OFFSET($CC$3,0,0,'Données projet'!$E$12+1,1))-AVERAGE(OFFSET($H$3,0,0,'Données projet'!$E$12+1,1))</f>
        <v>692.2706942067415</v>
      </c>
      <c r="CE196" s="59">
        <f t="shared" si="148"/>
        <v>316.17529091924803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171.05104831621688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171.05104831621688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4.8316906031686813E-13</v>
      </c>
      <c r="CU196" s="17">
        <f>CT196*VLOOKUP('Données projet'!$B$13,Paramètres!$A$1:$I$89,3,0)*VLOOKUP('Données projet'!$B$13,Paramètres!$A$1:$I$89,5,0)</f>
        <v>5.5023292588884943E-13</v>
      </c>
      <c r="CV196" s="13">
        <f t="shared" si="173"/>
        <v>6.7779602651316659E-12</v>
      </c>
      <c r="CW196" s="20">
        <f t="shared" si="174"/>
        <v>1.2763269807694063E-11</v>
      </c>
      <c r="CX196" s="59">
        <f t="shared" ref="CX196:CX203" si="196">CW196+(CO196+CP196)*44/12</f>
        <v>290.2045043463213</v>
      </c>
      <c r="CY196" s="59">
        <f ca="1">AVERAGE(OFFSET($CX$3,0,0,'Données projet'!$E$13+1,1))-AVERAGE(OFFSET($H$3,0,0,'Données projet'!$E$13+1,1))</f>
        <v>765.9523557587147</v>
      </c>
      <c r="CZ196" s="59">
        <f t="shared" si="150"/>
        <v>347.40395092312815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192.10348503205896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192.10348503205896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146.15384615384625</v>
      </c>
      <c r="DP196" s="17">
        <f>DO196*VLOOKUP('Données projet'!$B$14,Paramètres!$A$1:$I$89,3,0)*VLOOKUP('Données projet'!$B$14,Paramètres!$A$1:$I$89,5,0)</f>
        <v>127.68000000000011</v>
      </c>
      <c r="DQ196" s="13">
        <f t="shared" si="176"/>
        <v>33.45971491465221</v>
      </c>
      <c r="DR196" s="20">
        <f t="shared" si="177"/>
        <v>280.65167014301943</v>
      </c>
      <c r="DS196" s="59">
        <f t="shared" ref="DS196:DS203" si="197">DR196+(DJ196+DK196)*44/12</f>
        <v>570.85617448932794</v>
      </c>
      <c r="DT196" s="59">
        <f ca="1">AVERAGE(OFFSET($DS$3,0,0,'Données projet'!$E$14+1,1))-AVERAGE(OFFSET($H$3,0,0,'Données projet'!$E$14+1,1))</f>
        <v>253.82888243490106</v>
      </c>
      <c r="DU196" s="59">
        <f t="shared" si="152"/>
        <v>224.11983819941796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3.031122633918137</v>
      </c>
      <c r="EB196" s="21">
        <f>EXP(-LN(2)/25)*EB195+(1-EXP(-LN(2)/25))/(LN(2)/25)*Calculateur!DW196*Calculateur!DY196*VLOOKUP('Données projet'!$B$14,Paramètres!$A$1:$I$89,3,0)*0.475*44/12</f>
        <v>0.66966206263183348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3.7007846965499702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-4.5474735088646412E-13</v>
      </c>
      <c r="O197" s="13">
        <f>N197*VLOOKUP('Données projet'!$B$9,Paramètres!$A$1:$I$89,3,0)*VLOOKUP('Données projet'!$B$9,Paramètres!$A$1:$I$89,5,0)</f>
        <v>-2.1282176021486519E-13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387.50901594883317</v>
      </c>
      <c r="T197" s="59">
        <f t="shared" ref="T197:T203" si="204">$T$3</f>
        <v>361.3623790401972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35.424074651604734</v>
      </c>
      <c r="AA197" s="21">
        <f>EXP(-LN(2)/25)*AA196+(1-EXP(-LN(2)/25))/(LN(2)/25)*Calculateur!V197*Calculateur!X197*VLOOKUP('Données projet'!$B$9,Paramètres!$A$1:$I$89,3,0)*0.475*44/12</f>
        <v>7.1441274335787606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42.568202085183493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373.47758082856359</v>
      </c>
      <c r="AO197" s="59">
        <f t="shared" ref="AO197:AO203" si="205">$AO$3</f>
        <v>277.24895424120166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17.994935846047959</v>
      </c>
      <c r="AV197" s="21">
        <f>EXP(-LN(2)/25)*AV196+(1-EXP(-LN(2)/25))/(LN(2)/25)*Calculateur!AQ197*Calculateur!AS197*VLOOKUP('Données projet'!$B$10,Paramètres!$A$1:$I$89,3,0)*0.475*44/12</f>
        <v>3.4229625755568387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21.417898421604797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4.8316906031686813E-13</v>
      </c>
      <c r="BE197" s="13">
        <f>BD197*VLOOKUP('Données projet'!$B$11,Paramètres!$A$1:$I$89,3,0)*VLOOKUP('Données projet'!$B$11,Paramètres!$A$1:$I$89,5,0)</f>
        <v>4.3717136577470225E-13</v>
      </c>
      <c r="BF197" s="13">
        <f t="shared" si="167"/>
        <v>5.5313598682231701E-12</v>
      </c>
      <c r="BG197" s="20">
        <f t="shared" si="168"/>
        <v>1.039519189921296E-11</v>
      </c>
      <c r="BH197" s="59">
        <f t="shared" si="194"/>
        <v>290.25878253423014</v>
      </c>
      <c r="BI197" s="59">
        <f ca="1">AVERAGE(OFFSET($BH$3,0,0,'Données projet'!$E$11+1,1))-AVERAGE(OFFSET($H$3,0,0,'Données projet'!$E$11+1,1))</f>
        <v>627.65081154031589</v>
      </c>
      <c r="BJ197" s="59">
        <f t="shared" ref="BJ197:BJ203" si="206">$BJ$3</f>
        <v>288.78083487077618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149.637181726081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149.637181726081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4.8316906031686813E-13</v>
      </c>
      <c r="BZ197" s="13">
        <f>BY197*VLOOKUP('Données projet'!$B$12,Paramètres!$A$1:$I$89,3,0)*VLOOKUP('Données projet'!$B$12,Paramètres!$A$1:$I$89,5,0)</f>
        <v>4.8993342716130437E-13</v>
      </c>
      <c r="CA197" s="13">
        <f t="shared" si="170"/>
        <v>6.1172634040517391E-12</v>
      </c>
      <c r="CB197" s="20">
        <f t="shared" si="171"/>
        <v>1.1507534481029384E-11</v>
      </c>
      <c r="CC197" s="59">
        <f t="shared" si="195"/>
        <v>290.25878253423122</v>
      </c>
      <c r="CD197" s="59">
        <f ca="1">AVERAGE(OFFSET($CC$3,0,0,'Données projet'!$E$12+1,1))-AVERAGE(OFFSET($H$3,0,0,'Données projet'!$E$12+1,1))</f>
        <v>692.2706942067415</v>
      </c>
      <c r="CE197" s="59">
        <f t="shared" ref="CE197:CE203" si="207">$CE$3</f>
        <v>316.17529091924803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167.69684158957352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167.69684158957352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4.8316906031686813E-13</v>
      </c>
      <c r="CU197" s="17">
        <f>CT197*VLOOKUP('Données projet'!$B$13,Paramètres!$A$1:$I$89,3,0)*VLOOKUP('Données projet'!$B$13,Paramètres!$A$1:$I$89,5,0)</f>
        <v>5.5023292588884943E-13</v>
      </c>
      <c r="CV197" s="13">
        <f t="shared" si="173"/>
        <v>6.7779602651316659E-12</v>
      </c>
      <c r="CW197" s="20">
        <f t="shared" si="174"/>
        <v>1.2763269807694063E-11</v>
      </c>
      <c r="CX197" s="59">
        <f t="shared" si="196"/>
        <v>290.25878253423252</v>
      </c>
      <c r="CY197" s="59">
        <f ca="1">AVERAGE(OFFSET($CX$3,0,0,'Données projet'!$E$13+1,1))-AVERAGE(OFFSET($H$3,0,0,'Données projet'!$E$13+1,1))</f>
        <v>765.9523557587147</v>
      </c>
      <c r="CZ197" s="59">
        <f t="shared" ref="CZ197:CZ203" si="208">$CZ$3</f>
        <v>347.40395092312815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188.33645286213641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188.33645286213641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146.15384615384625</v>
      </c>
      <c r="DP197" s="17">
        <f>DO197*VLOOKUP('Données projet'!$B$14,Paramètres!$A$1:$I$89,3,0)*VLOOKUP('Données projet'!$B$14,Paramètres!$A$1:$I$89,5,0)</f>
        <v>127.68000000000011</v>
      </c>
      <c r="DQ197" s="13">
        <f t="shared" si="176"/>
        <v>33.45971491465221</v>
      </c>
      <c r="DR197" s="20">
        <f t="shared" si="177"/>
        <v>280.65167014301943</v>
      </c>
      <c r="DS197" s="59">
        <f t="shared" si="197"/>
        <v>570.91045267723916</v>
      </c>
      <c r="DT197" s="59">
        <f ca="1">AVERAGE(OFFSET($DS$3,0,0,'Données projet'!$E$14+1,1))-AVERAGE(OFFSET($H$3,0,0,'Données projet'!$E$14+1,1))</f>
        <v>253.82888243490106</v>
      </c>
      <c r="DU197" s="59">
        <f t="shared" ref="DU197:DU203" si="209">$DU$3</f>
        <v>224.11983819941796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2.9716841678692547</v>
      </c>
      <c r="EB197" s="21">
        <f>EXP(-LN(2)/25)*EB196+(1-EXP(-LN(2)/25))/(LN(2)/25)*Calculateur!DW197*Calculateur!DY197*VLOOKUP('Données projet'!$B$14,Paramètres!$A$1:$I$89,3,0)*0.475*44/12</f>
        <v>0.65135011831316869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3.6230342861824232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-4.5474735088646412E-13</v>
      </c>
      <c r="O198" s="13">
        <f>N198*VLOOKUP('Données projet'!$B$9,Paramètres!$A$1:$I$89,3,0)*VLOOKUP('Données projet'!$B$9,Paramètres!$A$1:$I$89,5,0)</f>
        <v>-2.1282176021486519E-13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387.50901594883317</v>
      </c>
      <c r="T198" s="59">
        <f t="shared" si="204"/>
        <v>361.3623790401972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34.729430154238834</v>
      </c>
      <c r="AA198" s="21">
        <f>EXP(-LN(2)/25)*AA197+(1-EXP(-LN(2)/25))/(LN(2)/25)*Calculateur!V198*Calculateur!X198*VLOOKUP('Données projet'!$B$9,Paramètres!$A$1:$I$89,3,0)*0.475*44/12</f>
        <v>6.948770893214216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41.678201047453051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373.47758082856359</v>
      </c>
      <c r="AO198" s="59">
        <f t="shared" si="205"/>
        <v>277.24895424120166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17.642066129934051</v>
      </c>
      <c r="AV198" s="21">
        <f>EXP(-LN(2)/25)*AV197+(1-EXP(-LN(2)/25))/(LN(2)/25)*Calculateur!AQ198*Calculateur!AS198*VLOOKUP('Données projet'!$B$10,Paramètres!$A$1:$I$89,3,0)*0.475*44/12</f>
        <v>3.3293614839224586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20.971427613856509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4.8316906031686813E-13</v>
      </c>
      <c r="BE198" s="13">
        <f>BD198*VLOOKUP('Données projet'!$B$11,Paramètres!$A$1:$I$89,3,0)*VLOOKUP('Données projet'!$B$11,Paramètres!$A$1:$I$89,5,0)</f>
        <v>4.3717136577470225E-13</v>
      </c>
      <c r="BF198" s="13">
        <f t="shared" si="167"/>
        <v>5.5313598682231701E-12</v>
      </c>
      <c r="BG198" s="20">
        <f t="shared" si="168"/>
        <v>1.039519189921296E-11</v>
      </c>
      <c r="BH198" s="59">
        <f t="shared" si="194"/>
        <v>290.3121191169289</v>
      </c>
      <c r="BI198" s="59">
        <f ca="1">AVERAGE(OFFSET($BH$3,0,0,'Données projet'!$E$11+1,1))-AVERAGE(OFFSET($H$3,0,0,'Données projet'!$E$11+1,1))</f>
        <v>627.65081154031589</v>
      </c>
      <c r="BJ198" s="59">
        <f t="shared" si="206"/>
        <v>288.78083487077618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146.70288786210128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146.70288786210128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4.8316906031686813E-13</v>
      </c>
      <c r="BZ198" s="13">
        <f>BY198*VLOOKUP('Données projet'!$B$12,Paramètres!$A$1:$I$89,3,0)*VLOOKUP('Données projet'!$B$12,Paramètres!$A$1:$I$89,5,0)</f>
        <v>4.8993342716130437E-13</v>
      </c>
      <c r="CA198" s="13">
        <f t="shared" si="170"/>
        <v>6.1172634040517391E-12</v>
      </c>
      <c r="CB198" s="20">
        <f t="shared" si="171"/>
        <v>1.1507534481029384E-11</v>
      </c>
      <c r="CC198" s="59">
        <f t="shared" si="195"/>
        <v>290.31211911692998</v>
      </c>
      <c r="CD198" s="59">
        <f ca="1">AVERAGE(OFFSET($CC$3,0,0,'Données projet'!$E$12+1,1))-AVERAGE(OFFSET($H$3,0,0,'Données projet'!$E$12+1,1))</f>
        <v>692.2706942067415</v>
      </c>
      <c r="CE198" s="59">
        <f t="shared" si="207"/>
        <v>316.17529091924803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164.40840881097554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164.40840881097554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4.8316906031686813E-13</v>
      </c>
      <c r="CU198" s="17">
        <f>CT198*VLOOKUP('Données projet'!$B$13,Paramètres!$A$1:$I$89,3,0)*VLOOKUP('Données projet'!$B$13,Paramètres!$A$1:$I$89,5,0)</f>
        <v>5.5023292588884943E-13</v>
      </c>
      <c r="CV198" s="13">
        <f t="shared" si="173"/>
        <v>6.7779602651316659E-12</v>
      </c>
      <c r="CW198" s="20">
        <f t="shared" si="174"/>
        <v>1.2763269807694063E-11</v>
      </c>
      <c r="CX198" s="59">
        <f t="shared" si="196"/>
        <v>290.31211911693129</v>
      </c>
      <c r="CY198" s="59">
        <f ca="1">AVERAGE(OFFSET($CX$3,0,0,'Données projet'!$E$13+1,1))-AVERAGE(OFFSET($H$3,0,0,'Données projet'!$E$13+1,1))</f>
        <v>765.9523557587147</v>
      </c>
      <c r="CZ198" s="59">
        <f t="shared" si="208"/>
        <v>347.40395092312815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184.64328989540331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184.64328989540331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146.15384615384625</v>
      </c>
      <c r="DP198" s="17">
        <f>DO198*VLOOKUP('Données projet'!$B$14,Paramètres!$A$1:$I$89,3,0)*VLOOKUP('Données projet'!$B$14,Paramètres!$A$1:$I$89,5,0)</f>
        <v>127.68000000000011</v>
      </c>
      <c r="DQ198" s="13">
        <f t="shared" si="176"/>
        <v>33.45971491465221</v>
      </c>
      <c r="DR198" s="20">
        <f t="shared" si="177"/>
        <v>280.65167014301943</v>
      </c>
      <c r="DS198" s="59">
        <f t="shared" si="197"/>
        <v>570.96378925993793</v>
      </c>
      <c r="DT198" s="59">
        <f ca="1">AVERAGE(OFFSET($DS$3,0,0,'Données projet'!$E$14+1,1))-AVERAGE(OFFSET($H$3,0,0,'Données projet'!$E$14+1,1))</f>
        <v>253.82888243490106</v>
      </c>
      <c r="DU198" s="59">
        <f t="shared" si="209"/>
        <v>224.11983819941796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2.9134112538857067</v>
      </c>
      <c r="EB198" s="21">
        <f>EXP(-LN(2)/25)*EB197+(1-EXP(-LN(2)/25))/(LN(2)/25)*Calculateur!DW198*Calculateur!DY198*VLOOKUP('Données projet'!$B$14,Paramètres!$A$1:$I$89,3,0)*0.475*44/12</f>
        <v>0.63353891507488103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3.5469501689605876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-4.5474735088646412E-13</v>
      </c>
      <c r="O199" s="13">
        <f>N199*VLOOKUP('Données projet'!$B$9,Paramètres!$A$1:$I$89,3,0)*VLOOKUP('Données projet'!$B$9,Paramètres!$A$1:$I$89,5,0)</f>
        <v>-2.1282176021486519E-13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387.50901594883317</v>
      </c>
      <c r="T199" s="59">
        <f t="shared" si="204"/>
        <v>361.3623790401972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34.048407211774972</v>
      </c>
      <c r="AA199" s="21">
        <f>EXP(-LN(2)/25)*AA198+(1-EXP(-LN(2)/25))/(LN(2)/25)*Calculateur!V199*Calculateur!X199*VLOOKUP('Données projet'!$B$9,Paramètres!$A$1:$I$89,3,0)*0.475*44/12</f>
        <v>6.758756387719294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40.807163599494267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373.47758082856359</v>
      </c>
      <c r="AO199" s="59">
        <f t="shared" si="205"/>
        <v>277.24895424120166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17.296115973723861</v>
      </c>
      <c r="AV199" s="21">
        <f>EXP(-LN(2)/25)*AV198+(1-EXP(-LN(2)/25))/(LN(2)/25)*Calculateur!AQ199*Calculateur!AS199*VLOOKUP('Données projet'!$B$10,Paramètres!$A$1:$I$89,3,0)*0.475*44/12</f>
        <v>3.2383199190610878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20.534435892784948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4.8316906031686813E-13</v>
      </c>
      <c r="BE199" s="13">
        <f>BD199*VLOOKUP('Données projet'!$B$11,Paramètres!$A$1:$I$89,3,0)*VLOOKUP('Données projet'!$B$11,Paramètres!$A$1:$I$89,5,0)</f>
        <v>4.3717136577470225E-13</v>
      </c>
      <c r="BF199" s="13">
        <f t="shared" si="167"/>
        <v>5.5313598682231701E-12</v>
      </c>
      <c r="BG199" s="20">
        <f t="shared" si="168"/>
        <v>1.039519189921296E-11</v>
      </c>
      <c r="BH199" s="59">
        <f t="shared" si="194"/>
        <v>290.3645304291606</v>
      </c>
      <c r="BI199" s="59">
        <f ca="1">AVERAGE(OFFSET($BH$3,0,0,'Données projet'!$E$11+1,1))-AVERAGE(OFFSET($H$3,0,0,'Données projet'!$E$11+1,1))</f>
        <v>627.65081154031589</v>
      </c>
      <c r="BJ199" s="59">
        <f t="shared" si="206"/>
        <v>288.78083487077618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143.82613371105165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143.82613371105165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4.8316906031686813E-13</v>
      </c>
      <c r="BZ199" s="13">
        <f>BY199*VLOOKUP('Données projet'!$B$12,Paramètres!$A$1:$I$89,3,0)*VLOOKUP('Données projet'!$B$12,Paramètres!$A$1:$I$89,5,0)</f>
        <v>4.8993342716130437E-13</v>
      </c>
      <c r="CA199" s="13">
        <f t="shared" si="170"/>
        <v>6.1172634040517391E-12</v>
      </c>
      <c r="CB199" s="20">
        <f t="shared" si="171"/>
        <v>1.1507534481029384E-11</v>
      </c>
      <c r="CC199" s="59">
        <f t="shared" si="195"/>
        <v>290.36453042916168</v>
      </c>
      <c r="CD199" s="59">
        <f ca="1">AVERAGE(OFFSET($CC$3,0,0,'Données projet'!$E$12+1,1))-AVERAGE(OFFSET($H$3,0,0,'Données projet'!$E$12+1,1))</f>
        <v>692.2706942067415</v>
      </c>
      <c r="CE199" s="59">
        <f t="shared" si="207"/>
        <v>316.17529091924803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161.18446019341994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161.18446019341994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4.8316906031686813E-13</v>
      </c>
      <c r="CU199" s="17">
        <f>CT199*VLOOKUP('Données projet'!$B$13,Paramètres!$A$1:$I$89,3,0)*VLOOKUP('Données projet'!$B$13,Paramètres!$A$1:$I$89,5,0)</f>
        <v>5.5023292588884943E-13</v>
      </c>
      <c r="CV199" s="13">
        <f t="shared" si="173"/>
        <v>6.7779602651316659E-12</v>
      </c>
      <c r="CW199" s="20">
        <f t="shared" si="174"/>
        <v>1.2763269807694063E-11</v>
      </c>
      <c r="CX199" s="59">
        <f t="shared" si="196"/>
        <v>290.36453042916298</v>
      </c>
      <c r="CY199" s="59">
        <f ca="1">AVERAGE(OFFSET($CX$3,0,0,'Données projet'!$E$13+1,1))-AVERAGE(OFFSET($H$3,0,0,'Données projet'!$E$13+1,1))</f>
        <v>765.9523557587147</v>
      </c>
      <c r="CZ199" s="59">
        <f t="shared" si="208"/>
        <v>347.40395092312815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181.02254760184087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181.02254760184087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146.15384615384625</v>
      </c>
      <c r="DP199" s="17">
        <f>DO199*VLOOKUP('Données projet'!$B$14,Paramètres!$A$1:$I$89,3,0)*VLOOKUP('Données projet'!$B$14,Paramètres!$A$1:$I$89,5,0)</f>
        <v>127.68000000000011</v>
      </c>
      <c r="DQ199" s="13">
        <f t="shared" si="176"/>
        <v>33.45971491465221</v>
      </c>
      <c r="DR199" s="20">
        <f t="shared" si="177"/>
        <v>280.65167014301943</v>
      </c>
      <c r="DS199" s="59">
        <f t="shared" si="197"/>
        <v>571.01620057216962</v>
      </c>
      <c r="DT199" s="59">
        <f ca="1">AVERAGE(OFFSET($DS$3,0,0,'Données projet'!$E$14+1,1))-AVERAGE(OFFSET($H$3,0,0,'Données projet'!$E$14+1,1))</f>
        <v>253.82888243490106</v>
      </c>
      <c r="DU199" s="59">
        <f t="shared" si="209"/>
        <v>224.11983819941796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2.8562810362024083</v>
      </c>
      <c r="EB199" s="21">
        <f>EXP(-LN(2)/25)*EB198+(1-EXP(-LN(2)/25))/(LN(2)/25)*Calculateur!DW199*Calculateur!DY199*VLOOKUP('Données projet'!$B$14,Paramètres!$A$1:$I$89,3,0)*0.475*44/12</f>
        <v>0.61621476012579479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3.4724957963282028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-4.5474735088646412E-13</v>
      </c>
      <c r="O200" s="13">
        <f>N200*VLOOKUP('Données projet'!$B$9,Paramètres!$A$1:$I$89,3,0)*VLOOKUP('Données projet'!$B$9,Paramètres!$A$1:$I$89,5,0)</f>
        <v>-2.1282176021486519E-13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387.50901594883317</v>
      </c>
      <c r="T200" s="59">
        <f t="shared" si="204"/>
        <v>361.3623790401972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33.380738713829842</v>
      </c>
      <c r="AA200" s="21">
        <f>EXP(-LN(2)/25)*AA199+(1-EXP(-LN(2)/25))/(LN(2)/25)*Calculateur!V200*Calculateur!X200*VLOOKUP('Données projet'!$B$9,Paramètres!$A$1:$I$89,3,0)*0.475*44/12</f>
        <v>6.5739378388695586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39.954676552699404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373.47758082856359</v>
      </c>
      <c r="AO200" s="59">
        <f t="shared" si="205"/>
        <v>277.24895424120166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16.956949689068196</v>
      </c>
      <c r="AV200" s="21">
        <f>EXP(-LN(2)/25)*AV199+(1-EXP(-LN(2)/25))/(LN(2)/25)*Calculateur!AQ200*Calculateur!AS200*VLOOKUP('Données projet'!$B$10,Paramètres!$A$1:$I$89,3,0)*0.475*44/12</f>
        <v>3.1497678905785191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20.106717579646716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4.8316906031686813E-13</v>
      </c>
      <c r="BE200" s="13">
        <f>BD200*VLOOKUP('Données projet'!$B$11,Paramètres!$A$1:$I$89,3,0)*VLOOKUP('Données projet'!$B$11,Paramètres!$A$1:$I$89,5,0)</f>
        <v>4.3717136577470225E-13</v>
      </c>
      <c r="BF200" s="13">
        <f t="shared" si="167"/>
        <v>5.5313598682231701E-12</v>
      </c>
      <c r="BG200" s="20">
        <f t="shared" si="168"/>
        <v>1.039519189921296E-11</v>
      </c>
      <c r="BH200" s="59">
        <f t="shared" si="194"/>
        <v>290.41603252229919</v>
      </c>
      <c r="BI200" s="59">
        <f ca="1">AVERAGE(OFFSET($BH$3,0,0,'Données projet'!$E$11+1,1))-AVERAGE(OFFSET($H$3,0,0,'Données projet'!$E$11+1,1))</f>
        <v>627.65081154031589</v>
      </c>
      <c r="BJ200" s="59">
        <f t="shared" si="206"/>
        <v>288.78083487077618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141.00579095425735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141.00579095425735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4.8316906031686813E-13</v>
      </c>
      <c r="BZ200" s="13">
        <f>BY200*VLOOKUP('Données projet'!$B$12,Paramètres!$A$1:$I$89,3,0)*VLOOKUP('Données projet'!$B$12,Paramètres!$A$1:$I$89,5,0)</f>
        <v>4.8993342716130437E-13</v>
      </c>
      <c r="CA200" s="13">
        <f t="shared" si="170"/>
        <v>6.1172634040517391E-12</v>
      </c>
      <c r="CB200" s="20">
        <f t="shared" si="171"/>
        <v>1.1507534481029384E-11</v>
      </c>
      <c r="CC200" s="59">
        <f t="shared" si="195"/>
        <v>290.41603252230027</v>
      </c>
      <c r="CD200" s="59">
        <f ca="1">AVERAGE(OFFSET($CC$3,0,0,'Données projet'!$E$12+1,1))-AVERAGE(OFFSET($H$3,0,0,'Données projet'!$E$12+1,1))</f>
        <v>692.2706942067415</v>
      </c>
      <c r="CE200" s="59">
        <f t="shared" si="207"/>
        <v>316.17529091924803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158.0237312418401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158.0237312418401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4.8316906031686813E-13</v>
      </c>
      <c r="CU200" s="17">
        <f>CT200*VLOOKUP('Données projet'!$B$13,Paramètres!$A$1:$I$89,3,0)*VLOOKUP('Données projet'!$B$13,Paramètres!$A$1:$I$89,5,0)</f>
        <v>5.5023292588884943E-13</v>
      </c>
      <c r="CV200" s="13">
        <f t="shared" si="173"/>
        <v>6.7779602651316659E-12</v>
      </c>
      <c r="CW200" s="20">
        <f t="shared" si="174"/>
        <v>1.2763269807694063E-11</v>
      </c>
      <c r="CX200" s="59">
        <f t="shared" si="196"/>
        <v>290.41603252230158</v>
      </c>
      <c r="CY200" s="59">
        <f ca="1">AVERAGE(OFFSET($CX$3,0,0,'Données projet'!$E$13+1,1))-AVERAGE(OFFSET($H$3,0,0,'Données projet'!$E$13+1,1))</f>
        <v>765.9523557587147</v>
      </c>
      <c r="CZ200" s="59">
        <f t="shared" si="208"/>
        <v>347.40395092312815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177.47280585622045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177.47280585622045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146.15384615384625</v>
      </c>
      <c r="DP200" s="17">
        <f>DO200*VLOOKUP('Données projet'!$B$14,Paramètres!$A$1:$I$89,3,0)*VLOOKUP('Données projet'!$B$14,Paramètres!$A$1:$I$89,5,0)</f>
        <v>127.68000000000011</v>
      </c>
      <c r="DQ200" s="13">
        <f t="shared" si="176"/>
        <v>33.45971491465221</v>
      </c>
      <c r="DR200" s="20">
        <f t="shared" si="177"/>
        <v>280.65167014301943</v>
      </c>
      <c r="DS200" s="59">
        <f t="shared" si="197"/>
        <v>571.06770266530816</v>
      </c>
      <c r="DT200" s="59">
        <f ca="1">AVERAGE(OFFSET($DS$3,0,0,'Données projet'!$E$14+1,1))-AVERAGE(OFFSET($H$3,0,0,'Données projet'!$E$14+1,1))</f>
        <v>253.82888243490106</v>
      </c>
      <c r="DU200" s="59">
        <f t="shared" si="209"/>
        <v>224.11983819941796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2.8002711072418873</v>
      </c>
      <c r="EB200" s="21">
        <f>EXP(-LN(2)/25)*EB199+(1-EXP(-LN(2)/25))/(LN(2)/25)*Calculateur!DW200*Calculateur!DY200*VLOOKUP('Données projet'!$B$14,Paramètres!$A$1:$I$89,3,0)*0.475*44/12</f>
        <v>0.59936433510482912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3.3996354423467166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-4.5474735088646412E-13</v>
      </c>
      <c r="O201" s="13">
        <f>N201*VLOOKUP('Données projet'!$B$9,Paramètres!$A$1:$I$89,3,0)*VLOOKUP('Données projet'!$B$9,Paramètres!$A$1:$I$89,5,0)</f>
        <v>-2.1282176021486519E-13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387.50901594883317</v>
      </c>
      <c r="T201" s="59">
        <f t="shared" si="204"/>
        <v>361.3623790401972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32.726162787891845</v>
      </c>
      <c r="AA201" s="21">
        <f>EXP(-LN(2)/25)*AA200+(1-EXP(-LN(2)/25))/(LN(2)/25)*Calculateur!V201*Calculateur!X201*VLOOKUP('Données projet'!$B$9,Paramètres!$A$1:$I$89,3,0)*0.475*44/12</f>
        <v>6.3941731629573049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39.120335950849153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373.47758082856359</v>
      </c>
      <c r="AO201" s="59">
        <f t="shared" si="205"/>
        <v>277.24895424120166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16.624434248383622</v>
      </c>
      <c r="AV201" s="21">
        <f>EXP(-LN(2)/25)*AV200+(1-EXP(-LN(2)/25))/(LN(2)/25)*Calculateur!AQ201*Calculateur!AS201*VLOOKUP('Données projet'!$B$10,Paramètres!$A$1:$I$89,3,0)*0.475*44/12</f>
        <v>3.0636373219715551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19.688071570355177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4.8316906031686813E-13</v>
      </c>
      <c r="BE201" s="13">
        <f>BD201*VLOOKUP('Données projet'!$B$11,Paramètres!$A$1:$I$89,3,0)*VLOOKUP('Données projet'!$B$11,Paramètres!$A$1:$I$89,5,0)</f>
        <v>4.3717136577470225E-13</v>
      </c>
      <c r="BF201" s="13">
        <f t="shared" si="167"/>
        <v>5.5313598682231701E-12</v>
      </c>
      <c r="BG201" s="20">
        <f t="shared" si="168"/>
        <v>1.039519189921296E-11</v>
      </c>
      <c r="BH201" s="59">
        <f t="shared" si="194"/>
        <v>290.46664116926331</v>
      </c>
      <c r="BI201" s="59">
        <f ca="1">AVERAGE(OFFSET($BH$3,0,0,'Données projet'!$E$11+1,1))-AVERAGE(OFFSET($H$3,0,0,'Données projet'!$E$11+1,1))</f>
        <v>627.65081154031589</v>
      </c>
      <c r="BJ201" s="59">
        <f t="shared" si="206"/>
        <v>288.78083487077618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138.24075339868455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138.24075339868455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4.8316906031686813E-13</v>
      </c>
      <c r="BZ201" s="13">
        <f>BY201*VLOOKUP('Données projet'!$B$12,Paramètres!$A$1:$I$89,3,0)*VLOOKUP('Données projet'!$B$12,Paramètres!$A$1:$I$89,5,0)</f>
        <v>4.8993342716130437E-13</v>
      </c>
      <c r="CA201" s="13">
        <f t="shared" si="170"/>
        <v>6.1172634040517391E-12</v>
      </c>
      <c r="CB201" s="20">
        <f t="shared" si="171"/>
        <v>1.1507534481029384E-11</v>
      </c>
      <c r="CC201" s="59">
        <f t="shared" si="195"/>
        <v>290.46664116926439</v>
      </c>
      <c r="CD201" s="59">
        <f ca="1">AVERAGE(OFFSET($CC$3,0,0,'Données projet'!$E$12+1,1))-AVERAGE(OFFSET($H$3,0,0,'Données projet'!$E$12+1,1))</f>
        <v>692.2706942067415</v>
      </c>
      <c r="CE201" s="59">
        <f t="shared" si="207"/>
        <v>316.17529091924803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154.92498225714644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154.92498225714644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4.8316906031686813E-13</v>
      </c>
      <c r="CU201" s="17">
        <f>CT201*VLOOKUP('Données projet'!$B$13,Paramètres!$A$1:$I$89,3,0)*VLOOKUP('Données projet'!$B$13,Paramètres!$A$1:$I$89,5,0)</f>
        <v>5.5023292588884943E-13</v>
      </c>
      <c r="CV201" s="13">
        <f t="shared" si="173"/>
        <v>6.7779602651316659E-12</v>
      </c>
      <c r="CW201" s="20">
        <f t="shared" si="174"/>
        <v>1.2763269807694063E-11</v>
      </c>
      <c r="CX201" s="59">
        <f t="shared" si="196"/>
        <v>290.4666411692657</v>
      </c>
      <c r="CY201" s="59">
        <f ca="1">AVERAGE(OFFSET($CX$3,0,0,'Données projet'!$E$13+1,1))-AVERAGE(OFFSET($H$3,0,0,'Données projet'!$E$13+1,1))</f>
        <v>765.9523557587147</v>
      </c>
      <c r="CZ201" s="59">
        <f t="shared" si="208"/>
        <v>347.40395092312815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173.99267238110295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173.99267238110295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146.15384615384625</v>
      </c>
      <c r="DP201" s="17">
        <f>DO201*VLOOKUP('Données projet'!$B$14,Paramètres!$A$1:$I$89,3,0)*VLOOKUP('Données projet'!$B$14,Paramètres!$A$1:$I$89,5,0)</f>
        <v>127.68000000000011</v>
      </c>
      <c r="DQ201" s="13">
        <f t="shared" si="176"/>
        <v>33.45971491465221</v>
      </c>
      <c r="DR201" s="20">
        <f t="shared" si="177"/>
        <v>280.65167014301943</v>
      </c>
      <c r="DS201" s="59">
        <f t="shared" si="197"/>
        <v>571.11831131227234</v>
      </c>
      <c r="DT201" s="59">
        <f ca="1">AVERAGE(OFFSET($DS$3,0,0,'Données projet'!$E$14+1,1))-AVERAGE(OFFSET($H$3,0,0,'Données projet'!$E$14+1,1))</f>
        <v>253.82888243490106</v>
      </c>
      <c r="DU201" s="59">
        <f t="shared" si="209"/>
        <v>224.11983819941796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2.7453594988255987</v>
      </c>
      <c r="EB201" s="21">
        <f>EXP(-LN(2)/25)*EB200+(1-EXP(-LN(2)/25))/(LN(2)/25)*Calculateur!DW201*Calculateur!DY201*VLOOKUP('Données projet'!$B$14,Paramètres!$A$1:$I$89,3,0)*0.475*44/12</f>
        <v>0.58297468584218703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3.3283341846677859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-4.5474735088646412E-13</v>
      </c>
      <c r="O202" s="13">
        <f>N202*VLOOKUP('Données projet'!$B$9,Paramètres!$A$1:$I$89,3,0)*VLOOKUP('Données projet'!$B$9,Paramètres!$A$1:$I$89,5,0)</f>
        <v>-2.1282176021486519E-13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387.50901594883317</v>
      </c>
      <c r="T202" s="59">
        <f t="shared" si="204"/>
        <v>361.3623790401972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32.0844226966096</v>
      </c>
      <c r="AA202" s="21">
        <f>EXP(-LN(2)/25)*AA201+(1-EXP(-LN(2)/25))/(LN(2)/25)*Calculateur!V202*Calculateur!X202*VLOOKUP('Données projet'!$B$9,Paramètres!$A$1:$I$89,3,0)*0.475*44/12</f>
        <v>6.2193241615612846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38.303746858170882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373.47758082856359</v>
      </c>
      <c r="AO202" s="59">
        <f t="shared" si="205"/>
        <v>277.24895424120166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16.298439232676479</v>
      </c>
      <c r="AV202" s="21">
        <f>EXP(-LN(2)/25)*AV201+(1-EXP(-LN(2)/25))/(LN(2)/25)*Calculateur!AQ202*Calculateur!AS202*VLOOKUP('Données projet'!$B$10,Paramètres!$A$1:$I$89,3,0)*0.475*44/12</f>
        <v>2.979861998292558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19.278301230969038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4.8316906031686813E-13</v>
      </c>
      <c r="BE202" s="13">
        <f>BD202*VLOOKUP('Données projet'!$B$11,Paramètres!$A$1:$I$89,3,0)*VLOOKUP('Données projet'!$B$11,Paramètres!$A$1:$I$89,5,0)</f>
        <v>4.3717136577470225E-13</v>
      </c>
      <c r="BF202" s="13">
        <f t="shared" si="167"/>
        <v>5.5313598682231701E-12</v>
      </c>
      <c r="BG202" s="20">
        <f t="shared" si="168"/>
        <v>1.039519189921296E-11</v>
      </c>
      <c r="BH202" s="59">
        <f t="shared" si="194"/>
        <v>290.51637186934653</v>
      </c>
      <c r="BI202" s="59">
        <f ca="1">AVERAGE(OFFSET($BH$3,0,0,'Données projet'!$E$11+1,1))-AVERAGE(OFFSET($H$3,0,0,'Données projet'!$E$11+1,1))</f>
        <v>627.65081154031589</v>
      </c>
      <c r="BJ202" s="59">
        <f t="shared" si="206"/>
        <v>288.78083487077618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135.52993654307016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135.52993654307016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4.8316906031686813E-13</v>
      </c>
      <c r="BZ202" s="13">
        <f>BY202*VLOOKUP('Données projet'!$B$12,Paramètres!$A$1:$I$89,3,0)*VLOOKUP('Données projet'!$B$12,Paramètres!$A$1:$I$89,5,0)</f>
        <v>4.8993342716130437E-13</v>
      </c>
      <c r="CA202" s="13">
        <f t="shared" si="170"/>
        <v>6.1172634040517391E-12</v>
      </c>
      <c r="CB202" s="20">
        <f t="shared" si="171"/>
        <v>1.1507534481029384E-11</v>
      </c>
      <c r="CC202" s="59">
        <f t="shared" si="195"/>
        <v>290.51637186934761</v>
      </c>
      <c r="CD202" s="59">
        <f ca="1">AVERAGE(OFFSET($CC$3,0,0,'Données projet'!$E$12+1,1))-AVERAGE(OFFSET($H$3,0,0,'Données projet'!$E$12+1,1))</f>
        <v>692.2706942067415</v>
      </c>
      <c r="CE202" s="59">
        <f t="shared" si="207"/>
        <v>316.17529091924803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151.88699784999238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151.88699784999238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4.8316906031686813E-13</v>
      </c>
      <c r="CU202" s="17">
        <f>CT202*VLOOKUP('Données projet'!$B$13,Paramètres!$A$1:$I$89,3,0)*VLOOKUP('Données projet'!$B$13,Paramètres!$A$1:$I$89,5,0)</f>
        <v>5.5023292588884943E-13</v>
      </c>
      <c r="CV202" s="13">
        <f t="shared" si="173"/>
        <v>6.7779602651316659E-12</v>
      </c>
      <c r="CW202" s="20">
        <f t="shared" si="174"/>
        <v>1.2763269807694063E-11</v>
      </c>
      <c r="CX202" s="59">
        <f t="shared" si="196"/>
        <v>290.51637186934892</v>
      </c>
      <c r="CY202" s="59">
        <f ca="1">AVERAGE(OFFSET($CX$3,0,0,'Données projet'!$E$13+1,1))-AVERAGE(OFFSET($H$3,0,0,'Données projet'!$E$13+1,1))</f>
        <v>765.9523557587147</v>
      </c>
      <c r="CZ202" s="59">
        <f t="shared" si="208"/>
        <v>347.40395092312815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170.58078220076069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170.58078220076069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146.15384615384625</v>
      </c>
      <c r="DP202" s="17">
        <f>DO202*VLOOKUP('Données projet'!$B$14,Paramètres!$A$1:$I$89,3,0)*VLOOKUP('Données projet'!$B$14,Paramètres!$A$1:$I$89,5,0)</f>
        <v>127.68000000000011</v>
      </c>
      <c r="DQ202" s="13">
        <f t="shared" si="176"/>
        <v>33.45971491465221</v>
      </c>
      <c r="DR202" s="20">
        <f t="shared" si="177"/>
        <v>280.65167014301943</v>
      </c>
      <c r="DS202" s="59">
        <f t="shared" si="197"/>
        <v>571.1680420123555</v>
      </c>
      <c r="DT202" s="59">
        <f ca="1">AVERAGE(OFFSET($DS$3,0,0,'Données projet'!$E$14+1,1))-AVERAGE(OFFSET($H$3,0,0,'Données projet'!$E$14+1,1))</f>
        <v>253.82888243490106</v>
      </c>
      <c r="DU202" s="59">
        <f t="shared" si="209"/>
        <v>224.11983819941796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2.6915246735575793</v>
      </c>
      <c r="EB202" s="21">
        <f>EXP(-LN(2)/25)*EB201+(1-EXP(-LN(2)/25))/(LN(2)/25)*Calculateur!DW202*Calculateur!DY202*VLOOKUP('Données projet'!$B$14,Paramètres!$A$1:$I$89,3,0)*0.475*44/12</f>
        <v>0.56703321240052607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3.2585578859581052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-4.5474735088646412E-13</v>
      </c>
      <c r="O203" s="13">
        <f>N203*VLOOKUP('Données projet'!$B$9,Paramètres!$A$1:$I$89,3,0)*VLOOKUP('Données projet'!$B$9,Paramètres!$A$1:$I$89,5,0)</f>
        <v>-2.1282176021486519E-13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387.50901594883317</v>
      </c>
      <c r="T203" s="59">
        <f t="shared" si="204"/>
        <v>361.3623790401972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31.455266737094597</v>
      </c>
      <c r="AA203" s="21">
        <f>EXP(-LN(2)/25)*AA202+(1-EXP(-LN(2)/25))/(LN(2)/25)*Calculateur!V203*Calculateur!X203*VLOOKUP('Données projet'!$B$9,Paramètres!$A$1:$I$89,3,0)*0.475*44/12</f>
        <v>6.0492564153033479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37.504523152397944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373.47758082856359</v>
      </c>
      <c r="AO203" s="59">
        <f t="shared" si="205"/>
        <v>277.24895424120166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15.978836780390026</v>
      </c>
      <c r="AV203" s="21">
        <f>EXP(-LN(2)/25)*AV202+(1-EXP(-LN(2)/25))/(LN(2)/25)*Calculateur!AQ203*Calculateur!AS203*VLOOKUP('Données projet'!$B$10,Paramètres!$A$1:$I$89,3,0)*0.475*44/12</f>
        <v>2.8983775152451163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18.877214295635142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4.8316906031686813E-13</v>
      </c>
      <c r="BE203" s="13">
        <f>BD203*VLOOKUP('Données projet'!$B$11,Paramètres!$A$1:$I$89,3,0)*VLOOKUP('Données projet'!$B$11,Paramètres!$A$1:$I$89,5,0)</f>
        <v>4.3717136577470225E-13</v>
      </c>
      <c r="BF203" s="13">
        <f t="shared" si="167"/>
        <v>5.5313598682231701E-12</v>
      </c>
      <c r="BG203" s="20">
        <f t="shared" si="168"/>
        <v>1.039519189921296E-11</v>
      </c>
      <c r="BH203" s="59">
        <f t="shared" si="194"/>
        <v>290.56523985296451</v>
      </c>
      <c r="BI203" s="59">
        <f ca="1">AVERAGE(OFFSET($BH$3,0,0,'Données projet'!$E$11+1,1))-AVERAGE(OFFSET($H$3,0,0,'Données projet'!$E$11+1,1))</f>
        <v>627.65081154031589</v>
      </c>
      <c r="BJ203" s="59">
        <f t="shared" si="206"/>
        <v>288.78083487077618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132.87227715255935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132.87227715255935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4.8316906031686813E-13</v>
      </c>
      <c r="BZ203" s="13">
        <f>BY203*VLOOKUP('Données projet'!$B$12,Paramètres!$A$1:$I$89,3,0)*VLOOKUP('Données projet'!$B$12,Paramètres!$A$1:$I$89,5,0)</f>
        <v>4.8993342716130437E-13</v>
      </c>
      <c r="CA203" s="13">
        <f t="shared" si="170"/>
        <v>6.1172634040517391E-12</v>
      </c>
      <c r="CB203" s="20">
        <f t="shared" si="171"/>
        <v>1.1507534481029384E-11</v>
      </c>
      <c r="CC203" s="59">
        <f t="shared" si="195"/>
        <v>290.56523985296559</v>
      </c>
      <c r="CD203" s="59">
        <f ca="1">AVERAGE(OFFSET($CC$3,0,0,'Données projet'!$E$12+1,1))-AVERAGE(OFFSET($H$3,0,0,'Données projet'!$E$12+1,1))</f>
        <v>692.2706942067415</v>
      </c>
      <c r="CE203" s="59">
        <f t="shared" si="207"/>
        <v>316.17529091924803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148.90858646407509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148.90858646407509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4.8316906031686813E-13</v>
      </c>
      <c r="CU203" s="17">
        <f>CT203*VLOOKUP('Données projet'!$B$13,Paramètres!$A$1:$I$89,3,0)*VLOOKUP('Données projet'!$B$13,Paramètres!$A$1:$I$89,5,0)</f>
        <v>5.5023292588884943E-13</v>
      </c>
      <c r="CV203" s="13">
        <f t="shared" si="173"/>
        <v>6.7779602651316659E-12</v>
      </c>
      <c r="CW203" s="20">
        <f t="shared" si="174"/>
        <v>1.2763269807694063E-11</v>
      </c>
      <c r="CX203" s="59">
        <f t="shared" si="196"/>
        <v>290.5652398529669</v>
      </c>
      <c r="CY203" s="59">
        <f ca="1">AVERAGE(OFFSET($CX$3,0,0,'Données projet'!$E$13+1,1))-AVERAGE(OFFSET($H$3,0,0,'Données projet'!$E$13+1,1))</f>
        <v>765.9523557587147</v>
      </c>
      <c r="CZ203" s="59">
        <f t="shared" si="208"/>
        <v>347.40395092312815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167.23579710580742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167.23579710580742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146.15384615384625</v>
      </c>
      <c r="DP203" s="17">
        <f>DO203*VLOOKUP('Données projet'!$B$14,Paramètres!$A$1:$I$89,3,0)*VLOOKUP('Données projet'!$B$14,Paramètres!$A$1:$I$89,5,0)</f>
        <v>127.68000000000011</v>
      </c>
      <c r="DQ203" s="13">
        <f t="shared" si="176"/>
        <v>33.45971491465221</v>
      </c>
      <c r="DR203" s="20">
        <f t="shared" si="177"/>
        <v>280.65167014301943</v>
      </c>
      <c r="DS203" s="59">
        <f t="shared" si="197"/>
        <v>571.21690999597354</v>
      </c>
      <c r="DT203" s="59">
        <f ca="1">AVERAGE(OFFSET($DS$3,0,0,'Données projet'!$E$14+1,1))-AVERAGE(OFFSET($H$3,0,0,'Données projet'!$E$14+1,1))</f>
        <v>253.82888243490106</v>
      </c>
      <c r="DU203" s="59">
        <f t="shared" si="209"/>
        <v>224.11983819941796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2.6387455163770648</v>
      </c>
      <c r="EB203" s="21">
        <f>EXP(-LN(2)/25)*EB202+(1-EXP(-LN(2)/25))/(LN(2)/25)*Calculateur!DW203*Calculateur!DY203*VLOOKUP('Données projet'!$B$14,Paramètres!$A$1:$I$89,3,0)*0.475*44/12</f>
        <v>0.55152765938845305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3.1902731757655181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1.1544582689993719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1.2472301622014093</v>
      </c>
      <c r="BA205" s="82">
        <f>EXP(LN('Données projet'!B88)/'Données projet'!A88)</f>
        <v>1.1289835501862808</v>
      </c>
      <c r="BV205" s="82">
        <f>EXP(LN('Données projet'!B114)/'Données projet'!A114)</f>
        <v>1.1289835501862808</v>
      </c>
      <c r="CQ205" s="82">
        <f>EXP(LN('Données projet'!B140)/'Données projet'!A140)</f>
        <v>1.1289835501862808</v>
      </c>
      <c r="DL205" s="82">
        <f>EXP(LN('Données projet'!B166)/'Données projet'!A166)</f>
        <v>1.3087609363064139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J23" sqref="J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6.0108787878787879</v>
      </c>
      <c r="C6" s="147">
        <f ca="1">IF(OR('Données projet'!B9="",'Données projet'!C9="",'Données projet'!C9=0%),0,Calculateur!S3)</f>
        <v>387.50901594883317</v>
      </c>
      <c r="D6" s="147">
        <f>IF(OR('Données projet'!B9="",'Données projet'!C9="",'Données projet'!C9=0%),0,Calculateur!T3)</f>
        <v>361.3623790401972</v>
      </c>
      <c r="E6" s="147">
        <f ca="1">MIN(C6,D6)</f>
        <v>361.3623790401972</v>
      </c>
      <c r="F6" s="147">
        <f ca="1">E6*B6</f>
        <v>2172.1054589101354</v>
      </c>
      <c r="G6" s="147">
        <f ca="1">F6*(100%-'Données projet'!$C$24)*(100%-'Données projet'!$C$25)*(100%-'Données projet'!$C$26)*(100%-'Données projet'!$C$27)</f>
        <v>1857.1501673681657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1857.1501673681657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laricio</v>
      </c>
      <c r="B7" s="154">
        <f>'Données projet'!D10</f>
        <v>2.7258636363636368</v>
      </c>
      <c r="C7" s="147">
        <f ca="1">IF(OR('Données projet'!B10="",'Données projet'!C10="",'Données projet'!C10=0%),0,Calculateur!AN3)</f>
        <v>373.47758082856359</v>
      </c>
      <c r="D7" s="147">
        <f>IF(OR('Données projet'!B10="",'Données projet'!C10="",'Données projet'!C10=0%),0,Calculateur!AO3)</f>
        <v>277.24895424120166</v>
      </c>
      <c r="E7" s="147">
        <f t="shared" ref="E7:E15" ca="1" si="0">MIN(C7,D7)</f>
        <v>277.24895424120166</v>
      </c>
      <c r="F7" s="147">
        <f t="shared" ref="F7:F15" ca="1" si="1">E7*B7</f>
        <v>755.74284258593752</v>
      </c>
      <c r="G7" s="147">
        <f ca="1">F7*(100%-'Données projet'!$C$24)*(100%-'Données projet'!$C$25)*(100%-'Données projet'!$C$26)*(100%-'Données projet'!$C$27)</f>
        <v>646.16013041097665</v>
      </c>
      <c r="H7" s="155">
        <f>IF(OR('Données projet'!B10="",'Données projet'!C10="",'Données projet'!C10=0%),0,AVERAGE(Calculateur!$AX$3:$AX$33)*B7)</f>
        <v>16.051217061173592</v>
      </c>
      <c r="I7" s="149">
        <f>H7*(100%-'Données projet'!$C$24)*(100%-'Données projet'!$C$25)*(100%-'Données projet'!$C$26)*(100%-'Données projet'!$C$27)</f>
        <v>13.723790587303421</v>
      </c>
      <c r="J7" s="150">
        <f>IF(OR('Données projet'!B10="",'Données projet'!C10="",'Données projet'!C10=0%),0,SUM(Calculateur!$AQ$3:$AQ$33)*VLOOKUP('Données projet'!$B$10,Paramètres!$A$1:$I$89,9,0)*B7)</f>
        <v>105.78395306818183</v>
      </c>
      <c r="K7" s="151">
        <f>J7*(100%-'Données projet'!$C$24)*(100%-'Données projet'!$C$25)*(100%-'Données projet'!$C$26)*(100%-'Données projet'!$C$27)</f>
        <v>90.445279873295462</v>
      </c>
      <c r="L7" s="152">
        <f t="shared" ref="L7:L15" ca="1" si="2">G7+I7+K7</f>
        <v>750.32920087157549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0.12231439393939396</v>
      </c>
      <c r="C8" s="147">
        <f ca="1">IF(OR('Données projet'!B11="",'Données projet'!C11="",'Données projet'!C11=0%),0,Calculateur!BI3)</f>
        <v>627.65081154031589</v>
      </c>
      <c r="D8" s="147">
        <f>IF(OR('Données projet'!B11="",'Données projet'!C11="",'Données projet'!C11=0%),0,Calculateur!BJ3)</f>
        <v>288.78083487077618</v>
      </c>
      <c r="E8" s="147">
        <f t="shared" ca="1" si="0"/>
        <v>288.78083487077618</v>
      </c>
      <c r="F8" s="147">
        <f t="shared" ca="1" si="1"/>
        <v>35.322052798531196</v>
      </c>
      <c r="G8" s="147">
        <f ca="1">F8*(100%-'Données projet'!$C$24)*(100%-'Données projet'!$C$25)*(100%-'Données projet'!$C$26)*(100%-'Données projet'!$C$27)</f>
        <v>30.200355142744172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30.200355142744172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0.12231439393939396</v>
      </c>
      <c r="C9" s="147">
        <f ca="1">IF(OR('Données projet'!B12="",'Données projet'!C12="",'Données projet'!C12=0%),0,Calculateur!CD3)</f>
        <v>692.2706942067415</v>
      </c>
      <c r="D9" s="147">
        <f>IF(OR('Données projet'!B12="",'Données projet'!C12="",'Données projet'!C12=0%),0,Calculateur!CE3)</f>
        <v>316.17529091924803</v>
      </c>
      <c r="E9" s="147">
        <f t="shared" ca="1" si="0"/>
        <v>316.17529091924803</v>
      </c>
      <c r="F9" s="147">
        <f t="shared" ca="1" si="1"/>
        <v>38.672789087399394</v>
      </c>
      <c r="G9" s="147">
        <f ca="1">F9*(100%-'Données projet'!$C$24)*(100%-'Données projet'!$C$25)*(100%-'Données projet'!$C$26)*(100%-'Données projet'!$C$27)</f>
        <v>33.065234669726479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33.065234669726479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vert</v>
      </c>
      <c r="B10" s="154">
        <f>'Données projet'!D13</f>
        <v>0.12231439393939396</v>
      </c>
      <c r="C10" s="147">
        <f ca="1">IF(OR('Données projet'!B13="",'Données projet'!C13="",'Données projet'!C13=0%),0,Calculateur!CY3)</f>
        <v>765.9523557587147</v>
      </c>
      <c r="D10" s="147">
        <f>IF(OR('Données projet'!B13="",'Données projet'!C13="",'Données projet'!C13=0%),0,Calculateur!CZ3)</f>
        <v>347.40395092312815</v>
      </c>
      <c r="E10" s="147">
        <f t="shared" ca="1" si="0"/>
        <v>347.40395092312815</v>
      </c>
      <c r="F10" s="147">
        <f t="shared" ca="1" si="1"/>
        <v>42.492503709313382</v>
      </c>
      <c r="G10" s="147">
        <f ca="1">F10*(100%-'Données projet'!$C$24)*(100%-'Données projet'!$C$25)*(100%-'Données projet'!$C$26)*(100%-'Données projet'!$C$27)</f>
        <v>36.331090671462945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36.331090671462945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Chêne rouge d'Amérique</v>
      </c>
      <c r="B11" s="154">
        <f>'Données projet'!D14</f>
        <v>0.12231439393939396</v>
      </c>
      <c r="C11" s="147">
        <f ca="1">IF(OR('Données projet'!B14="",'Données projet'!C14="",'Données projet'!C14=0%),0,Calculateur!DT3)</f>
        <v>253.82888243490106</v>
      </c>
      <c r="D11" s="147">
        <f>IF(OR('Données projet'!B14="",'Données projet'!C14="",'Données projet'!C14=0%),0,Calculateur!DU3)</f>
        <v>224.11983819941796</v>
      </c>
      <c r="E11" s="147">
        <f t="shared" ca="1" si="0"/>
        <v>224.11983819941796</v>
      </c>
      <c r="F11" s="147">
        <f t="shared" ca="1" si="1"/>
        <v>27.413082179156842</v>
      </c>
      <c r="G11" s="147">
        <f ca="1">F11*(100%-'Données projet'!$C$24)*(100%-'Données projet'!$C$25)*(100%-'Données projet'!$C$26)*(100%-'Données projet'!$C$27)</f>
        <v>23.438185263179097</v>
      </c>
      <c r="H11" s="155">
        <f>IF(OR('Données projet'!B14="",'Données projet'!C14="",'Données projet'!C14=0%),0,AVERAGE(Calculateur!$ED$3:$ED$33)*B11)</f>
        <v>0.28614679340250504</v>
      </c>
      <c r="I11" s="149">
        <f>H11*(100%-'Données projet'!$C$24)*(100%-'Données projet'!$C$25)*(100%-'Données projet'!$C$26)*(100%-'Données projet'!$C$27)</f>
        <v>0.24465550835914182</v>
      </c>
      <c r="J11" s="150">
        <f>IF(OR('Données projet'!B14="",'Données projet'!C14="",'Données projet'!C14=0%),0,SUM(Calculateur!$DW$3:$DW$33)*VLOOKUP('Données projet'!$B$14,Paramètres!$A$1:$I$89,9,0)*B11)</f>
        <v>1.7249465811965814</v>
      </c>
      <c r="K11" s="151">
        <f>J11*(100%-'Données projet'!$C$24)*(100%-'Données projet'!$C$25)*(100%-'Données projet'!$C$26)*(100%-'Données projet'!$C$27)</f>
        <v>1.4748293269230772</v>
      </c>
      <c r="L11" s="152">
        <f t="shared" ca="1" si="2"/>
        <v>25.157670098461317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3071.7487292704741</v>
      </c>
      <c r="G16" s="166">
        <f t="shared" ca="1" si="3"/>
        <v>2626.345163526255</v>
      </c>
      <c r="H16" s="167">
        <f t="shared" si="3"/>
        <v>16.337363854576097</v>
      </c>
      <c r="I16" s="167">
        <f t="shared" si="3"/>
        <v>13.968446095662562</v>
      </c>
      <c r="J16" s="168">
        <f t="shared" si="3"/>
        <v>107.50889964937841</v>
      </c>
      <c r="K16" s="168">
        <f t="shared" si="3"/>
        <v>91.920109200218533</v>
      </c>
      <c r="L16" s="169">
        <f t="shared" ca="1" si="3"/>
        <v>2732.2337188221363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57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vert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Q2" zoomScale="90" zoomScaleNormal="90" workbookViewId="0">
      <selection activeCell="T25" sqref="T25:V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-4352.8887322297678</v>
      </c>
      <c r="U10" s="178">
        <f>'Données projet'!D9</f>
        <v>6.0108787878787879</v>
      </c>
      <c r="V10" s="177">
        <f>U10*T10</f>
        <v>-26164.686546556502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-3560.2706030900522</v>
      </c>
      <c r="U11" s="178">
        <f>'Données projet'!D10</f>
        <v>2.7258636363636368</v>
      </c>
      <c r="V11" s="177">
        <f t="shared" ref="V11" si="0">U11*T11</f>
        <v>-9704.8121725776073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-5424.770697771286</v>
      </c>
      <c r="U12" s="178">
        <f>'Données projet'!D11</f>
        <v>0.12231439393939396</v>
      </c>
      <c r="V12" s="177">
        <f t="shared" ref="V12:V19" si="1">U12*T12</f>
        <v>-663.52754015807807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-2980.4346529206719</v>
      </c>
      <c r="U13" s="178">
        <f>'Données projet'!D12</f>
        <v>0.12231439393939396</v>
      </c>
      <c r="V13" s="177">
        <f t="shared" si="1"/>
        <v>-364.55005824795995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vert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-4557.0370149343544</v>
      </c>
      <c r="U14" s="178">
        <f>'Données projet'!D13</f>
        <v>0.12231439393939396</v>
      </c>
      <c r="V14" s="177">
        <f t="shared" si="1"/>
        <v>-557.39122064108051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rouge d'Amérique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-5965.2294791314253</v>
      </c>
      <c r="U15" s="178">
        <f>'Données projet'!D14</f>
        <v>0.12231439393939396</v>
      </c>
      <c r="V15" s="177">
        <f t="shared" si="1"/>
        <v>-729.63342844936699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550+2000+1349.55+431.85</f>
        <v>4331.4000000000005</v>
      </c>
      <c r="F17" s="230"/>
      <c r="G17" s="290"/>
      <c r="I17" s="1" t="s">
        <v>326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>
        <f>220+430</f>
        <v>650</v>
      </c>
      <c r="F18" s="230"/>
      <c r="G18" s="290"/>
      <c r="I18" s="1" t="s">
        <v>325</v>
      </c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400+430+649.65</f>
        <v>1479.65</v>
      </c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>
        <f>220+430</f>
        <v>650</v>
      </c>
      <c r="F20" s="230"/>
      <c r="G20" s="290"/>
      <c r="H20" s="190">
        <v>1</v>
      </c>
      <c r="I20" s="191">
        <v>118.25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3138.66</f>
        <v>3138.66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10.220000000000001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42</v>
      </c>
      <c r="B23" s="181">
        <f>'Données projet'!D36</f>
        <v>182.39</v>
      </c>
      <c r="C23" s="193">
        <v>32.5</v>
      </c>
      <c r="D23" s="182">
        <f>B23*C23</f>
        <v>5927.6749999999993</v>
      </c>
      <c r="E23" s="193"/>
      <c r="F23" s="230"/>
      <c r="H23" s="190">
        <v>4</v>
      </c>
      <c r="I23" s="191">
        <v>20</v>
      </c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-68975.348718092951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49</v>
      </c>
      <c r="B24" s="181">
        <f>'Données projet'!D37</f>
        <v>100.16</v>
      </c>
      <c r="C24" s="193">
        <v>32.5</v>
      </c>
      <c r="D24" s="182">
        <f t="shared" ref="D24:D42" si="2">B24*C24</f>
        <v>3255.2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56</v>
      </c>
      <c r="B25" s="181">
        <f>'Données projet'!D38</f>
        <v>79.39</v>
      </c>
      <c r="C25" s="193">
        <v>43.5</v>
      </c>
      <c r="D25" s="182">
        <f t="shared" si="2"/>
        <v>3453.4650000000001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4">
        <f ca="1">T23-T24</f>
        <v>-68975.348718092951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63</v>
      </c>
      <c r="B26" s="181">
        <f>'Données projet'!D39</f>
        <v>79.099999999999994</v>
      </c>
      <c r="C26" s="193">
        <v>43.5</v>
      </c>
      <c r="D26" s="182">
        <f t="shared" si="2"/>
        <v>3440.85</v>
      </c>
      <c r="E26" s="193"/>
      <c r="F26" s="233"/>
      <c r="G26" s="229"/>
      <c r="H26" s="190">
        <v>7</v>
      </c>
      <c r="I26" s="191">
        <v>20</v>
      </c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est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71</v>
      </c>
      <c r="B27" s="181">
        <f>'Données projet'!D40</f>
        <v>90.8</v>
      </c>
      <c r="C27" s="193">
        <v>43.5</v>
      </c>
      <c r="D27" s="182">
        <f t="shared" si="2"/>
        <v>3949.7999999999997</v>
      </c>
      <c r="E27" s="193"/>
      <c r="F27" s="233"/>
      <c r="G27" s="229"/>
      <c r="H27" s="190">
        <v>8</v>
      </c>
      <c r="I27" s="191">
        <v>20</v>
      </c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79</v>
      </c>
      <c r="B28" s="181">
        <f>'Données projet'!D41</f>
        <v>87.99</v>
      </c>
      <c r="C28" s="193">
        <v>43.5</v>
      </c>
      <c r="D28" s="182">
        <f t="shared" si="2"/>
        <v>3827.5649999999996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87</v>
      </c>
      <c r="B29" s="181">
        <f>'Données projet'!D42</f>
        <v>88.62</v>
      </c>
      <c r="C29" s="193">
        <v>43.5</v>
      </c>
      <c r="D29" s="182">
        <f t="shared" si="2"/>
        <v>3854.9700000000003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95</v>
      </c>
      <c r="B30" s="181">
        <f>'Données projet'!D43</f>
        <v>268.81</v>
      </c>
      <c r="C30" s="193">
        <v>43.5</v>
      </c>
      <c r="D30" s="182">
        <f t="shared" si="2"/>
        <v>11693.235000000001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105</v>
      </c>
      <c r="B31" s="181">
        <f>'Données projet'!D44</f>
        <v>356.68</v>
      </c>
      <c r="C31" s="193">
        <v>43.5</v>
      </c>
      <c r="D31" s="182">
        <f t="shared" si="2"/>
        <v>15515.58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550+865.15+1349.55+431.85</f>
        <v>3196.5499999999997</v>
      </c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>
        <f>220+430</f>
        <v>650</v>
      </c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>
        <f>400+430+479.5</f>
        <v>1309.5</v>
      </c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22</v>
      </c>
      <c r="B54" s="181">
        <f>'Données projet'!D62</f>
        <v>52.41</v>
      </c>
      <c r="C54" s="191">
        <v>8.5</v>
      </c>
      <c r="D54" s="179">
        <f>B54*C54</f>
        <v>445.48499999999996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27</v>
      </c>
      <c r="B55" s="181">
        <f>'Données projet'!D63</f>
        <v>37.840000000000003</v>
      </c>
      <c r="C55" s="191">
        <v>8.5</v>
      </c>
      <c r="D55" s="179">
        <f t="shared" ref="D55:D73" si="4">B55*C55</f>
        <v>321.64000000000004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33</v>
      </c>
      <c r="B56" s="181">
        <f>'Données projet'!D64</f>
        <v>50.41</v>
      </c>
      <c r="C56" s="191">
        <v>15.5</v>
      </c>
      <c r="D56" s="179">
        <f t="shared" si="4"/>
        <v>781.3549999999999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41</v>
      </c>
      <c r="B57" s="181">
        <f>'Données projet'!D65</f>
        <v>72.13</v>
      </c>
      <c r="C57" s="191">
        <v>15.5</v>
      </c>
      <c r="D57" s="179">
        <f t="shared" si="4"/>
        <v>1118.0149999999999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50</v>
      </c>
      <c r="B58" s="181">
        <f>'Données projet'!D66</f>
        <v>70.2</v>
      </c>
      <c r="C58" s="191">
        <v>29.5</v>
      </c>
      <c r="D58" s="179">
        <f t="shared" si="4"/>
        <v>2070.9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60</v>
      </c>
      <c r="B59" s="181">
        <f>'Données projet'!D67</f>
        <v>69.849999999999994</v>
      </c>
      <c r="C59" s="191">
        <v>29.5</v>
      </c>
      <c r="D59" s="179">
        <f t="shared" si="4"/>
        <v>2060.5749999999998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70</v>
      </c>
      <c r="B60" s="181">
        <f>'Données projet'!D68</f>
        <v>67.88</v>
      </c>
      <c r="C60" s="191">
        <v>29.5</v>
      </c>
      <c r="D60" s="179">
        <f t="shared" si="4"/>
        <v>2002.4599999999998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80</v>
      </c>
      <c r="B61" s="181">
        <f>'Données projet'!D69</f>
        <v>520</v>
      </c>
      <c r="C61" s="191">
        <v>29.5</v>
      </c>
      <c r="D61" s="179">
        <f t="shared" si="4"/>
        <v>15340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550+2275+1349.55+431.85</f>
        <v>4606.4000000000005</v>
      </c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>
        <f>220+430</f>
        <v>650</v>
      </c>
      <c r="F80" s="231"/>
      <c r="G80" s="23"/>
      <c r="H80" s="190">
        <v>61</v>
      </c>
      <c r="I80" s="191">
        <v>20</v>
      </c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>
        <f>400+430+690.9</f>
        <v>1520.9</v>
      </c>
      <c r="F81" s="231"/>
      <c r="G81" s="23"/>
      <c r="H81" s="190">
        <v>62</v>
      </c>
      <c r="I81" s="191">
        <v>20</v>
      </c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>
        <f>220+430</f>
        <v>650</v>
      </c>
      <c r="F82" s="231"/>
      <c r="G82" s="23"/>
      <c r="H82" s="190">
        <v>63</v>
      </c>
      <c r="I82" s="191">
        <v>20</v>
      </c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>
        <v>64</v>
      </c>
      <c r="I83" s="191">
        <v>20</v>
      </c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>
        <v>65</v>
      </c>
      <c r="I84" s="191">
        <v>20</v>
      </c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42</v>
      </c>
      <c r="B85" s="181">
        <f>'Données projet'!D88</f>
        <v>43.21</v>
      </c>
      <c r="C85" s="191">
        <v>58</v>
      </c>
      <c r="D85" s="179">
        <f>B85*C85</f>
        <v>2506.1799999999998</v>
      </c>
      <c r="E85" s="193"/>
      <c r="F85" s="232"/>
      <c r="G85" s="205"/>
      <c r="H85" s="190">
        <v>66</v>
      </c>
      <c r="I85" s="191">
        <v>20</v>
      </c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50</v>
      </c>
      <c r="B86" s="181">
        <f>'Données projet'!D89</f>
        <v>35.58</v>
      </c>
      <c r="C86" s="191">
        <v>58</v>
      </c>
      <c r="D86" s="179">
        <f t="shared" ref="D86:D104" si="6">B86*C86</f>
        <v>2063.64</v>
      </c>
      <c r="E86" s="193"/>
      <c r="F86" s="232"/>
      <c r="G86" s="205"/>
      <c r="H86" s="190">
        <v>67</v>
      </c>
      <c r="I86" s="191">
        <v>20</v>
      </c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58</v>
      </c>
      <c r="B87" s="181">
        <f>'Données projet'!D90</f>
        <v>44.93</v>
      </c>
      <c r="C87" s="191">
        <v>58</v>
      </c>
      <c r="D87" s="179">
        <f t="shared" si="6"/>
        <v>2605.94</v>
      </c>
      <c r="E87" s="193"/>
      <c r="F87" s="232"/>
      <c r="G87" s="205"/>
      <c r="H87" s="190">
        <v>68</v>
      </c>
      <c r="I87" s="191">
        <v>20</v>
      </c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66</v>
      </c>
      <c r="B88" s="181">
        <f>'Données projet'!D91</f>
        <v>49.91</v>
      </c>
      <c r="C88" s="191">
        <v>106</v>
      </c>
      <c r="D88" s="179">
        <f t="shared" si="6"/>
        <v>5290.46</v>
      </c>
      <c r="E88" s="193"/>
      <c r="F88" s="232"/>
      <c r="G88" s="205"/>
      <c r="H88" s="190">
        <v>69</v>
      </c>
      <c r="I88" s="191">
        <v>20</v>
      </c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74</v>
      </c>
      <c r="B89" s="181">
        <f>'Données projet'!D92</f>
        <v>47.4</v>
      </c>
      <c r="C89" s="191">
        <v>106</v>
      </c>
      <c r="D89" s="179">
        <f t="shared" si="6"/>
        <v>5024.3999999999996</v>
      </c>
      <c r="E89" s="193"/>
      <c r="F89" s="232"/>
      <c r="G89" s="205"/>
      <c r="H89" s="190">
        <v>70</v>
      </c>
      <c r="I89" s="191">
        <v>20</v>
      </c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84</v>
      </c>
      <c r="B90" s="181">
        <f>'Données projet'!D93</f>
        <v>61.47</v>
      </c>
      <c r="C90" s="191">
        <v>106</v>
      </c>
      <c r="D90" s="179">
        <f t="shared" si="6"/>
        <v>6515.82</v>
      </c>
      <c r="E90" s="193"/>
      <c r="F90" s="232"/>
      <c r="G90" s="205"/>
      <c r="H90" s="190">
        <v>71</v>
      </c>
      <c r="I90" s="191">
        <v>20</v>
      </c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94</v>
      </c>
      <c r="B91" s="181">
        <f>'Données projet'!D94</f>
        <v>61.85</v>
      </c>
      <c r="C91" s="191">
        <v>106</v>
      </c>
      <c r="D91" s="179">
        <f t="shared" si="6"/>
        <v>6556.1</v>
      </c>
      <c r="E91" s="193"/>
      <c r="F91" s="232"/>
      <c r="G91" s="206"/>
      <c r="H91" s="190">
        <v>72</v>
      </c>
      <c r="I91" s="191">
        <v>20</v>
      </c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104</v>
      </c>
      <c r="B92" s="181">
        <f>'Données projet'!D95</f>
        <v>60.19</v>
      </c>
      <c r="C92" s="191">
        <v>106</v>
      </c>
      <c r="D92" s="179">
        <f t="shared" si="6"/>
        <v>6380.1399999999994</v>
      </c>
      <c r="E92" s="193"/>
      <c r="F92" s="232"/>
      <c r="G92" s="206"/>
      <c r="H92" s="190">
        <v>73</v>
      </c>
      <c r="I92" s="191">
        <v>20</v>
      </c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114</v>
      </c>
      <c r="B93" s="181">
        <f>'Données projet'!D96</f>
        <v>56.07</v>
      </c>
      <c r="C93" s="191">
        <v>106</v>
      </c>
      <c r="D93" s="179">
        <f t="shared" si="6"/>
        <v>5943.42</v>
      </c>
      <c r="E93" s="193"/>
      <c r="F93" s="232"/>
      <c r="G93" s="206"/>
      <c r="H93" s="190">
        <v>74</v>
      </c>
      <c r="I93" s="191">
        <v>20</v>
      </c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124</v>
      </c>
      <c r="B94" s="181">
        <f>'Données projet'!D97</f>
        <v>52.53</v>
      </c>
      <c r="C94" s="191">
        <v>106</v>
      </c>
      <c r="D94" s="179">
        <f t="shared" si="6"/>
        <v>5568.18</v>
      </c>
      <c r="E94" s="193"/>
      <c r="F94" s="232"/>
      <c r="G94" s="206"/>
      <c r="H94" s="190">
        <v>75</v>
      </c>
      <c r="I94" s="191">
        <v>20</v>
      </c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134</v>
      </c>
      <c r="B95" s="181">
        <f>'Données projet'!D98</f>
        <v>54.95</v>
      </c>
      <c r="C95" s="191">
        <v>106</v>
      </c>
      <c r="D95" s="179">
        <f t="shared" si="6"/>
        <v>5824.7000000000007</v>
      </c>
      <c r="E95" s="193"/>
      <c r="F95" s="232"/>
      <c r="G95" s="206"/>
      <c r="H95" s="190">
        <v>76</v>
      </c>
      <c r="I95" s="191">
        <v>20</v>
      </c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144</v>
      </c>
      <c r="B96" s="181">
        <f>'Données projet'!D99</f>
        <v>56.01</v>
      </c>
      <c r="C96" s="191">
        <v>106</v>
      </c>
      <c r="D96" s="179">
        <f t="shared" si="6"/>
        <v>5937.0599999999995</v>
      </c>
      <c r="E96" s="193"/>
      <c r="F96" s="232"/>
      <c r="G96" s="206"/>
      <c r="H96" s="190">
        <v>77</v>
      </c>
      <c r="I96" s="191">
        <v>20</v>
      </c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154</v>
      </c>
      <c r="B97" s="181">
        <f>'Données projet'!D100</f>
        <v>55.13</v>
      </c>
      <c r="C97" s="191">
        <v>106</v>
      </c>
      <c r="D97" s="179">
        <f t="shared" si="6"/>
        <v>5843.7800000000007</v>
      </c>
      <c r="E97" s="193"/>
      <c r="F97" s="232"/>
      <c r="G97" s="206"/>
      <c r="H97" s="190">
        <v>78</v>
      </c>
      <c r="I97" s="191">
        <v>20</v>
      </c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164</v>
      </c>
      <c r="B98" s="181">
        <f>'Données projet'!D101</f>
        <v>59.58</v>
      </c>
      <c r="C98" s="191">
        <v>106</v>
      </c>
      <c r="D98" s="179">
        <f t="shared" si="6"/>
        <v>6315.48</v>
      </c>
      <c r="E98" s="193"/>
      <c r="F98" s="232"/>
      <c r="G98" s="206"/>
      <c r="H98" s="190">
        <v>79</v>
      </c>
      <c r="I98" s="191">
        <v>20</v>
      </c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174</v>
      </c>
      <c r="B99" s="181">
        <f>'Données projet'!D102</f>
        <v>214.77</v>
      </c>
      <c r="C99" s="191">
        <v>106</v>
      </c>
      <c r="D99" s="179">
        <f t="shared" si="6"/>
        <v>22765.620000000003</v>
      </c>
      <c r="E99" s="193"/>
      <c r="F99" s="232"/>
      <c r="G99" s="206"/>
      <c r="H99" s="190">
        <v>80</v>
      </c>
      <c r="I99" s="191">
        <v>20</v>
      </c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177</v>
      </c>
      <c r="B100" s="181">
        <f>'Données projet'!D103</f>
        <v>115.19</v>
      </c>
      <c r="C100" s="191">
        <v>106</v>
      </c>
      <c r="D100" s="179">
        <f t="shared" si="6"/>
        <v>12210.14</v>
      </c>
      <c r="E100" s="193"/>
      <c r="F100" s="232"/>
      <c r="G100" s="206"/>
      <c r="H100" s="190">
        <v>81</v>
      </c>
      <c r="I100" s="191">
        <v>20</v>
      </c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180</v>
      </c>
      <c r="B101" s="181">
        <f>'Données projet'!D104</f>
        <v>77.72</v>
      </c>
      <c r="C101" s="191">
        <v>106</v>
      </c>
      <c r="D101" s="179">
        <f t="shared" si="6"/>
        <v>8238.32</v>
      </c>
      <c r="E101" s="193"/>
      <c r="F101" s="232"/>
      <c r="G101" s="206"/>
      <c r="H101" s="190">
        <v>82</v>
      </c>
      <c r="I101" s="191">
        <v>20</v>
      </c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183</v>
      </c>
      <c r="B102" s="181">
        <f>'Données projet'!D105</f>
        <v>169.76</v>
      </c>
      <c r="C102" s="191">
        <v>106</v>
      </c>
      <c r="D102" s="179">
        <f t="shared" si="6"/>
        <v>17994.559999999998</v>
      </c>
      <c r="E102" s="193"/>
      <c r="F102" s="232"/>
      <c r="G102" s="206"/>
      <c r="H102" s="190">
        <v>83</v>
      </c>
      <c r="I102" s="191">
        <v>20</v>
      </c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>
        <v>84</v>
      </c>
      <c r="I103" s="191">
        <v>20</v>
      </c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>
        <v>85</v>
      </c>
      <c r="I104" s="191">
        <v>20</v>
      </c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>
        <v>86</v>
      </c>
      <c r="I105" s="191">
        <v>20</v>
      </c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>
        <v>87</v>
      </c>
      <c r="I106" s="191">
        <v>20</v>
      </c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>
        <v>88</v>
      </c>
      <c r="I107" s="191">
        <v>20</v>
      </c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>
        <v>89</v>
      </c>
      <c r="I108" s="191">
        <v>20</v>
      </c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>
        <v>90</v>
      </c>
      <c r="I109" s="191">
        <v>20</v>
      </c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550+2415+1349.55+431.85</f>
        <v>4746.4000000000005</v>
      </c>
      <c r="F110" s="231"/>
      <c r="G110" s="206"/>
      <c r="H110" s="190">
        <v>91</v>
      </c>
      <c r="I110" s="191">
        <v>20</v>
      </c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>220+430</f>
        <v>650</v>
      </c>
      <c r="F111" s="231"/>
      <c r="G111" s="23"/>
      <c r="H111" s="190">
        <v>92</v>
      </c>
      <c r="I111" s="191">
        <v>20</v>
      </c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>400+430+711.9</f>
        <v>1541.9</v>
      </c>
      <c r="F112" s="231"/>
      <c r="G112" s="23"/>
      <c r="H112" s="190">
        <v>93</v>
      </c>
      <c r="I112" s="191">
        <v>20</v>
      </c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>220+430</f>
        <v>650</v>
      </c>
      <c r="F113" s="231"/>
      <c r="G113" s="23"/>
      <c r="H113" s="190">
        <v>94</v>
      </c>
      <c r="I113" s="191">
        <v>20</v>
      </c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>
        <v>95</v>
      </c>
      <c r="I114" s="191">
        <v>20</v>
      </c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>
        <v>96</v>
      </c>
      <c r="I115" s="191">
        <v>20</v>
      </c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42</v>
      </c>
      <c r="B116" s="181">
        <f>'Données projet'!D114</f>
        <v>43.21</v>
      </c>
      <c r="C116" s="191">
        <v>58</v>
      </c>
      <c r="D116" s="179">
        <f>B116*C116</f>
        <v>2506.1799999999998</v>
      </c>
      <c r="E116" s="193"/>
      <c r="F116" s="232"/>
      <c r="G116" s="205"/>
      <c r="H116" s="190">
        <v>97</v>
      </c>
      <c r="I116" s="191">
        <v>20</v>
      </c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50</v>
      </c>
      <c r="B117" s="181">
        <f>'Données projet'!D115</f>
        <v>35.58</v>
      </c>
      <c r="C117" s="191">
        <v>58</v>
      </c>
      <c r="D117" s="179">
        <f t="shared" ref="D117:D135" si="8">B117*C117</f>
        <v>2063.64</v>
      </c>
      <c r="E117" s="193"/>
      <c r="F117" s="232"/>
      <c r="G117" s="205"/>
      <c r="H117" s="190">
        <v>98</v>
      </c>
      <c r="I117" s="191">
        <v>20</v>
      </c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58</v>
      </c>
      <c r="B118" s="181">
        <f>'Données projet'!D116</f>
        <v>44.93</v>
      </c>
      <c r="C118" s="191">
        <v>58</v>
      </c>
      <c r="D118" s="179">
        <f t="shared" si="8"/>
        <v>2605.94</v>
      </c>
      <c r="E118" s="193"/>
      <c r="F118" s="232"/>
      <c r="G118" s="205"/>
      <c r="H118" s="190">
        <v>99</v>
      </c>
      <c r="I118" s="191">
        <v>20</v>
      </c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66</v>
      </c>
      <c r="B119" s="181">
        <f>'Données projet'!D117</f>
        <v>49.91</v>
      </c>
      <c r="C119" s="191">
        <v>106</v>
      </c>
      <c r="D119" s="179">
        <f t="shared" si="8"/>
        <v>5290.46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74</v>
      </c>
      <c r="B120" s="181">
        <f>'Données projet'!D118</f>
        <v>47.4</v>
      </c>
      <c r="C120" s="191">
        <v>106</v>
      </c>
      <c r="D120" s="179">
        <f t="shared" si="8"/>
        <v>5024.3999999999996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84</v>
      </c>
      <c r="B121" s="181">
        <f>'Données projet'!D119</f>
        <v>61.47</v>
      </c>
      <c r="C121" s="191">
        <v>106</v>
      </c>
      <c r="D121" s="179">
        <f t="shared" si="8"/>
        <v>6515.82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94</v>
      </c>
      <c r="B122" s="181">
        <f>'Données projet'!D120</f>
        <v>61.85</v>
      </c>
      <c r="C122" s="191">
        <v>106</v>
      </c>
      <c r="D122" s="179">
        <f t="shared" si="8"/>
        <v>6556.1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104</v>
      </c>
      <c r="B123" s="181">
        <f>'Données projet'!D121</f>
        <v>60.19</v>
      </c>
      <c r="C123" s="191">
        <v>106</v>
      </c>
      <c r="D123" s="179">
        <f t="shared" si="8"/>
        <v>6380.1399999999994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114</v>
      </c>
      <c r="B124" s="181">
        <f>'Données projet'!D122</f>
        <v>56.07</v>
      </c>
      <c r="C124" s="191">
        <v>106</v>
      </c>
      <c r="D124" s="179">
        <f t="shared" si="8"/>
        <v>5943.42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124</v>
      </c>
      <c r="B125" s="181">
        <f>'Données projet'!D123</f>
        <v>52.53</v>
      </c>
      <c r="C125" s="191">
        <v>106</v>
      </c>
      <c r="D125" s="179">
        <f t="shared" si="8"/>
        <v>5568.18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134</v>
      </c>
      <c r="B126" s="181">
        <f>'Données projet'!D124</f>
        <v>54.95</v>
      </c>
      <c r="C126" s="191">
        <v>106</v>
      </c>
      <c r="D126" s="179">
        <f t="shared" si="8"/>
        <v>5824.7000000000007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144</v>
      </c>
      <c r="B127" s="181">
        <f>'Données projet'!D125</f>
        <v>56.01</v>
      </c>
      <c r="C127" s="191">
        <v>106</v>
      </c>
      <c r="D127" s="179">
        <f t="shared" si="8"/>
        <v>5937.0599999999995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154</v>
      </c>
      <c r="B128" s="181">
        <f>'Données projet'!D126</f>
        <v>55.13</v>
      </c>
      <c r="C128" s="191">
        <v>106</v>
      </c>
      <c r="D128" s="179">
        <f t="shared" si="8"/>
        <v>5843.7800000000007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164</v>
      </c>
      <c r="B129" s="181">
        <f>'Données projet'!D127</f>
        <v>59.58</v>
      </c>
      <c r="C129" s="191">
        <v>106</v>
      </c>
      <c r="D129" s="179">
        <f t="shared" si="8"/>
        <v>6315.48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174</v>
      </c>
      <c r="B130" s="181">
        <f>'Données projet'!D128</f>
        <v>214.77</v>
      </c>
      <c r="C130" s="191">
        <v>106</v>
      </c>
      <c r="D130" s="179">
        <f t="shared" si="8"/>
        <v>22765.620000000003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177</v>
      </c>
      <c r="B131" s="181">
        <f>'Données projet'!D129</f>
        <v>115.19</v>
      </c>
      <c r="C131" s="191">
        <v>106</v>
      </c>
      <c r="D131" s="179">
        <f t="shared" si="8"/>
        <v>12210.14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180</v>
      </c>
      <c r="B132" s="181">
        <f>'Données projet'!D130</f>
        <v>77.72</v>
      </c>
      <c r="C132" s="191">
        <v>106</v>
      </c>
      <c r="D132" s="179">
        <f t="shared" si="8"/>
        <v>8238.32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183</v>
      </c>
      <c r="B133" s="181">
        <f>'Données projet'!D131</f>
        <v>169.76</v>
      </c>
      <c r="C133" s="191">
        <v>106</v>
      </c>
      <c r="D133" s="179">
        <f t="shared" si="8"/>
        <v>17994.559999999998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vert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550+2800+1349.55+431.85</f>
        <v>5131.4000000000005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>220+430</f>
        <v>650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>400+430+769.65</f>
        <v>1599.65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>220+430</f>
        <v>650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42</v>
      </c>
      <c r="B147" s="175">
        <f>'Données projet'!D140</f>
        <v>43.21</v>
      </c>
      <c r="C147" s="191">
        <v>58</v>
      </c>
      <c r="D147" s="182">
        <f>B147*C147</f>
        <v>2506.1799999999998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50</v>
      </c>
      <c r="B148" s="175">
        <f>'Données projet'!D141</f>
        <v>35.58</v>
      </c>
      <c r="C148" s="191">
        <v>58</v>
      </c>
      <c r="D148" s="182">
        <f t="shared" ref="D148:D166" si="10">B148*C148</f>
        <v>2063.64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58</v>
      </c>
      <c r="B149" s="175">
        <f>'Données projet'!D142</f>
        <v>44.93</v>
      </c>
      <c r="C149" s="191">
        <v>58</v>
      </c>
      <c r="D149" s="182">
        <f t="shared" si="10"/>
        <v>2605.94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66</v>
      </c>
      <c r="B150" s="175">
        <f>'Données projet'!D143</f>
        <v>49.91</v>
      </c>
      <c r="C150" s="191">
        <v>106</v>
      </c>
      <c r="D150" s="182">
        <f t="shared" si="10"/>
        <v>5290.46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74</v>
      </c>
      <c r="B151" s="175">
        <f>'Données projet'!D144</f>
        <v>47.4</v>
      </c>
      <c r="C151" s="191">
        <v>106</v>
      </c>
      <c r="D151" s="182">
        <f t="shared" si="10"/>
        <v>5024.3999999999996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84</v>
      </c>
      <c r="B152" s="175">
        <f>'Données projet'!D145</f>
        <v>61.47</v>
      </c>
      <c r="C152" s="191">
        <v>106</v>
      </c>
      <c r="D152" s="182">
        <f t="shared" si="10"/>
        <v>6515.82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94</v>
      </c>
      <c r="B153" s="175">
        <f>'Données projet'!D146</f>
        <v>61.85</v>
      </c>
      <c r="C153" s="191">
        <v>106</v>
      </c>
      <c r="D153" s="182">
        <f t="shared" si="10"/>
        <v>6556.1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104</v>
      </c>
      <c r="B154" s="175">
        <f>'Données projet'!D147</f>
        <v>60.19</v>
      </c>
      <c r="C154" s="191">
        <v>106</v>
      </c>
      <c r="D154" s="182">
        <f t="shared" si="10"/>
        <v>6380.1399999999994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114</v>
      </c>
      <c r="B155" s="175">
        <f>'Données projet'!D148</f>
        <v>56.07</v>
      </c>
      <c r="C155" s="191">
        <v>106</v>
      </c>
      <c r="D155" s="182">
        <f t="shared" si="10"/>
        <v>5943.42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124</v>
      </c>
      <c r="B156" s="175">
        <f>'Données projet'!D149</f>
        <v>52.53</v>
      </c>
      <c r="C156" s="191">
        <v>106</v>
      </c>
      <c r="D156" s="182">
        <f t="shared" si="10"/>
        <v>5568.18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134</v>
      </c>
      <c r="B157" s="175">
        <f>'Données projet'!D150</f>
        <v>54.95</v>
      </c>
      <c r="C157" s="191">
        <v>106</v>
      </c>
      <c r="D157" s="182">
        <f t="shared" si="10"/>
        <v>5824.7000000000007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144</v>
      </c>
      <c r="B158" s="175">
        <f>'Données projet'!D151</f>
        <v>56.01</v>
      </c>
      <c r="C158" s="191">
        <v>106</v>
      </c>
      <c r="D158" s="182">
        <f t="shared" si="10"/>
        <v>5937.0599999999995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154</v>
      </c>
      <c r="B159" s="175">
        <f>'Données projet'!D152</f>
        <v>55.13</v>
      </c>
      <c r="C159" s="191">
        <v>106</v>
      </c>
      <c r="D159" s="182">
        <f t="shared" si="10"/>
        <v>5843.7800000000007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164</v>
      </c>
      <c r="B160" s="175">
        <f>'Données projet'!D153</f>
        <v>59.58</v>
      </c>
      <c r="C160" s="191">
        <v>106</v>
      </c>
      <c r="D160" s="182">
        <f t="shared" si="10"/>
        <v>6315.48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174</v>
      </c>
      <c r="B161" s="175">
        <f>'Données projet'!D154</f>
        <v>214.77</v>
      </c>
      <c r="C161" s="191">
        <v>106</v>
      </c>
      <c r="D161" s="182">
        <f t="shared" si="10"/>
        <v>22765.620000000003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177</v>
      </c>
      <c r="B162" s="175">
        <f>'Données projet'!D155</f>
        <v>115.19</v>
      </c>
      <c r="C162" s="191">
        <v>106</v>
      </c>
      <c r="D162" s="182">
        <f t="shared" si="10"/>
        <v>12210.14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180</v>
      </c>
      <c r="B163" s="175">
        <f>'Données projet'!D156</f>
        <v>77.72</v>
      </c>
      <c r="C163" s="191">
        <v>106</v>
      </c>
      <c r="D163" s="182">
        <f t="shared" si="10"/>
        <v>8238.32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183</v>
      </c>
      <c r="B164" s="175">
        <f>'Données projet'!D157</f>
        <v>169.76</v>
      </c>
      <c r="C164" s="191">
        <v>106</v>
      </c>
      <c r="D164" s="182">
        <f t="shared" si="10"/>
        <v>17994.559999999998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Chêne rouge d'Amérique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550+1662.5+1349.55+431.85</f>
        <v>3993.9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>220+430</f>
        <v>650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>400+430+599.1</f>
        <v>1429.1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f>220+430</f>
        <v>650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10</v>
      </c>
      <c r="B178" s="181">
        <f>'Données projet'!D166</f>
        <v>0</v>
      </c>
      <c r="C178" s="193">
        <v>5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15</v>
      </c>
      <c r="B179" s="181">
        <f>'Données projet'!D167</f>
        <v>0</v>
      </c>
      <c r="C179" s="193">
        <v>5</v>
      </c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20</v>
      </c>
      <c r="B180" s="181">
        <f>'Données projet'!D168</f>
        <v>26.282051282051281</v>
      </c>
      <c r="C180" s="193">
        <v>5</v>
      </c>
      <c r="D180" s="179">
        <f t="shared" si="11"/>
        <v>131.41025641025641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25</v>
      </c>
      <c r="B181" s="181">
        <f>'Données projet'!D169</f>
        <v>14.743589743589743</v>
      </c>
      <c r="C181" s="193">
        <v>5</v>
      </c>
      <c r="D181" s="179">
        <f t="shared" si="11"/>
        <v>73.717948717948715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30</v>
      </c>
      <c r="B182" s="181">
        <f>'Données projet'!D170</f>
        <v>15.384615384615383</v>
      </c>
      <c r="C182" s="193">
        <v>5</v>
      </c>
      <c r="D182" s="179">
        <f t="shared" si="11"/>
        <v>76.92307692307692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35</v>
      </c>
      <c r="B183" s="181">
        <f>'Données projet'!D171</f>
        <v>15.384615384615383</v>
      </c>
      <c r="C183" s="193">
        <v>32</v>
      </c>
      <c r="D183" s="179">
        <f t="shared" si="11"/>
        <v>492.30769230769226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40</v>
      </c>
      <c r="B184" s="181">
        <f>'Données projet'!D172</f>
        <v>14.743589743589743</v>
      </c>
      <c r="C184" s="193">
        <v>32</v>
      </c>
      <c r="D184" s="179">
        <f t="shared" si="11"/>
        <v>471.79487179487177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45</v>
      </c>
      <c r="B185" s="181">
        <f>'Données projet'!D173</f>
        <v>14.102564102564102</v>
      </c>
      <c r="C185" s="193">
        <v>32</v>
      </c>
      <c r="D185" s="179">
        <f t="shared" si="11"/>
        <v>451.28205128205127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50</v>
      </c>
      <c r="B186" s="181">
        <f>'Données projet'!D174</f>
        <v>13.461538461538462</v>
      </c>
      <c r="C186" s="193">
        <v>32</v>
      </c>
      <c r="D186" s="179">
        <f t="shared" si="11"/>
        <v>430.76923076923077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55</v>
      </c>
      <c r="B187" s="181">
        <f>'Données projet'!D175</f>
        <v>12.820512820512819</v>
      </c>
      <c r="C187" s="193">
        <v>32</v>
      </c>
      <c r="D187" s="179">
        <f t="shared" si="11"/>
        <v>410.25641025641022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60</v>
      </c>
      <c r="B188" s="181">
        <f>'Données projet'!D176</f>
        <v>11.538461538461538</v>
      </c>
      <c r="C188" s="193">
        <v>32</v>
      </c>
      <c r="D188" s="179">
        <f t="shared" si="11"/>
        <v>369.23076923076923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65</v>
      </c>
      <c r="B189" s="181">
        <f>'Données projet'!D177</f>
        <v>10.897435897435898</v>
      </c>
      <c r="C189" s="193">
        <v>32</v>
      </c>
      <c r="D189" s="179">
        <f t="shared" si="11"/>
        <v>348.71794871794873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70</v>
      </c>
      <c r="B190" s="181">
        <f>'Données projet'!D178</f>
        <v>10.256410256410255</v>
      </c>
      <c r="C190" s="193">
        <v>32</v>
      </c>
      <c r="D190" s="179">
        <f t="shared" si="11"/>
        <v>328.20512820512818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75</v>
      </c>
      <c r="B191" s="181">
        <f>'Données projet'!D179</f>
        <v>8.9743589743589745</v>
      </c>
      <c r="C191" s="193">
        <v>32</v>
      </c>
      <c r="D191" s="179">
        <f t="shared" si="11"/>
        <v>287.17948717948718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80</v>
      </c>
      <c r="B192" s="181">
        <f>'Données projet'!D180</f>
        <v>8.3333333333333339</v>
      </c>
      <c r="C192" s="193">
        <v>32</v>
      </c>
      <c r="D192" s="179">
        <f t="shared" si="11"/>
        <v>266.66666666666669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85</v>
      </c>
      <c r="B193" s="181">
        <f>'Données projet'!D181</f>
        <v>7.6923076923076916</v>
      </c>
      <c r="C193" s="193">
        <v>32</v>
      </c>
      <c r="D193" s="179">
        <f t="shared" si="11"/>
        <v>246.15384615384613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90</v>
      </c>
      <c r="B194" s="181">
        <f>'Données projet'!D182</f>
        <v>7.0512820512820511</v>
      </c>
      <c r="C194" s="193">
        <v>32</v>
      </c>
      <c r="D194" s="179">
        <f t="shared" si="11"/>
        <v>225.64102564102564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95</v>
      </c>
      <c r="B195" s="181">
        <f>'Données projet'!D183</f>
        <v>7.0512820512820511</v>
      </c>
      <c r="C195" s="193">
        <v>32</v>
      </c>
      <c r="D195" s="179">
        <f t="shared" si="11"/>
        <v>225.64102564102564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100</v>
      </c>
      <c r="B196" s="181">
        <f>'Données projet'!D184</f>
        <v>7.6923076923076916</v>
      </c>
      <c r="C196" s="193">
        <v>32</v>
      </c>
      <c r="D196" s="179">
        <f t="shared" si="11"/>
        <v>246.15384615384613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  <Typedecontrat xmlns="4a0a9159-faee-4929-bc18-6e0874945fe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9" ma:contentTypeDescription="Crée un document." ma:contentTypeScope="" ma:versionID="da778f651e2b9172a0668a57e5259e37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21723ea34ef7bb0ee75fd50087f5b91c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Typedecontra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ypedecontrat" ma:index="26" nillable="true" ma:displayName="Type de contrat" ma:format="Dropdown" ma:internalName="Typedecontrat">
      <xsd:simpleType>
        <xsd:union memberTypes="dms:Text">
          <xsd:simpleType>
            <xsd:restriction base="dms:Choice">
              <xsd:enumeration value="Obligation de moyens"/>
              <xsd:enumeration value="Obligation de résultats"/>
              <xsd:enumeration value="Client final"/>
              <xsd:enumeration value="Intermédiair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CF9AF1-3F30-416C-846C-061F1A29A8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Aurélien Blond</cp:lastModifiedBy>
  <dcterms:created xsi:type="dcterms:W3CDTF">2021-02-01T08:22:39Z</dcterms:created>
  <dcterms:modified xsi:type="dcterms:W3CDTF">2025-06-27T12:29:08Z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