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 (Normandie)\LESSAY (50) - M&amp;MME BOUCHARD\Dossier à déposer\"/>
    </mc:Choice>
  </mc:AlternateContent>
  <xr:revisionPtr revIDLastSave="0" documentId="13_ncr:1_{F4DBD989-3AB9-4460-8BC6-F5C78B5C94D9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  <sheet name="vérification" sheetId="8" state="hidden" r:id="rId8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6" l="1"/>
  <c r="I22" i="6"/>
  <c r="I21" i="6"/>
  <c r="I20" i="6"/>
  <c r="L9" i="8" l="1"/>
  <c r="K9" i="8"/>
  <c r="J9" i="8"/>
  <c r="I9" i="8"/>
  <c r="H9" i="8"/>
  <c r="G9" i="8"/>
  <c r="F9" i="8"/>
  <c r="E9" i="8"/>
  <c r="M7" i="8"/>
  <c r="M6" i="8"/>
  <c r="C3" i="8" l="1"/>
  <c r="L3" i="8"/>
  <c r="K3" i="8"/>
  <c r="J3" i="8"/>
  <c r="I3" i="8"/>
  <c r="H3" i="8"/>
  <c r="G3" i="8"/>
  <c r="F3" i="8"/>
  <c r="E3" i="8"/>
  <c r="D3" i="8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4" i="8" s="1"/>
  <c r="D11" i="1"/>
  <c r="E4" i="8" s="1"/>
  <c r="C4" i="8" l="1"/>
  <c r="I37" i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F4" i="8" s="1"/>
  <c r="D13" i="1"/>
  <c r="G4" i="8" s="1"/>
  <c r="D14" i="1"/>
  <c r="D15" i="1"/>
  <c r="D16" i="1"/>
  <c r="D17" i="1"/>
  <c r="D18" i="1"/>
  <c r="L4" i="8" s="1"/>
  <c r="U18" i="6" l="1"/>
  <c r="V18" i="6" s="1"/>
  <c r="K4" i="8"/>
  <c r="U17" i="6"/>
  <c r="V17" i="6" s="1"/>
  <c r="J4" i="8"/>
  <c r="U16" i="6"/>
  <c r="V16" i="6" s="1"/>
  <c r="I4" i="8"/>
  <c r="U15" i="6"/>
  <c r="V15" i="6" s="1"/>
  <c r="H4" i="8"/>
  <c r="M4" i="8"/>
  <c r="P66" i="6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47" i="2" a="1"/>
  <c r="BC47" i="2" s="1"/>
  <c r="BC82" i="2" a="1"/>
  <c r="BC82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58" i="2" l="1" a="1"/>
  <c r="BC58" i="2" s="1"/>
  <c r="AH90" i="2" a="1"/>
  <c r="AH90" i="2" s="1"/>
  <c r="AH62" i="2" a="1"/>
  <c r="AH62" i="2" s="1"/>
  <c r="BC126" i="2" a="1"/>
  <c r="BC126" i="2" s="1"/>
  <c r="BC68" i="2" a="1"/>
  <c r="BC68" i="2" s="1"/>
  <c r="BC34" i="2" a="1"/>
  <c r="BC34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D9" i="8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95" i="2" l="1"/>
  <c r="BI52" i="2"/>
  <c r="BI117" i="2"/>
  <c r="BI47" i="2"/>
  <c r="BI129" i="2"/>
  <c r="BI79" i="2"/>
  <c r="BI116" i="2"/>
  <c r="BI66" i="2"/>
  <c r="BI103" i="2"/>
  <c r="BI166" i="2"/>
  <c r="BI174" i="2"/>
  <c r="BI39" i="2"/>
  <c r="BI107" i="2"/>
  <c r="BI8" i="2"/>
  <c r="BI146" i="2"/>
  <c r="BI161" i="2"/>
  <c r="BI7" i="2"/>
  <c r="BI53" i="2"/>
  <c r="BI26" i="2"/>
  <c r="BI27" i="2"/>
  <c r="BI104" i="2"/>
  <c r="BI151" i="2"/>
  <c r="BI17" i="2"/>
  <c r="BI40" i="2"/>
  <c r="BI134" i="2"/>
  <c r="BI185" i="2"/>
  <c r="BI180" i="2"/>
  <c r="BI168" i="2"/>
  <c r="BI87" i="2"/>
  <c r="BI114" i="2"/>
  <c r="BI75" i="2"/>
  <c r="BI13" i="2"/>
  <c r="BI177" i="2"/>
  <c r="BI65" i="2"/>
  <c r="BI135" i="2"/>
  <c r="BI19" i="2"/>
  <c r="BI70" i="2"/>
  <c r="BI41" i="2"/>
  <c r="BI120" i="2"/>
  <c r="BI31" i="2"/>
  <c r="BI83" i="2"/>
  <c r="BI145" i="2"/>
  <c r="BI51" i="2"/>
  <c r="BI14" i="2"/>
  <c r="BI63" i="2"/>
  <c r="BI186" i="2"/>
  <c r="BI62" i="2"/>
  <c r="BI123" i="2"/>
  <c r="BI3" i="2"/>
  <c r="C8" i="4" s="1"/>
  <c r="E8" i="4" s="1"/>
  <c r="F8" i="4" s="1"/>
  <c r="G8" i="4" s="1"/>
  <c r="L8" i="4" s="1"/>
  <c r="BI37" i="2"/>
  <c r="BI100" i="2"/>
  <c r="BI163" i="2"/>
  <c r="BI60" i="2"/>
  <c r="BI121" i="2"/>
  <c r="BI85" i="2"/>
  <c r="BI24" i="2"/>
  <c r="BI183" i="2"/>
  <c r="BI88" i="2"/>
  <c r="BI156" i="2"/>
  <c r="BI169" i="2"/>
  <c r="BI76" i="2"/>
  <c r="BI6" i="2"/>
  <c r="BI101" i="2"/>
  <c r="BI138" i="2"/>
  <c r="BI201" i="2"/>
  <c r="BI131" i="2"/>
  <c r="BI157" i="2"/>
  <c r="BI20" i="2"/>
  <c r="BI58" i="2"/>
  <c r="BI23" i="2"/>
  <c r="BI126" i="2"/>
  <c r="BI172" i="2"/>
  <c r="BI68" i="2"/>
  <c r="BI109" i="2"/>
  <c r="BI12" i="2"/>
  <c r="BI32" i="2"/>
  <c r="BI55" i="2"/>
  <c r="BI71" i="2"/>
  <c r="BI142" i="2"/>
  <c r="BI44" i="2"/>
  <c r="BI61" i="2"/>
  <c r="BI69" i="2"/>
  <c r="BI90" i="2"/>
  <c r="BI22" i="2"/>
  <c r="BI45" i="2"/>
  <c r="BI132" i="2"/>
  <c r="BI159" i="2"/>
  <c r="BI59" i="2"/>
  <c r="BI48" i="2"/>
  <c r="BI67" i="2"/>
  <c r="BI33" i="2"/>
  <c r="BI182" i="2"/>
  <c r="BI200" i="2"/>
  <c r="BI46" i="2"/>
  <c r="BI141" i="2"/>
  <c r="BI130" i="2"/>
  <c r="BI196" i="2"/>
  <c r="BI113" i="2"/>
  <c r="BI49" i="2"/>
  <c r="BI122" i="2"/>
  <c r="BI34" i="2"/>
  <c r="BI77" i="2"/>
  <c r="BI93" i="2"/>
  <c r="BI140" i="2"/>
  <c r="BI36" i="2"/>
  <c r="BI192" i="2"/>
  <c r="BI38" i="2"/>
  <c r="BI194" i="2"/>
  <c r="BI50" i="2"/>
  <c r="BI158" i="2"/>
  <c r="BI127" i="2"/>
  <c r="BI28" i="2"/>
  <c r="BI184" i="2"/>
  <c r="BI128" i="2"/>
  <c r="BI80" i="2"/>
  <c r="BI119" i="2"/>
  <c r="BI165" i="2"/>
  <c r="BI91" i="2"/>
  <c r="BI154" i="2"/>
  <c r="BI74" i="2"/>
  <c r="BI111" i="2"/>
  <c r="BI115" i="2"/>
  <c r="BI96" i="2"/>
  <c r="BI199" i="2"/>
  <c r="BI136" i="2"/>
  <c r="BI72" i="2"/>
  <c r="BI9" i="2"/>
  <c r="BI82" i="2"/>
  <c r="BI195" i="2"/>
  <c r="BI84" i="2"/>
  <c r="BI108" i="2"/>
  <c r="BI153" i="2"/>
  <c r="BI30" i="2"/>
  <c r="BI16" i="2"/>
  <c r="BI11" i="2"/>
  <c r="BI193" i="2"/>
  <c r="BI118" i="2"/>
  <c r="BI102" i="2"/>
  <c r="BI178" i="2"/>
  <c r="BI170" i="2"/>
  <c r="BI81" i="2"/>
  <c r="BI190" i="2"/>
  <c r="BI147" i="2"/>
  <c r="BI10" i="2"/>
  <c r="BI148" i="2"/>
  <c r="BI149" i="2"/>
  <c r="BI89" i="2"/>
  <c r="BI137" i="2"/>
  <c r="BI164" i="2"/>
  <c r="BI99" i="2"/>
  <c r="BI203" i="2"/>
  <c r="BI94" i="2"/>
  <c r="BI97" i="2"/>
  <c r="BI197" i="2"/>
  <c r="BI110" i="2"/>
  <c r="BI143" i="2"/>
  <c r="BI139" i="2"/>
  <c r="BI42" i="2"/>
  <c r="BI181" i="2"/>
  <c r="BI124" i="2"/>
  <c r="BI105" i="2"/>
  <c r="BI112" i="2"/>
  <c r="BI18" i="2"/>
  <c r="BI35" i="2"/>
  <c r="BI162" i="2"/>
  <c r="BI175" i="2"/>
  <c r="BI21" i="2"/>
  <c r="BI179" i="2"/>
  <c r="BI15" i="2"/>
  <c r="BI29" i="2"/>
  <c r="BI98" i="2"/>
  <c r="BI191" i="2"/>
  <c r="BI25" i="2"/>
  <c r="BI73" i="2"/>
  <c r="BI54" i="2"/>
  <c r="BI4" i="2"/>
  <c r="BI125" i="2"/>
  <c r="BI106" i="2"/>
  <c r="BI152" i="2"/>
  <c r="BI171" i="2"/>
  <c r="BI144" i="2"/>
  <c r="BI160" i="2"/>
  <c r="BI155" i="2"/>
  <c r="BI202" i="2"/>
  <c r="BI56" i="2"/>
  <c r="BI150" i="2"/>
  <c r="BI5" i="2"/>
  <c r="BI64" i="2"/>
  <c r="BI43" i="2"/>
  <c r="BI187" i="2"/>
  <c r="BI198" i="2"/>
  <c r="BI176" i="2"/>
  <c r="BI133" i="2"/>
  <c r="BI92" i="2"/>
  <c r="BI78" i="2"/>
  <c r="BI86" i="2"/>
  <c r="BI188" i="2"/>
  <c r="BI173" i="2"/>
  <c r="BI189" i="2"/>
  <c r="BI57" i="2"/>
  <c r="BI167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C9" i="8" s="1"/>
  <c r="F16" i="4"/>
  <c r="M9" i="8" l="1"/>
  <c r="BS161" i="2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<sst xmlns="http://schemas.openxmlformats.org/spreadsheetml/2006/main" count="1181" uniqueCount="335">
  <si>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</si>
  <si>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</si>
  <si>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</si>
  <si>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</si>
  <si>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</si>
  <si>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</si>
  <si>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</si>
  <si>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</si>
  <si>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</si>
  <si>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</si>
  <si>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</si>
  <si>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</si>
  <si>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</si>
  <si>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</si>
  <si>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</si>
  <si>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</si>
  <si>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</si>
  <si>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</si>
  <si>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</si>
  <si>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</si>
  <si>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</si>
  <si>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</si>
  <si>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</si>
  <si>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</si>
  <si>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</si>
  <si>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</si>
  <si>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</si>
  <si>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</si>
  <si>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</si>
  <si>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</si>
  <si>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</si>
  <si>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</si>
  <si>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</si>
  <si>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</si>
  <si>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</si>
  <si>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</si>
  <si>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</si>
  <si>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</si>
  <si>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</si>
  <si>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</si>
  <si>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</si>
  <si>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</si>
  <si>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</si>
  <si>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</si>
  <si>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</si>
  <si>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</si>
  <si>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</si>
  <si>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</si>
  <si>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</si>
  <si>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</si>
  <si>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</si>
  <si>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</si>
  <si>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</si>
  <si>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</si>
  <si>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</si>
  <si>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</si>
  <si>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</si>
  <si>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</si>
  <si>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</si>
  <si>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</si>
  <si>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</si>
  <si>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</si>
  <si>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</si>
  <si>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</si>
  <si>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</si>
  <si>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</si>
  <si>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</si>
  <si>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</si>
  <si>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</si>
  <si>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</si>
  <si>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</si>
  <si>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</si>
  <si>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</si>
  <si>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</si>
  <si>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</si>
  <si>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</si>
  <si>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</si>
  <si>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</si>
  <si>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</si>
  <si>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</si>
  <si>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</si>
  <si>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</si>
  <si>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</si>
  <si>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</si>
  <si>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</si>
  <si>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</si>
  <si>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</si>
  <si>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</si>
  <si>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</si>
  <si>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</si>
  <si>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</si>
  <si>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</si>
  <si>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</si>
  <si>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</si>
  <si>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</si>
  <si>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</si>
  <si>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</si>
  <si>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</si>
  <si>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</si>
  <si>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</si>
  <si>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</si>
  <si>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</si>
  <si>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</si>
  <si>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</si>
  <si>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</si>
  <si>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</si>
  <si>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</si>
  <si>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</si>
  <si>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</si>
  <si>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</si>
  <si>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</si>
  <si>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</si>
  <si>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</si>
  <si>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</si>
  <si>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</si>
  <si>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</si>
  <si>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</si>
  <si>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</si>
  <si>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</si>
  <si>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</si>
  <si>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</si>
  <si>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</si>
  <si>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</si>
  <si>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</si>
  <si>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</si>
  <si>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</si>
  <si>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</si>
  <si>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</si>
  <si>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</si>
  <si>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</si>
  <si>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</si>
  <si>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</si>
  <si>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</si>
  <si>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</si>
  <si>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</si>
  <si>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</si>
  <si>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</si>
  <si>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</si>
  <si>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</si>
  <si>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</si>
  <si>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</si>
  <si>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</si>
  <si>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</si>
  <si>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</si>
  <si>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</si>
  <si>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</si>
  <si>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</si>
  <si>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</si>
  <si>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</si>
  <si>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</si>
  <si>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</si>
  <si>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</si>
  <si>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</si>
  <si>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</si>
  <si>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</si>
  <si>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</si>
  <si>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</si>
  <si>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</si>
  <si>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</si>
  <si>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</si>
  <si>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</si>
  <si>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</si>
  <si>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</si>
  <si>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</si>
  <si>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</si>
  <si>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</si>
  <si>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</si>
  <si>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</si>
  <si>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</si>
  <si>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</si>
  <si>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</si>
  <si>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</si>
  <si>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</si>
  <si>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</si>
  <si>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</si>
  <si>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</si>
  <si>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</si>
  <si>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</si>
  <si>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</si>
  <si>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</si>
  <si>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</si>
  <si>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</si>
  <si>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</si>
  <si>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</si>
  <si>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</si>
  <si>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</si>
  <si>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</si>
  <si>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</si>
  <si>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</si>
  <si>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</si>
  <si>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</si>
  <si>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</si>
  <si>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</si>
  <si>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</si>
  <si>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</si>
  <si>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</si>
  <si>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</si>
  <si>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</si>
  <si>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</si>
  <si>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</si>
  <si>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</si>
  <si>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</si>
  <si>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</si>
  <si>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</si>
  <si>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</si>
  <si>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</si>
  <si>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</si>
  <si>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</si>
  <si>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</si>
  <si>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</si>
  <si>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</si>
  <si>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</si>
  <si>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</si>
  <si>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</si>
  <si>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</si>
  <si>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</si>
  <si>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</si>
  <si>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</si>
  <si>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</si>
  <si>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</si>
  <si>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</si>
  <si>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</si>
  <si>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</si>
  <si>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</si>
  <si>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</si>
  <si>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</si>
  <si>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</si>
  <si>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</si>
  <si>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</si>
  <si>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</si>
  <si>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</si>
  <si>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</si>
  <si>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</si>
  <si>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</si>
  <si>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</si>
  <si>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</si>
  <si>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</si>
  <si>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</si>
  <si>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</si>
  <si>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</si>
  <si>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</si>
  <si>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</si>
  <si>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</si>
  <si>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</si>
  <si>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</si>
  <si>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</si>
  <si>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</si>
  <si>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</si>
  <si>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</si>
  <si>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</si>
  <si>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</si>
  <si>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</si>
  <si>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</si>
  <si>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</si>
  <si>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</si>
  <si>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</si>
  <si>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</si>
  <si>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</si>
  <si>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</si>
  <si>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</si>
  <si>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</si>
  <si>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</si>
  <si>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</si>
  <si>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</si>
  <si>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</si>
  <si>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</si>
  <si>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</si>
  <si>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</si>
  <si>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</si>
  <si>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</si>
  <si>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</si>
  <si>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</si>
  <si>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</si>
  <si>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</si>
  <si>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</si>
  <si>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</si>
  <si>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</si>
  <si>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</si>
  <si>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</si>
  <si>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</si>
  <si>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</si>
  <si>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</si>
  <si>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</si>
  <si>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</si>
  <si>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</si>
  <si>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</si>
  <si>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</si>
  <si>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</si>
  <si>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</si>
  <si>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</si>
  <si>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</si>
  <si>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</si>
  <si>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</si>
  <si>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</si>
  <si>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</si>
  <si>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</si>
  <si>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</si>
  <si>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</si>
  <si>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</si>
  <si>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</si>
  <si>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</si>
  <si>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</si>
  <si>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</si>
  <si>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</si>
  <si>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</si>
  <si>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</si>
  <si>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</si>
  <si>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</si>
  <si>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</si>
  <si>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</si>
  <si>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</si>
  <si>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</si>
  <si>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</si>
  <si>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</si>
  <si>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</si>
  <si>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</si>
  <si>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</si>
  <si>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</si>
  <si>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</si>
  <si>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</si>
  <si>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</si>
  <si>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</si>
  <si>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</si>
  <si>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</si>
  <si>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Répartition de essences</t>
  </si>
  <si>
    <t>Essences prévues</t>
  </si>
  <si>
    <t>Surfaces doc 8</t>
  </si>
  <si>
    <t>Essence planté</t>
  </si>
  <si>
    <t>Total</t>
  </si>
  <si>
    <t>Nombre de plants</t>
  </si>
  <si>
    <t>Densité essence objectif</t>
  </si>
  <si>
    <t>écart REE</t>
  </si>
  <si>
    <t>pin maritime</t>
  </si>
  <si>
    <t>pin sylvestre</t>
  </si>
  <si>
    <t>pin taeda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</si>
</sst>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  <numFmt numFmtId="169" formatCode="0&quot; plants/ha&quot;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36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3" fontId="10" fillId="21" borderId="1" xfId="3" applyFont="1" applyFill="1" applyBorder="1" applyAlignment="1">
      <alignment horizontal="center" vertical="center"/>
    </xf>
    <xf numFmtId="0" fontId="10" fillId="21" borderId="1" xfId="0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43" fontId="10" fillId="21" borderId="4" xfId="3" applyFont="1" applyFill="1" applyBorder="1" applyAlignment="1">
      <alignment horizontal="center" vertical="center"/>
    </xf>
    <xf numFmtId="0" fontId="10" fillId="21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21" borderId="54" xfId="0" applyFont="1" applyFill="1" applyBorder="1" applyAlignment="1">
      <alignment horizontal="center" vertical="center"/>
    </xf>
    <xf numFmtId="2" fontId="10" fillId="21" borderId="46" xfId="0" applyNumberFormat="1" applyFon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2" fontId="0" fillId="5" borderId="18" xfId="0" applyNumberFormat="1" applyFill="1" applyBorder="1" applyAlignment="1">
      <alignment horizontal="center" vertical="center"/>
    </xf>
    <xf numFmtId="0" fontId="0" fillId="22" borderId="0" xfId="0" applyFill="1"/>
    <xf numFmtId="2" fontId="0" fillId="22" borderId="0" xfId="0" applyNumberFormat="1" applyFill="1"/>
    <xf numFmtId="2" fontId="11" fillId="5" borderId="55" xfId="0" applyNumberFormat="1" applyFont="1" applyFill="1" applyBorder="1" applyAlignment="1">
      <alignment horizontal="center" vertical="center"/>
    </xf>
    <xf numFmtId="1" fontId="10" fillId="23" borderId="55" xfId="0" applyNumberFormat="1" applyFont="1" applyFill="1" applyBorder="1" applyAlignment="1">
      <alignment horizontal="center" vertical="center"/>
    </xf>
    <xf numFmtId="2" fontId="10" fillId="23" borderId="55" xfId="0" applyNumberFormat="1" applyFont="1" applyFill="1" applyBorder="1" applyAlignment="1">
      <alignment horizontal="center" vertical="center"/>
    </xf>
    <xf numFmtId="0" fontId="10" fillId="21" borderId="56" xfId="0" applyFont="1" applyFill="1" applyBorder="1" applyAlignment="1">
      <alignment horizontal="center" vertical="center"/>
    </xf>
    <xf numFmtId="0" fontId="10" fillId="21" borderId="55" xfId="0" applyFont="1" applyFill="1" applyBorder="1" applyAlignment="1">
      <alignment horizontal="center" vertical="center"/>
    </xf>
    <xf numFmtId="0" fontId="10" fillId="21" borderId="57" xfId="0" applyFont="1" applyFill="1" applyBorder="1" applyAlignment="1">
      <alignment horizontal="center" vertical="center"/>
    </xf>
    <xf numFmtId="43" fontId="32" fillId="5" borderId="1" xfId="3" applyFont="1" applyFill="1" applyBorder="1" applyAlignment="1">
      <alignment horizontal="center" vertical="center"/>
    </xf>
    <xf numFmtId="43" fontId="32" fillId="5" borderId="55" xfId="3" applyFont="1" applyFill="1" applyBorder="1" applyAlignment="1">
      <alignment horizontal="center" vertical="center"/>
    </xf>
    <xf numFmtId="9" fontId="33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</cellXfs>
  <cellStyles count="4">
    <cellStyle name="Lien hypertexte" xfId="2" builtinId="8"/>
    <cellStyle name="Milliers" xfId="3" builtinId="3"/>
    <cellStyle name="Normal" xfId="0" builtinId="0"/>
    <cellStyle name="Pourcentage" xfId="1" builtinId="5"/>
  </cellStyles>
  <dxfs count="1">
    <dxf>
      <font>
        <color theme="4" tint="-0.24994659260841701"/>
      </font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vérification!$C$6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5C9-4A71-BA1D-3592B0F3DB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5C9-4A71-BA1D-3592B0F3DB1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5C9-4A71-BA1D-3592B0F3DB1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5C9-4A71-BA1D-3592B0F3DB1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5C9-4A71-BA1D-3592B0F3DB1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95C9-4A71-BA1D-3592B0F3DB1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95C9-4A71-BA1D-3592B0F3DB1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95C9-4A71-BA1D-3592B0F3DB1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95C9-4A71-BA1D-3592B0F3DB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vérification!$D$5:$L$5</c:f>
              <c:numCache>
                <c:formatCode>General</c:formatCode>
                <c:ptCount val="9"/>
              </c:numCache>
            </c:numRef>
          </c:cat>
          <c:val>
            <c:numRef>
              <c:f>vérification!$D$6:$L$6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0-2028-42E2-A353-9C643656EFD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1.8546823867594033</c:v>
                </c:pt>
                <c:pt idx="2">
                  <c:v>2.3149139744971143</c:v>
                </c:pt>
                <c:pt idx="3">
                  <c:v>2.8898002023856009</c:v>
                </c:pt>
                <c:pt idx="4">
                  <c:v>3.608010242567913</c:v>
                </c:pt>
                <c:pt idx="5">
                  <c:v>4.50540679013677</c:v>
                </c:pt>
                <c:pt idx="6">
                  <c:v>5.626856831737328</c:v>
                </c:pt>
                <c:pt idx="7">
                  <c:v>7.0284995765508542</c:v>
                </c:pt>
                <c:pt idx="8">
                  <c:v>8.7805872826152704</c:v>
                </c:pt>
                <c:pt idx="9">
                  <c:v>10.97104408242488</c:v>
                </c:pt>
                <c:pt idx="10">
                  <c:v>13.709924753332814</c:v>
                </c:pt>
                <c:pt idx="11">
                  <c:v>17.13500159448051</c:v>
                </c:pt>
                <c:pt idx="12">
                  <c:v>21.418765552986319</c:v>
                </c:pt>
                <c:pt idx="13">
                  <c:v>26.77720048862879</c:v>
                </c:pt>
                <c:pt idx="14">
                  <c:v>33.480780745630888</c:v>
                </c:pt>
                <c:pt idx="15">
                  <c:v>41.868256742642309</c:v>
                </c:pt>
                <c:pt idx="16">
                  <c:v>52.363937037234486</c:v>
                </c:pt>
                <c:pt idx="17">
                  <c:v>65.499355727780099</c:v>
                </c:pt>
                <c:pt idx="18">
                  <c:v>81.940440490146003</c:v>
                </c:pt>
                <c:pt idx="19">
                  <c:v>102.52158077270944</c:v>
                </c:pt>
                <c:pt idx="20">
                  <c:v>128.28835246539464</c:v>
                </c:pt>
                <c:pt idx="21">
                  <c:v>134.28269900227659</c:v>
                </c:pt>
                <c:pt idx="22">
                  <c:v>156.45782231241364</c:v>
                </c:pt>
                <c:pt idx="23">
                  <c:v>178.55822760704453</c:v>
                </c:pt>
                <c:pt idx="24">
                  <c:v>200.59447324032215</c:v>
                </c:pt>
                <c:pt idx="25">
                  <c:v>222.57460194352407</c:v>
                </c:pt>
                <c:pt idx="26">
                  <c:v>197.13199917409864</c:v>
                </c:pt>
                <c:pt idx="27">
                  <c:v>222.32792135889142</c:v>
                </c:pt>
                <c:pt idx="28">
                  <c:v>247.45831375385379</c:v>
                </c:pt>
                <c:pt idx="29">
                  <c:v>272.53076596771507</c:v>
                </c:pt>
                <c:pt idx="30">
                  <c:v>297.55135574678047</c:v>
                </c:pt>
                <c:pt idx="31">
                  <c:v>250.65690428645999</c:v>
                </c:pt>
                <c:pt idx="32">
                  <c:v>274.9859700775425</c:v>
                </c:pt>
                <c:pt idx="33">
                  <c:v>299.26668444031912</c:v>
                </c:pt>
                <c:pt idx="34">
                  <c:v>323.50351969461502</c:v>
                </c:pt>
                <c:pt idx="35">
                  <c:v>347.70022328316549</c:v>
                </c:pt>
                <c:pt idx="36">
                  <c:v>302.69668602614541</c:v>
                </c:pt>
                <c:pt idx="37">
                  <c:v>324.97109446733299</c:v>
                </c:pt>
                <c:pt idx="38">
                  <c:v>347.21177656571723</c:v>
                </c:pt>
                <c:pt idx="39">
                  <c:v>369.42119511414563</c:v>
                </c:pt>
                <c:pt idx="40">
                  <c:v>391.60149271750106</c:v>
                </c:pt>
                <c:pt idx="41">
                  <c:v>348.67707154926933</c:v>
                </c:pt>
                <c:pt idx="42">
                  <c:v>367.95775652370889</c:v>
                </c:pt>
                <c:pt idx="43">
                  <c:v>387.2163985408352</c:v>
                </c:pt>
                <c:pt idx="44">
                  <c:v>406.45424763968231</c:v>
                </c:pt>
                <c:pt idx="45">
                  <c:v>425.67242592235584</c:v>
                </c:pt>
                <c:pt idx="46">
                  <c:v>391.11431288001683</c:v>
                </c:pt>
                <c:pt idx="47">
                  <c:v>411.3214270857041</c:v>
                </c:pt>
                <c:pt idx="48">
                  <c:v>431.50712073862815</c:v>
                </c:pt>
                <c:pt idx="49">
                  <c:v>451.67253621627128</c:v>
                </c:pt>
                <c:pt idx="50">
                  <c:v>471.81870562999273</c:v>
                </c:pt>
                <c:pt idx="51">
                  <c:v>438.7981090039209</c:v>
                </c:pt>
                <c:pt idx="52">
                  <c:v>456.77154001255946</c:v>
                </c:pt>
                <c:pt idx="53">
                  <c:v>474.72986890433532</c:v>
                </c:pt>
                <c:pt idx="54">
                  <c:v>492.67374707431298</c:v>
                </c:pt>
                <c:pt idx="55">
                  <c:v>510.60377462431006</c:v>
                </c:pt>
                <c:pt idx="56">
                  <c:v>483.70357569259022</c:v>
                </c:pt>
                <c:pt idx="57">
                  <c:v>496.79401211304116</c:v>
                </c:pt>
                <c:pt idx="58">
                  <c:v>509.87714380461722</c:v>
                </c:pt>
                <c:pt idx="59">
                  <c:v>522.95318457387191</c:v>
                </c:pt>
                <c:pt idx="60">
                  <c:v>536.02233666568304</c:v>
                </c:pt>
                <c:pt idx="61">
                  <c:v>522.71109888077683</c:v>
                </c:pt>
                <c:pt idx="62">
                  <c:v>533.60263415564714</c:v>
                </c:pt>
                <c:pt idx="63">
                  <c:v>544.48949474058588</c:v>
                </c:pt>
                <c:pt idx="64">
                  <c:v>555.37178727229411</c:v>
                </c:pt>
                <c:pt idx="65">
                  <c:v>566.24961386806831</c:v>
                </c:pt>
                <c:pt idx="66">
                  <c:v>5.0621685358189711E-12</c:v>
                </c:pt>
                <c:pt idx="67">
                  <c:v>5.0621685358189711E-12</c:v>
                </c:pt>
                <c:pt idx="68">
                  <c:v>5.0621685358189711E-12</c:v>
                </c:pt>
                <c:pt idx="69">
                  <c:v>5.0621685358189711E-12</c:v>
                </c:pt>
                <c:pt idx="70">
                  <c:v>5.0621685358189711E-12</c:v>
                </c:pt>
                <c:pt idx="71">
                  <c:v>5.0621685358189711E-12</c:v>
                </c:pt>
                <c:pt idx="72">
                  <c:v>5.0621685358189711E-12</c:v>
                </c:pt>
                <c:pt idx="73">
                  <c:v>5.0621685358189711E-12</c:v>
                </c:pt>
                <c:pt idx="74">
                  <c:v>5.0621685358189711E-12</c:v>
                </c:pt>
                <c:pt idx="75">
                  <c:v>5.0621685358189711E-12</c:v>
                </c:pt>
                <c:pt idx="76">
                  <c:v>5.0621685358189711E-12</c:v>
                </c:pt>
                <c:pt idx="77">
                  <c:v>5.0621685358189711E-12</c:v>
                </c:pt>
                <c:pt idx="78">
                  <c:v>5.0621685358189711E-12</c:v>
                </c:pt>
                <c:pt idx="79">
                  <c:v>5.0621685358189711E-12</c:v>
                </c:pt>
                <c:pt idx="80">
                  <c:v>5.0621685358189711E-12</c:v>
                </c:pt>
                <c:pt idx="81">
                  <c:v>5.0621685358189711E-12</c:v>
                </c:pt>
                <c:pt idx="82">
                  <c:v>5.0621685358189711E-12</c:v>
                </c:pt>
                <c:pt idx="83">
                  <c:v>5.0621685358189711E-12</c:v>
                </c:pt>
                <c:pt idx="84">
                  <c:v>5.0621685358189711E-12</c:v>
                </c:pt>
                <c:pt idx="85">
                  <c:v>5.0621685358189711E-12</c:v>
                </c:pt>
                <c:pt idx="86">
                  <c:v>5.0621685358189711E-12</c:v>
                </c:pt>
                <c:pt idx="87">
                  <c:v>5.0621685358189711E-12</c:v>
                </c:pt>
                <c:pt idx="88">
                  <c:v>5.0621685358189711E-12</c:v>
                </c:pt>
                <c:pt idx="89">
                  <c:v>5.0621685358189711E-12</c:v>
                </c:pt>
                <c:pt idx="90">
                  <c:v>5.0621685358189711E-12</c:v>
                </c:pt>
                <c:pt idx="91">
                  <c:v>5.0621685358189711E-12</c:v>
                </c:pt>
                <c:pt idx="92">
                  <c:v>5.0621685358189711E-12</c:v>
                </c:pt>
                <c:pt idx="93">
                  <c:v>5.0621685358189711E-12</c:v>
                </c:pt>
                <c:pt idx="94">
                  <c:v>5.0621685358189711E-12</c:v>
                </c:pt>
                <c:pt idx="95">
                  <c:v>5.0621685358189711E-12</c:v>
                </c:pt>
                <c:pt idx="96">
                  <c:v>5.0621685358189711E-12</c:v>
                </c:pt>
                <c:pt idx="97">
                  <c:v>5.0621685358189711E-12</c:v>
                </c:pt>
                <c:pt idx="98">
                  <c:v>5.0621685358189711E-12</c:v>
                </c:pt>
                <c:pt idx="99">
                  <c:v>5.0621685358189711E-12</c:v>
                </c:pt>
                <c:pt idx="100">
                  <c:v>5.0621685358189711E-12</c:v>
                </c:pt>
                <c:pt idx="101">
                  <c:v>5.0621685358189711E-12</c:v>
                </c:pt>
                <c:pt idx="102">
                  <c:v>5.0621685358189711E-12</c:v>
                </c:pt>
                <c:pt idx="103">
                  <c:v>5.0621685358189711E-12</c:v>
                </c:pt>
                <c:pt idx="104">
                  <c:v>5.0621685358189711E-12</c:v>
                </c:pt>
                <c:pt idx="105">
                  <c:v>5.0621685358189711E-12</c:v>
                </c:pt>
                <c:pt idx="106">
                  <c:v>5.0621685358189711E-12</c:v>
                </c:pt>
                <c:pt idx="107">
                  <c:v>5.0621685358189711E-12</c:v>
                </c:pt>
                <c:pt idx="108">
                  <c:v>5.0621685358189711E-12</c:v>
                </c:pt>
                <c:pt idx="109">
                  <c:v>5.0621685358189711E-12</c:v>
                </c:pt>
                <c:pt idx="110">
                  <c:v>5.0621685358189711E-12</c:v>
                </c:pt>
                <c:pt idx="111">
                  <c:v>5.0621685358189711E-12</c:v>
                </c:pt>
                <c:pt idx="112">
                  <c:v>5.0621685358189711E-12</c:v>
                </c:pt>
                <c:pt idx="113">
                  <c:v>5.0621685358189711E-12</c:v>
                </c:pt>
                <c:pt idx="114">
                  <c:v>5.0621685358189711E-12</c:v>
                </c:pt>
                <c:pt idx="115">
                  <c:v>5.0621685358189711E-12</c:v>
                </c:pt>
                <c:pt idx="116">
                  <c:v>5.0621685358189711E-12</c:v>
                </c:pt>
                <c:pt idx="117">
                  <c:v>5.0621685358189711E-12</c:v>
                </c:pt>
                <c:pt idx="118">
                  <c:v>5.0621685358189711E-12</c:v>
                </c:pt>
                <c:pt idx="119">
                  <c:v>5.0621685358189711E-12</c:v>
                </c:pt>
                <c:pt idx="120">
                  <c:v>5.0621685358189711E-12</c:v>
                </c:pt>
                <c:pt idx="121">
                  <c:v>5.0621685358189711E-12</c:v>
                </c:pt>
                <c:pt idx="122">
                  <c:v>5.0621685358189711E-12</c:v>
                </c:pt>
                <c:pt idx="123">
                  <c:v>5.0621685358189711E-12</c:v>
                </c:pt>
                <c:pt idx="124">
                  <c:v>5.0621685358189711E-12</c:v>
                </c:pt>
                <c:pt idx="125">
                  <c:v>5.0621685358189711E-12</c:v>
                </c:pt>
                <c:pt idx="126">
                  <c:v>5.0621685358189711E-12</c:v>
                </c:pt>
                <c:pt idx="127">
                  <c:v>5.0621685358189711E-12</c:v>
                </c:pt>
                <c:pt idx="128">
                  <c:v>5.0621685358189711E-12</c:v>
                </c:pt>
                <c:pt idx="129">
                  <c:v>5.0621685358189711E-12</c:v>
                </c:pt>
                <c:pt idx="130">
                  <c:v>5.0621685358189711E-12</c:v>
                </c:pt>
                <c:pt idx="131">
                  <c:v>5.0621685358189711E-12</c:v>
                </c:pt>
                <c:pt idx="132">
                  <c:v>5.0621685358189711E-12</c:v>
                </c:pt>
                <c:pt idx="133">
                  <c:v>5.0621685358189711E-12</c:v>
                </c:pt>
                <c:pt idx="134">
                  <c:v>5.0621685358189711E-12</c:v>
                </c:pt>
                <c:pt idx="135">
                  <c:v>5.0621685358189711E-12</c:v>
                </c:pt>
                <c:pt idx="136">
                  <c:v>5.0621685358189711E-12</c:v>
                </c:pt>
                <c:pt idx="137">
                  <c:v>5.0621685358189711E-12</c:v>
                </c:pt>
                <c:pt idx="138">
                  <c:v>5.0621685358189711E-12</c:v>
                </c:pt>
                <c:pt idx="139">
                  <c:v>5.0621685358189711E-12</c:v>
                </c:pt>
                <c:pt idx="140">
                  <c:v>5.0621685358189711E-12</c:v>
                </c:pt>
                <c:pt idx="141">
                  <c:v>5.0621685358189711E-12</c:v>
                </c:pt>
                <c:pt idx="142">
                  <c:v>5.0621685358189711E-12</c:v>
                </c:pt>
                <c:pt idx="143">
                  <c:v>5.0621685358189711E-12</c:v>
                </c:pt>
                <c:pt idx="144">
                  <c:v>5.0621685358189711E-12</c:v>
                </c:pt>
                <c:pt idx="145">
                  <c:v>5.0621685358189711E-12</c:v>
                </c:pt>
                <c:pt idx="146">
                  <c:v>5.0621685358189711E-12</c:v>
                </c:pt>
                <c:pt idx="147">
                  <c:v>5.0621685358189711E-12</c:v>
                </c:pt>
                <c:pt idx="148">
                  <c:v>5.0621685358189711E-12</c:v>
                </c:pt>
                <c:pt idx="149">
                  <c:v>5.0621685358189711E-12</c:v>
                </c:pt>
                <c:pt idx="150">
                  <c:v>5.0621685358189711E-12</c:v>
                </c:pt>
                <c:pt idx="151">
                  <c:v>5.0621685358189711E-12</c:v>
                </c:pt>
                <c:pt idx="152">
                  <c:v>5.0621685358189711E-12</c:v>
                </c:pt>
                <c:pt idx="153">
                  <c:v>5.0621685358189711E-12</c:v>
                </c:pt>
                <c:pt idx="154">
                  <c:v>5.0621685358189711E-12</c:v>
                </c:pt>
                <c:pt idx="155">
                  <c:v>5.0621685358189711E-12</c:v>
                </c:pt>
                <c:pt idx="156">
                  <c:v>5.0621685358189711E-12</c:v>
                </c:pt>
                <c:pt idx="157">
                  <c:v>5.0621685358189711E-12</c:v>
                </c:pt>
                <c:pt idx="158">
                  <c:v>5.0621685358189711E-12</c:v>
                </c:pt>
                <c:pt idx="159">
                  <c:v>5.0621685358189711E-12</c:v>
                </c:pt>
                <c:pt idx="160">
                  <c:v>5.0621685358189711E-12</c:v>
                </c:pt>
                <c:pt idx="161">
                  <c:v>5.0621685358189711E-12</c:v>
                </c:pt>
                <c:pt idx="162">
                  <c:v>5.0621685358189711E-12</c:v>
                </c:pt>
                <c:pt idx="163">
                  <c:v>5.0621685358189711E-12</c:v>
                </c:pt>
                <c:pt idx="164">
                  <c:v>5.0621685358189711E-12</c:v>
                </c:pt>
                <c:pt idx="165">
                  <c:v>5.0621685358189711E-12</c:v>
                </c:pt>
                <c:pt idx="166">
                  <c:v>5.0621685358189711E-12</c:v>
                </c:pt>
                <c:pt idx="167">
                  <c:v>5.0621685358189711E-12</c:v>
                </c:pt>
                <c:pt idx="168">
                  <c:v>5.0621685358189711E-12</c:v>
                </c:pt>
                <c:pt idx="169">
                  <c:v>5.0621685358189711E-12</c:v>
                </c:pt>
                <c:pt idx="170">
                  <c:v>5.0621685358189711E-12</c:v>
                </c:pt>
                <c:pt idx="171">
                  <c:v>5.0621685358189711E-12</c:v>
                </c:pt>
                <c:pt idx="172">
                  <c:v>5.0621685358189711E-12</c:v>
                </c:pt>
                <c:pt idx="173">
                  <c:v>5.0621685358189711E-12</c:v>
                </c:pt>
                <c:pt idx="174">
                  <c:v>5.0621685358189711E-12</c:v>
                </c:pt>
                <c:pt idx="175">
                  <c:v>5.0621685358189711E-12</c:v>
                </c:pt>
                <c:pt idx="176">
                  <c:v>5.0621685358189711E-12</c:v>
                </c:pt>
                <c:pt idx="177">
                  <c:v>5.0621685358189711E-12</c:v>
                </c:pt>
                <c:pt idx="178">
                  <c:v>5.0621685358189711E-12</c:v>
                </c:pt>
                <c:pt idx="179">
                  <c:v>5.0621685358189711E-12</c:v>
                </c:pt>
                <c:pt idx="180">
                  <c:v>5.0621685358189711E-12</c:v>
                </c:pt>
                <c:pt idx="181">
                  <c:v>5.0621685358189711E-12</c:v>
                </c:pt>
                <c:pt idx="182">
                  <c:v>5.0621685358189711E-12</c:v>
                </c:pt>
                <c:pt idx="183">
                  <c:v>5.0621685358189711E-12</c:v>
                </c:pt>
                <c:pt idx="184">
                  <c:v>5.0621685358189711E-12</c:v>
                </c:pt>
                <c:pt idx="185">
                  <c:v>5.0621685358189711E-12</c:v>
                </c:pt>
                <c:pt idx="186">
                  <c:v>5.0621685358189711E-12</c:v>
                </c:pt>
                <c:pt idx="187">
                  <c:v>5.0621685358189711E-12</c:v>
                </c:pt>
                <c:pt idx="188">
                  <c:v>5.0621685358189711E-12</c:v>
                </c:pt>
                <c:pt idx="189">
                  <c:v>5.0621685358189711E-12</c:v>
                </c:pt>
                <c:pt idx="190">
                  <c:v>5.0621685358189711E-12</c:v>
                </c:pt>
                <c:pt idx="191">
                  <c:v>5.0621685358189711E-12</c:v>
                </c:pt>
                <c:pt idx="192">
                  <c:v>5.0621685358189711E-12</c:v>
                </c:pt>
                <c:pt idx="193">
                  <c:v>5.0621685358189711E-12</c:v>
                </c:pt>
                <c:pt idx="194">
                  <c:v>5.0621685358189711E-12</c:v>
                </c:pt>
                <c:pt idx="195">
                  <c:v>5.0621685358189711E-12</c:v>
                </c:pt>
                <c:pt idx="196">
                  <c:v>5.0621685358189711E-12</c:v>
                </c:pt>
                <c:pt idx="197">
                  <c:v>5.0621685358189711E-12</c:v>
                </c:pt>
                <c:pt idx="198">
                  <c:v>5.0621685358189711E-12</c:v>
                </c:pt>
                <c:pt idx="199">
                  <c:v>5.0621685358189711E-12</c:v>
                </c:pt>
                <c:pt idx="200">
                  <c:v>5.0621685358189711E-12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1000125</xdr:colOff>
      <xdr:row>12</xdr:row>
      <xdr:rowOff>42862</xdr:rowOff>
    </xdr:from>
    <xdr:to>
      <xdr:col>9</xdr:col>
      <xdr:colOff>0</xdr:colOff>
      <xdr:row>26</xdr:row>
      <xdr:rowOff>119062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EA82C06F-E780-42D4-83B8-05B594BCD0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313" t="s">
        <v>291</v>
      </c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</row>
    <row r="13" spans="2:13" ht="15" customHeight="1" x14ac:dyDescent="0.25">
      <c r="B13" s="313"/>
      <c r="C13" s="313"/>
      <c r="D13" s="313"/>
      <c r="E13" s="313"/>
      <c r="F13" s="313"/>
      <c r="G13" s="313"/>
      <c r="H13" s="313"/>
      <c r="I13" s="313"/>
      <c r="J13" s="313"/>
      <c r="K13" s="313"/>
      <c r="L13" s="313"/>
      <c r="M13" s="313"/>
    </row>
    <row r="14" spans="2:13" ht="15" customHeight="1" x14ac:dyDescent="0.25">
      <c r="B14" s="313"/>
      <c r="C14" s="313"/>
      <c r="D14" s="313"/>
      <c r="E14" s="313"/>
      <c r="F14" s="313"/>
      <c r="G14" s="313"/>
      <c r="H14" s="313"/>
      <c r="I14" s="313"/>
      <c r="J14" s="313"/>
      <c r="K14" s="313"/>
      <c r="L14" s="313"/>
      <c r="M14" s="313"/>
    </row>
    <row r="15" spans="2:13" ht="18.75" customHeight="1" x14ac:dyDescent="0.25">
      <c r="B15" s="313"/>
      <c r="C15" s="313"/>
      <c r="D15" s="313"/>
      <c r="E15" s="313"/>
      <c r="F15" s="313"/>
      <c r="G15" s="313"/>
      <c r="H15" s="313"/>
      <c r="I15" s="313"/>
      <c r="J15" s="313"/>
      <c r="K15" s="313"/>
      <c r="L15" s="313"/>
      <c r="M15" s="313"/>
    </row>
    <row r="16" spans="2:13" ht="18.75" customHeight="1" x14ac:dyDescent="0.25">
      <c r="B16" s="313"/>
      <c r="C16" s="313"/>
      <c r="D16" s="313"/>
      <c r="E16" s="313"/>
      <c r="F16" s="313"/>
      <c r="G16" s="313"/>
      <c r="H16" s="313"/>
      <c r="I16" s="313"/>
      <c r="J16" s="313"/>
      <c r="K16" s="313"/>
      <c r="L16" s="313"/>
      <c r="M16" s="313"/>
    </row>
    <row r="18" spans="2:13" ht="12" customHeight="1" x14ac:dyDescent="0.25">
      <c r="B18" s="313" t="s">
        <v>292</v>
      </c>
      <c r="C18" s="313"/>
      <c r="D18" s="313"/>
      <c r="E18" s="313"/>
      <c r="F18" s="313"/>
      <c r="G18" s="313"/>
      <c r="H18" s="313"/>
      <c r="I18" s="313"/>
      <c r="J18" s="313"/>
      <c r="K18" s="313"/>
      <c r="L18" s="313"/>
      <c r="M18" s="313"/>
    </row>
    <row r="19" spans="2:13" ht="12" customHeight="1" x14ac:dyDescent="0.25">
      <c r="B19" s="313"/>
      <c r="C19" s="313"/>
      <c r="D19" s="313"/>
      <c r="E19" s="313"/>
      <c r="F19" s="313"/>
      <c r="G19" s="313"/>
      <c r="H19" s="313"/>
      <c r="I19" s="313"/>
      <c r="J19" s="313"/>
      <c r="K19" s="313"/>
      <c r="L19" s="313"/>
      <c r="M19" s="313"/>
    </row>
    <row r="20" spans="2:13" ht="12" customHeight="1" x14ac:dyDescent="0.25">
      <c r="B20" s="313"/>
      <c r="C20" s="313"/>
      <c r="D20" s="313"/>
      <c r="E20" s="313"/>
      <c r="F20" s="313"/>
      <c r="G20" s="313"/>
      <c r="H20" s="313"/>
      <c r="I20" s="313"/>
      <c r="J20" s="313"/>
      <c r="K20" s="313"/>
      <c r="L20" s="313"/>
      <c r="M20" s="313"/>
    </row>
    <row r="21" spans="2:13" ht="12" customHeight="1" x14ac:dyDescent="0.25">
      <c r="B21" s="313"/>
      <c r="C21" s="313"/>
      <c r="D21" s="313"/>
      <c r="E21" s="313"/>
      <c r="F21" s="313"/>
      <c r="G21" s="313"/>
      <c r="H21" s="313"/>
      <c r="I21" s="313"/>
      <c r="J21" s="313"/>
      <c r="K21" s="313"/>
      <c r="L21" s="313"/>
      <c r="M21" s="313"/>
    </row>
    <row r="22" spans="2:13" ht="12" customHeight="1" x14ac:dyDescent="0.25">
      <c r="B22" s="313"/>
      <c r="C22" s="313"/>
      <c r="D22" s="313"/>
      <c r="E22" s="313"/>
      <c r="F22" s="313"/>
      <c r="G22" s="313"/>
      <c r="H22" s="313"/>
      <c r="I22" s="313"/>
      <c r="J22" s="313"/>
      <c r="K22" s="313"/>
      <c r="L22" s="313"/>
      <c r="M22" s="313"/>
    </row>
    <row r="23" spans="2:13" ht="12" customHeight="1" x14ac:dyDescent="0.25">
      <c r="B23" s="313"/>
      <c r="C23" s="313"/>
      <c r="D23" s="313"/>
      <c r="E23" s="313"/>
      <c r="F23" s="313"/>
      <c r="G23" s="313"/>
      <c r="H23" s="313"/>
      <c r="I23" s="313"/>
      <c r="J23" s="313"/>
      <c r="K23" s="313"/>
      <c r="L23" s="313"/>
      <c r="M23" s="313"/>
    </row>
    <row r="24" spans="2:13" ht="12" customHeight="1" x14ac:dyDescent="0.25">
      <c r="B24" s="313"/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</row>
    <row r="25" spans="2:13" ht="12" customHeight="1" x14ac:dyDescent="0.25">
      <c r="B25" s="313"/>
      <c r="C25" s="313"/>
      <c r="D25" s="313"/>
      <c r="E25" s="313"/>
      <c r="F25" s="313"/>
      <c r="G25" s="313"/>
      <c r="H25" s="313"/>
      <c r="I25" s="313"/>
      <c r="J25" s="313"/>
      <c r="K25" s="313"/>
      <c r="L25" s="313"/>
      <c r="M25" s="313"/>
    </row>
    <row r="26" spans="2:13" ht="12" customHeight="1" x14ac:dyDescent="0.25">
      <c r="B26" s="313"/>
      <c r="C26" s="313"/>
      <c r="D26" s="313"/>
      <c r="E26" s="313"/>
      <c r="F26" s="313"/>
      <c r="G26" s="313"/>
      <c r="H26" s="313"/>
      <c r="I26" s="313"/>
      <c r="J26" s="313"/>
      <c r="K26" s="313"/>
      <c r="L26" s="313"/>
      <c r="M26" s="313"/>
    </row>
    <row r="27" spans="2:13" ht="12" customHeight="1" x14ac:dyDescent="0.25">
      <c r="B27" s="313"/>
      <c r="C27" s="313"/>
      <c r="D27" s="313"/>
      <c r="E27" s="313"/>
      <c r="F27" s="313"/>
      <c r="G27" s="313"/>
      <c r="H27" s="313"/>
      <c r="I27" s="313"/>
      <c r="J27" s="313"/>
      <c r="K27" s="313"/>
      <c r="L27" s="313"/>
      <c r="M27" s="313"/>
    </row>
    <row r="28" spans="2:13" ht="12" customHeight="1" x14ac:dyDescent="0.25">
      <c r="B28" s="313"/>
      <c r="C28" s="313"/>
      <c r="D28" s="313"/>
      <c r="E28" s="313"/>
      <c r="F28" s="313"/>
      <c r="G28" s="313"/>
      <c r="H28" s="313"/>
      <c r="I28" s="313"/>
      <c r="J28" s="313"/>
      <c r="K28" s="313"/>
      <c r="L28" s="313"/>
      <c r="M28" s="313"/>
    </row>
    <row r="29" spans="2:13" ht="12" customHeight="1" x14ac:dyDescent="0.25">
      <c r="B29" s="313"/>
      <c r="C29" s="313"/>
      <c r="D29" s="313"/>
      <c r="E29" s="313"/>
      <c r="F29" s="313"/>
      <c r="G29" s="313"/>
      <c r="H29" s="313"/>
      <c r="I29" s="313"/>
      <c r="J29" s="313"/>
      <c r="K29" s="313"/>
      <c r="L29" s="313"/>
      <c r="M29" s="313"/>
    </row>
    <row r="30" spans="2:13" ht="12" customHeight="1" x14ac:dyDescent="0.25">
      <c r="B30" s="313"/>
      <c r="C30" s="313"/>
      <c r="D30" s="313"/>
      <c r="E30" s="313"/>
      <c r="F30" s="313"/>
      <c r="G30" s="313"/>
      <c r="H30" s="313"/>
      <c r="I30" s="313"/>
      <c r="J30" s="313"/>
      <c r="K30" s="313"/>
      <c r="L30" s="313"/>
      <c r="M30" s="313"/>
    </row>
    <row r="31" spans="2:13" ht="12" customHeight="1" x14ac:dyDescent="0.25">
      <c r="B31" s="313"/>
      <c r="C31" s="313"/>
      <c r="D31" s="313"/>
      <c r="E31" s="313"/>
      <c r="F31" s="313"/>
      <c r="G31" s="313"/>
      <c r="H31" s="313"/>
      <c r="I31" s="313"/>
      <c r="J31" s="313"/>
      <c r="K31" s="313"/>
      <c r="L31" s="313"/>
      <c r="M31" s="31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9" zoomScale="90" zoomScaleNormal="90" workbookViewId="0">
      <selection activeCell="E35" sqref="E3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318" t="s">
        <v>190</v>
      </c>
      <c r="D1" s="318"/>
      <c r="E1" s="31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19" t="s">
        <v>192</v>
      </c>
      <c r="C3" s="320"/>
      <c r="D3" s="320"/>
      <c r="E3" s="320"/>
      <c r="F3" s="32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25" t="s">
        <v>231</v>
      </c>
      <c r="B5" s="325"/>
      <c r="C5" s="26">
        <v>9.5</v>
      </c>
      <c r="D5" s="326" t="s">
        <v>229</v>
      </c>
      <c r="E5" s="32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23" t="s">
        <v>226</v>
      </c>
      <c r="B7" s="32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332</v>
      </c>
      <c r="C9" s="35">
        <v>0.47399999999999998</v>
      </c>
      <c r="D9" s="36">
        <f t="shared" ref="D9:D18" si="0">C9*$C$5</f>
        <v>4.5030000000000001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333</v>
      </c>
      <c r="C10" s="35">
        <v>0.11600000000000001</v>
      </c>
      <c r="D10" s="36">
        <f t="shared" si="0"/>
        <v>1.1020000000000001</v>
      </c>
      <c r="E10" s="37">
        <v>65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334</v>
      </c>
      <c r="C11" s="35">
        <v>0.41</v>
      </c>
      <c r="D11" s="36">
        <f t="shared" si="0"/>
        <v>3.8949999999999996</v>
      </c>
      <c r="E11" s="37">
        <v>30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9.5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22" t="s">
        <v>232</v>
      </c>
      <c r="B22" s="32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24" t="s">
        <v>227</v>
      </c>
      <c r="B30" s="32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314" t="s">
        <v>186</v>
      </c>
      <c r="D34" s="314"/>
      <c r="E34" s="315" t="s">
        <v>187</v>
      </c>
      <c r="F34" s="316"/>
      <c r="G34" s="316"/>
      <c r="H34" s="31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312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237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13.8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38</v>
      </c>
      <c r="B40" s="63">
        <v>338</v>
      </c>
      <c r="C40" s="63">
        <v>5</v>
      </c>
      <c r="D40" s="63">
        <v>338</v>
      </c>
      <c r="E40" s="54">
        <v>0.7</v>
      </c>
      <c r="F40" s="54"/>
      <c r="G40" s="54">
        <v>0.3</v>
      </c>
      <c r="H40" s="54"/>
      <c r="I40" s="52">
        <f t="shared" si="1"/>
        <v>12.625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sylvestre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314" t="s">
        <v>186</v>
      </c>
      <c r="D60" s="314"/>
      <c r="E60" s="315" t="s">
        <v>187</v>
      </c>
      <c r="F60" s="316"/>
      <c r="G60" s="316"/>
      <c r="H60" s="31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100</v>
      </c>
      <c r="C62" s="63">
        <v>1</v>
      </c>
      <c r="D62" s="63">
        <v>13</v>
      </c>
      <c r="E62" s="54"/>
      <c r="F62" s="54"/>
      <c r="G62" s="54">
        <v>1</v>
      </c>
      <c r="H62" s="54"/>
      <c r="I62" s="56">
        <f>IFERROR(B62/A62,"")</f>
        <v>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176</v>
      </c>
      <c r="C63" s="63">
        <v>2</v>
      </c>
      <c r="D63" s="63">
        <v>41</v>
      </c>
      <c r="E63" s="54"/>
      <c r="F63" s="54"/>
      <c r="G63" s="54">
        <v>1</v>
      </c>
      <c r="H63" s="54"/>
      <c r="I63" s="52">
        <f>IF(A63&lt;&gt;0,(B63-(B62-D62))/(A63-A62),"")</f>
        <v>17.8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237</v>
      </c>
      <c r="C64" s="63">
        <v>3</v>
      </c>
      <c r="D64" s="63">
        <v>58</v>
      </c>
      <c r="E64" s="54"/>
      <c r="F64" s="54">
        <v>0.2</v>
      </c>
      <c r="G64" s="54">
        <v>0.8</v>
      </c>
      <c r="H64" s="54"/>
      <c r="I64" s="52">
        <f>IF(A64&lt;&gt;0,(B64-(B63-D63))/(A64-A63),"")</f>
        <v>20.399999999999999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278</v>
      </c>
      <c r="C65" s="63">
        <v>4</v>
      </c>
      <c r="D65" s="63">
        <v>55</v>
      </c>
      <c r="E65" s="54"/>
      <c r="F65" s="54"/>
      <c r="G65" s="54"/>
      <c r="H65" s="54"/>
      <c r="I65" s="52">
        <f>IF(A65&lt;&gt;0,(B65-(B64-D64))/(A65-A64),"")</f>
        <v>19.8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314</v>
      </c>
      <c r="C66" s="63">
        <v>5</v>
      </c>
      <c r="D66" s="63">
        <v>51</v>
      </c>
      <c r="E66" s="54"/>
      <c r="F66" s="54"/>
      <c r="G66" s="54"/>
      <c r="H66" s="54"/>
      <c r="I66" s="52">
        <f t="shared" ref="I66:I81" si="2">IF(A66&lt;&gt;0,(B66-(B65-D65))/(A66-A65),"")</f>
        <v>18.2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342</v>
      </c>
      <c r="C67" s="63">
        <v>6</v>
      </c>
      <c r="D67" s="63">
        <v>45</v>
      </c>
      <c r="E67" s="54"/>
      <c r="F67" s="54"/>
      <c r="G67" s="54"/>
      <c r="H67" s="54"/>
      <c r="I67" s="52">
        <f t="shared" si="2"/>
        <v>15.8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380</v>
      </c>
      <c r="C68" s="63">
        <v>7</v>
      </c>
      <c r="D68" s="63">
        <v>42</v>
      </c>
      <c r="E68" s="54"/>
      <c r="F68" s="54"/>
      <c r="G68" s="54"/>
      <c r="H68" s="54"/>
      <c r="I68" s="52">
        <f t="shared" si="2"/>
        <v>16.600000000000001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412</v>
      </c>
      <c r="C69" s="53">
        <v>8</v>
      </c>
      <c r="D69" s="53">
        <v>33</v>
      </c>
      <c r="E69" s="54"/>
      <c r="F69" s="54"/>
      <c r="G69" s="54"/>
      <c r="H69" s="54"/>
      <c r="I69" s="52">
        <f t="shared" si="2"/>
        <v>14.8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433</v>
      </c>
      <c r="C70" s="53">
        <v>9</v>
      </c>
      <c r="D70" s="53">
        <v>20</v>
      </c>
      <c r="E70" s="54"/>
      <c r="F70" s="54"/>
      <c r="G70" s="54"/>
      <c r="H70" s="54"/>
      <c r="I70" s="52">
        <f t="shared" si="2"/>
        <v>10.8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458</v>
      </c>
      <c r="C71" s="53">
        <v>10</v>
      </c>
      <c r="D71" s="53">
        <v>458</v>
      </c>
      <c r="E71" s="54"/>
      <c r="F71" s="54"/>
      <c r="G71" s="54"/>
      <c r="H71" s="54"/>
      <c r="I71" s="52">
        <f t="shared" si="2"/>
        <v>9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taeda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314" t="s">
        <v>186</v>
      </c>
      <c r="D86" s="314"/>
      <c r="E86" s="315" t="s">
        <v>187</v>
      </c>
      <c r="F86" s="316"/>
      <c r="G86" s="316"/>
      <c r="H86" s="31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12</v>
      </c>
      <c r="B88" s="63">
        <v>106</v>
      </c>
      <c r="C88" s="63">
        <v>1</v>
      </c>
      <c r="D88" s="63">
        <v>34</v>
      </c>
      <c r="E88" s="54"/>
      <c r="F88" s="54"/>
      <c r="G88" s="54">
        <v>1</v>
      </c>
      <c r="H88" s="93"/>
      <c r="I88" s="56">
        <f>IFERROR(B88/A88,"")</f>
        <v>8.8333333333333339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17</v>
      </c>
      <c r="B89" s="63">
        <v>176</v>
      </c>
      <c r="C89" s="63">
        <v>2</v>
      </c>
      <c r="D89" s="63">
        <v>43</v>
      </c>
      <c r="E89" s="54">
        <v>0.2</v>
      </c>
      <c r="F89" s="54"/>
      <c r="G89" s="54">
        <v>0.8</v>
      </c>
      <c r="H89" s="93"/>
      <c r="I89" s="56">
        <f t="shared" ref="I89:I107" si="3">IF(A89&lt;&gt;0,(B89-(B88-D88))/(A89-A88),"")</f>
        <v>20.8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22</v>
      </c>
      <c r="B90" s="63">
        <v>232</v>
      </c>
      <c r="C90" s="63">
        <v>3</v>
      </c>
      <c r="D90" s="63">
        <v>56</v>
      </c>
      <c r="E90" s="54">
        <v>0.4</v>
      </c>
      <c r="F90" s="54"/>
      <c r="G90" s="54">
        <v>0.6</v>
      </c>
      <c r="H90" s="93"/>
      <c r="I90" s="56">
        <f t="shared" si="3"/>
        <v>19.8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3">
        <v>309</v>
      </c>
      <c r="C91" s="63">
        <v>4</v>
      </c>
      <c r="D91" s="63">
        <v>309</v>
      </c>
      <c r="E91" s="54">
        <v>0.4</v>
      </c>
      <c r="F91" s="54">
        <v>0.4</v>
      </c>
      <c r="G91" s="54">
        <v>0.2</v>
      </c>
      <c r="H91" s="93"/>
      <c r="I91" s="56">
        <f t="shared" si="3"/>
        <v>16.625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314" t="s">
        <v>186</v>
      </c>
      <c r="D112" s="314"/>
      <c r="E112" s="315" t="s">
        <v>187</v>
      </c>
      <c r="F112" s="316"/>
      <c r="G112" s="316"/>
      <c r="H112" s="31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314" t="s">
        <v>186</v>
      </c>
      <c r="D138" s="314"/>
      <c r="E138" s="315" t="s">
        <v>187</v>
      </c>
      <c r="F138" s="316"/>
      <c r="G138" s="316"/>
      <c r="H138" s="31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314" t="s">
        <v>186</v>
      </c>
      <c r="D164" s="314"/>
      <c r="E164" s="315" t="s">
        <v>187</v>
      </c>
      <c r="F164" s="316"/>
      <c r="G164" s="316"/>
      <c r="H164" s="31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314" t="s">
        <v>186</v>
      </c>
      <c r="D190" s="314"/>
      <c r="E190" s="315" t="s">
        <v>187</v>
      </c>
      <c r="F190" s="316"/>
      <c r="G190" s="316"/>
      <c r="H190" s="31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314" t="s">
        <v>186</v>
      </c>
      <c r="D216" s="314"/>
      <c r="E216" s="315" t="s">
        <v>187</v>
      </c>
      <c r="F216" s="316"/>
      <c r="G216" s="316"/>
      <c r="H216" s="31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314" t="s">
        <v>186</v>
      </c>
      <c r="D242" s="314"/>
      <c r="E242" s="315" t="s">
        <v>187</v>
      </c>
      <c r="F242" s="316"/>
      <c r="G242" s="316"/>
      <c r="H242" s="31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314" t="s">
        <v>186</v>
      </c>
      <c r="D268" s="314"/>
      <c r="E268" s="315" t="s">
        <v>187</v>
      </c>
      <c r="F268" s="316"/>
      <c r="G268" s="316"/>
      <c r="H268" s="31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31" t="s">
        <v>176</v>
      </c>
      <c r="C1" s="332"/>
      <c r="D1" s="332"/>
      <c r="E1" s="332"/>
      <c r="F1" s="332"/>
      <c r="G1" s="332"/>
      <c r="H1" s="333"/>
      <c r="I1" s="328" t="str">
        <f>IF('Données projet'!$B$9="","",'Données projet'!$B$9)</f>
        <v>pin maritime</v>
      </c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30"/>
      <c r="AD1" s="329" t="str">
        <f>IF('Données projet'!$B$10="","",'Données projet'!$B$10)</f>
        <v>pin sylvestre</v>
      </c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330"/>
      <c r="AY1" s="328" t="str">
        <f>IF('Données projet'!$B$11="","",'Données projet'!$B$11)</f>
        <v>pin taeda</v>
      </c>
      <c r="AZ1" s="329"/>
      <c r="BA1" s="329"/>
      <c r="BB1" s="329"/>
      <c r="BC1" s="329"/>
      <c r="BD1" s="329"/>
      <c r="BE1" s="329"/>
      <c r="BF1" s="329"/>
      <c r="BG1" s="329"/>
      <c r="BH1" s="329"/>
      <c r="BI1" s="329"/>
      <c r="BJ1" s="329"/>
      <c r="BK1" s="329"/>
      <c r="BL1" s="329"/>
      <c r="BM1" s="329"/>
      <c r="BN1" s="329"/>
      <c r="BO1" s="329"/>
      <c r="BP1" s="329"/>
      <c r="BQ1" s="329"/>
      <c r="BR1" s="329"/>
      <c r="BS1" s="330"/>
      <c r="BT1" s="328" t="str">
        <f>IF('Données projet'!$B$12="","",'Données projet'!$B$12)</f>
        <v/>
      </c>
      <c r="BU1" s="329"/>
      <c r="BV1" s="329"/>
      <c r="BW1" s="329"/>
      <c r="BX1" s="329"/>
      <c r="BY1" s="329"/>
      <c r="BZ1" s="329"/>
      <c r="CA1" s="329"/>
      <c r="CB1" s="329"/>
      <c r="CC1" s="329"/>
      <c r="CD1" s="329"/>
      <c r="CE1" s="329"/>
      <c r="CF1" s="329"/>
      <c r="CG1" s="329"/>
      <c r="CH1" s="329"/>
      <c r="CI1" s="329"/>
      <c r="CJ1" s="329"/>
      <c r="CK1" s="329"/>
      <c r="CL1" s="329"/>
      <c r="CM1" s="329"/>
      <c r="CN1" s="330"/>
      <c r="CO1" s="328" t="str">
        <f>IF('Données projet'!$B$13="","",'Données projet'!$B$13)</f>
        <v/>
      </c>
      <c r="CP1" s="329"/>
      <c r="CQ1" s="329"/>
      <c r="CR1" s="329"/>
      <c r="CS1" s="329"/>
      <c r="CT1" s="329"/>
      <c r="CU1" s="329"/>
      <c r="CV1" s="329"/>
      <c r="CW1" s="329"/>
      <c r="CX1" s="329"/>
      <c r="CY1" s="329"/>
      <c r="CZ1" s="329"/>
      <c r="DA1" s="329"/>
      <c r="DB1" s="329"/>
      <c r="DC1" s="329"/>
      <c r="DD1" s="329"/>
      <c r="DE1" s="329"/>
      <c r="DF1" s="329"/>
      <c r="DG1" s="329"/>
      <c r="DH1" s="329"/>
      <c r="DI1" s="330"/>
      <c r="DJ1" s="328" t="str">
        <f>IF('Données projet'!$B$14="","",'Données projet'!$B$14)</f>
        <v/>
      </c>
      <c r="DK1" s="329"/>
      <c r="DL1" s="329"/>
      <c r="DM1" s="329"/>
      <c r="DN1" s="329"/>
      <c r="DO1" s="329"/>
      <c r="DP1" s="329"/>
      <c r="DQ1" s="329"/>
      <c r="DR1" s="329"/>
      <c r="DS1" s="329"/>
      <c r="DT1" s="329"/>
      <c r="DU1" s="329"/>
      <c r="DV1" s="329"/>
      <c r="DW1" s="329"/>
      <c r="DX1" s="329"/>
      <c r="DY1" s="329"/>
      <c r="DZ1" s="329"/>
      <c r="EA1" s="329"/>
      <c r="EB1" s="329"/>
      <c r="EC1" s="329"/>
      <c r="ED1" s="330"/>
      <c r="EE1" s="328" t="str">
        <f>IF('Données projet'!$B$15="","",'Données projet'!$B$15)</f>
        <v/>
      </c>
      <c r="EF1" s="329"/>
      <c r="EG1" s="329"/>
      <c r="EH1" s="329"/>
      <c r="EI1" s="329"/>
      <c r="EJ1" s="329"/>
      <c r="EK1" s="329"/>
      <c r="EL1" s="329"/>
      <c r="EM1" s="329"/>
      <c r="EN1" s="329"/>
      <c r="EO1" s="329"/>
      <c r="EP1" s="329"/>
      <c r="EQ1" s="329"/>
      <c r="ER1" s="329"/>
      <c r="ES1" s="329"/>
      <c r="ET1" s="329"/>
      <c r="EU1" s="329"/>
      <c r="EV1" s="329"/>
      <c r="EW1" s="329"/>
      <c r="EX1" s="329"/>
      <c r="EY1" s="330"/>
      <c r="EZ1" s="328" t="str">
        <f>IF('Données projet'!$B$16="","",'Données projet'!$B$16)</f>
        <v/>
      </c>
      <c r="FA1" s="329"/>
      <c r="FB1" s="329"/>
      <c r="FC1" s="329"/>
      <c r="FD1" s="329"/>
      <c r="FE1" s="329"/>
      <c r="FF1" s="329"/>
      <c r="FG1" s="329"/>
      <c r="FH1" s="329"/>
      <c r="FI1" s="329"/>
      <c r="FJ1" s="329"/>
      <c r="FK1" s="329"/>
      <c r="FL1" s="329"/>
      <c r="FM1" s="329"/>
      <c r="FN1" s="329"/>
      <c r="FO1" s="329"/>
      <c r="FP1" s="329"/>
      <c r="FQ1" s="329"/>
      <c r="FR1" s="329"/>
      <c r="FS1" s="329"/>
      <c r="FT1" s="330"/>
      <c r="FU1" s="328" t="str">
        <f>IF('Données projet'!$B$17="","",'Données projet'!$B$17)</f>
        <v/>
      </c>
      <c r="FV1" s="329"/>
      <c r="FW1" s="329"/>
      <c r="FX1" s="329"/>
      <c r="FY1" s="329"/>
      <c r="FZ1" s="329"/>
      <c r="GA1" s="329"/>
      <c r="GB1" s="329"/>
      <c r="GC1" s="329"/>
      <c r="GD1" s="329"/>
      <c r="GE1" s="329"/>
      <c r="GF1" s="329"/>
      <c r="GG1" s="329"/>
      <c r="GH1" s="329"/>
      <c r="GI1" s="329"/>
      <c r="GJ1" s="329"/>
      <c r="GK1" s="329"/>
      <c r="GL1" s="329"/>
      <c r="GM1" s="329"/>
      <c r="GN1" s="329"/>
      <c r="GO1" s="330"/>
      <c r="GP1" s="328" t="str">
        <f>IF('Données projet'!$B$18="","",'Données projet'!$B$18)</f>
        <v/>
      </c>
      <c r="GQ1" s="329"/>
      <c r="GR1" s="329"/>
      <c r="GS1" s="329"/>
      <c r="GT1" s="329"/>
      <c r="GU1" s="329"/>
      <c r="GV1" s="329"/>
      <c r="GW1" s="329"/>
      <c r="GX1" s="329"/>
      <c r="GY1" s="329"/>
      <c r="GZ1" s="329"/>
      <c r="HA1" s="329"/>
      <c r="HB1" s="329"/>
      <c r="HC1" s="329"/>
      <c r="HD1" s="329"/>
      <c r="HE1" s="329"/>
      <c r="HF1" s="329"/>
      <c r="HG1" s="329"/>
      <c r="HH1" s="329"/>
      <c r="HI1" s="329"/>
      <c r="HJ1" s="330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160.22474733551678</v>
      </c>
      <c r="T3" s="62">
        <f>IF('Données projet'!E9&gt;30,$R$33-$H$33,LOOKUP('Données projet'!$E$9,$A$3:$A$203,R3:R203)-LOOKUP('Données projet'!$E$9,$A$3:$A$203,$H$3:$H$203))</f>
        <v>272.72162271905523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227.80096215475777</v>
      </c>
      <c r="AO3" s="62">
        <f>IF('Données projet'!E10&gt;30,$AM$33-$H$33,LOOKUP('Données projet'!$E$10,$A$3:$A$203,AM3:AM203)-LOOKUP('Données projet'!$E$10,$A$3:$A$203,$H$3:$H$203))</f>
        <v>259.52807665663926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149.5086927376081</v>
      </c>
      <c r="BJ3" s="62">
        <f>IF('Données projet'!E11&gt;30,$BH$33-$H$33,LOOKUP('Données projet'!$E$11,$A$3:$A$203,BH3:BH203)-LOOKUP('Données projet'!$E$11,$A$3:$A$203,$H$3:$H$203))</f>
        <v>364.59164590134498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160.22474733551678</v>
      </c>
      <c r="T4" s="62">
        <f>$T$3</f>
        <v>272.72162271905523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</v>
      </c>
      <c r="AI4" s="14">
        <f>IF('Données projet'!$A$62&gt;35,AI3+AH4-AQ3,IF(A4&lt;'Données projet'!$A$62,$AF$205^A4,IF(A4='Données projet'!$A$62,'Données projet'!$B$62,AI3+AH4-AQ3)))</f>
        <v>1.2589254117941673</v>
      </c>
      <c r="AJ4" s="14">
        <f>AI4*VLOOKUP('Données projet'!$B$10,Paramètres!$A$1:$I$89,3,0)*VLOOKUP('Données projet'!$B$10,Paramètres!$A$1:$I$89,5,0)</f>
        <v>0.72010533554626377</v>
      </c>
      <c r="AK4" s="14">
        <f>EXP(-1.0587+0.8836*LN(AJ4)+0.284)</f>
        <v>0.3447840731194225</v>
      </c>
      <c r="AL4" s="22">
        <f t="shared" ref="AL4:AL67" si="4">(AJ4+AK4)*0.475*44/12</f>
        <v>1.8546823867594033</v>
      </c>
      <c r="AM4" s="62">
        <f t="shared" ref="AM4:AM67" si="5">AL4+(AD4+AE4)*44/12</f>
        <v>295.18801572009272</v>
      </c>
      <c r="AN4" s="62">
        <f ca="1">AVERAGE(OFFSET($AM$3,0,0,'Données projet'!$E$10+1,1))-AVERAGE(OFFSET($H$3,0,0,'Données projet'!$E$10+1,1))</f>
        <v>227.80096215475777</v>
      </c>
      <c r="AO4" s="62">
        <f>$AO$3</f>
        <v>259.52807665663926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8.8333333333333339</v>
      </c>
      <c r="BD4" s="13">
        <f>IF('Données projet'!$A$88&gt;35,BD3+BC4-BL3,IF(A4&lt;'Données projet'!$A$88,$BA$205^A4,IF(A4='Données projet'!$A$88,'Données projet'!$B$88,BD3+BC4-BL3)))</f>
        <v>1.4749438547769935</v>
      </c>
      <c r="BE4" s="14">
        <f>BD4*VLOOKUP('Données projet'!$B$11,Paramètres!$A$1:$I$89,3,0)*VLOOKUP('Données projet'!$B$11,Paramètres!$A$1:$I$89,5,0)</f>
        <v>0.88201642515664225</v>
      </c>
      <c r="BF4" s="14">
        <f>EXP(-1.0587+0.8836*LN(BE4)+0.284)</f>
        <v>0.4124537465701128</v>
      </c>
      <c r="BG4" s="22">
        <f t="shared" ref="BG4:BG67" si="7">(BE4+BF4)*0.475*44/12</f>
        <v>2.254535549090765</v>
      </c>
      <c r="BH4" s="62">
        <f t="shared" ref="BH4:BH67" si="8">BG4+(AY4+AZ4)*44/12</f>
        <v>295.58786888242406</v>
      </c>
      <c r="BI4" s="62">
        <f ca="1">AVERAGE(OFFSET($BH$3,0,0,'Données projet'!$E$11+1,1))-AVERAGE(OFFSET($H$3,0,0,'Données projet'!$E$11+1,1))</f>
        <v>149.5086927376081</v>
      </c>
      <c r="BJ4" s="62">
        <f>$BJ$3</f>
        <v>364.59164590134498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160.22474733551678</v>
      </c>
      <c r="T5" s="62">
        <f t="shared" ref="T5:T68" si="34">$T$3</f>
        <v>272.72162271905523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</v>
      </c>
      <c r="AI5" s="14">
        <f>IF('Données projet'!$A$62&gt;35,AI4+AH5-AQ4,IF(A5&lt;'Données projet'!$A$62,$AF$205^A5,IF(A5='Données projet'!$A$62,'Données projet'!$B$62,AI4+AH5-AQ4)))</f>
        <v>1.5848931924611136</v>
      </c>
      <c r="AJ5" s="14">
        <f>AI5*VLOOKUP('Données projet'!$B$10,Paramètres!$A$1:$I$89,3,0)*VLOOKUP('Données projet'!$B$10,Paramètres!$A$1:$I$89,5,0)</f>
        <v>0.90655890608775702</v>
      </c>
      <c r="AK5" s="14">
        <f t="shared" ref="AK5:AK68" si="35">EXP(-1.0587+0.8836*LN(AJ5)+0.284)</f>
        <v>0.42257830414982089</v>
      </c>
      <c r="AL5" s="22">
        <f t="shared" si="4"/>
        <v>2.3149139744971143</v>
      </c>
      <c r="AM5" s="62">
        <f t="shared" si="5"/>
        <v>295.64824730783045</v>
      </c>
      <c r="AN5" s="62">
        <f ca="1">AVERAGE(OFFSET($AM$3,0,0,'Données projet'!$E$10+1,1))-AVERAGE(OFFSET($H$3,0,0,'Données projet'!$E$10+1,1))</f>
        <v>227.80096215475777</v>
      </c>
      <c r="AO5" s="62">
        <f t="shared" ref="AO5:AO68" si="36">$AO$3</f>
        <v>259.52807665663926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8.8333333333333339</v>
      </c>
      <c r="BD5" s="13">
        <f>IF('Données projet'!$A$88&gt;35,BD4+BC5-BL4,IF(A5&lt;'Données projet'!$A$88,$BA$205^A5,IF(A5='Données projet'!$A$88,'Données projet'!$B$88,BD4+BC5-BL4)))</f>
        <v>2.1754593747444169</v>
      </c>
      <c r="BE5" s="14">
        <f>BD5*VLOOKUP('Données projet'!$B$11,Paramètres!$A$1:$I$89,3,0)*VLOOKUP('Données projet'!$B$11,Paramètres!$A$1:$I$89,5,0)</f>
        <v>1.3009247060971614</v>
      </c>
      <c r="BF5" s="14">
        <f t="shared" ref="BF5:BF68" si="37">EXP(-1.0587+0.8836*LN(BE5)+0.284)</f>
        <v>0.58144049425293109</v>
      </c>
      <c r="BG5" s="22">
        <f t="shared" si="7"/>
        <v>3.2784527239430776</v>
      </c>
      <c r="BH5" s="62">
        <f t="shared" si="8"/>
        <v>296.61178605727639</v>
      </c>
      <c r="BI5" s="62">
        <f ca="1">AVERAGE(OFFSET($BH$3,0,0,'Données projet'!$E$11+1,1))-AVERAGE(OFFSET($H$3,0,0,'Données projet'!$E$11+1,1))</f>
        <v>149.5086927376081</v>
      </c>
      <c r="BJ5" s="62">
        <f t="shared" ref="BJ5:BJ68" si="38">$BJ$3</f>
        <v>364.59164590134498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160.22474733551678</v>
      </c>
      <c r="T6" s="62">
        <f t="shared" si="34"/>
        <v>272.72162271905523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</v>
      </c>
      <c r="AI6" s="14">
        <f>IF('Données projet'!$A$62&gt;35,AI5+AH6-AQ5,IF(A6&lt;'Données projet'!$A$62,$AF$205^A6,IF(A6='Données projet'!$A$62,'Données projet'!$B$62,AI5+AH6-AQ5)))</f>
        <v>1.99526231496888</v>
      </c>
      <c r="AJ6" s="14">
        <f>AI6*VLOOKUP('Données projet'!$B$10,Paramètres!$A$1:$I$89,3,0)*VLOOKUP('Données projet'!$B$10,Paramètres!$A$1:$I$89,5,0)</f>
        <v>1.1412900441621994</v>
      </c>
      <c r="AK6" s="14">
        <f t="shared" si="35"/>
        <v>0.51792538304484437</v>
      </c>
      <c r="AL6" s="22">
        <f t="shared" si="4"/>
        <v>2.8898002023856009</v>
      </c>
      <c r="AM6" s="62">
        <f t="shared" si="5"/>
        <v>296.22313353571894</v>
      </c>
      <c r="AN6" s="62">
        <f ca="1">AVERAGE(OFFSET($AM$3,0,0,'Données projet'!$E$10+1,1))-AVERAGE(OFFSET($H$3,0,0,'Données projet'!$E$10+1,1))</f>
        <v>227.80096215475777</v>
      </c>
      <c r="AO6" s="62">
        <f t="shared" si="36"/>
        <v>259.52807665663926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8.8333333333333339</v>
      </c>
      <c r="BD6" s="13">
        <f>IF('Données projet'!$A$88&gt;35,BD5+BC6-BL5,IF(A6&lt;'Données projet'!$A$88,$BA$205^A6,IF(A6='Données projet'!$A$88,'Données projet'!$B$88,BD5+BC6-BL5)))</f>
        <v>3.2086804360962784</v>
      </c>
      <c r="BE6" s="14">
        <f>BD6*VLOOKUP('Données projet'!$B$11,Paramètres!$A$1:$I$89,3,0)*VLOOKUP('Données projet'!$B$11,Paramètres!$A$1:$I$89,5,0)</f>
        <v>1.9187909007855746</v>
      </c>
      <c r="BF6" s="14">
        <f t="shared" si="37"/>
        <v>0.81966293473739615</v>
      </c>
      <c r="BG6" s="22">
        <f t="shared" si="7"/>
        <v>4.7694737635358404</v>
      </c>
      <c r="BH6" s="62">
        <f t="shared" si="8"/>
        <v>298.10280709686913</v>
      </c>
      <c r="BI6" s="62">
        <f ca="1">AVERAGE(OFFSET($BH$3,0,0,'Données projet'!$E$11+1,1))-AVERAGE(OFFSET($H$3,0,0,'Données projet'!$E$11+1,1))</f>
        <v>149.5086927376081</v>
      </c>
      <c r="BJ6" s="62">
        <f t="shared" si="38"/>
        <v>364.59164590134498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160.22474733551678</v>
      </c>
      <c r="T7" s="62">
        <f t="shared" si="34"/>
        <v>272.72162271905523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</v>
      </c>
      <c r="AI7" s="14">
        <f>IF('Données projet'!$A$62&gt;35,AI6+AH7-AQ6,IF(A7&lt;'Données projet'!$A$62,$AF$205^A7,IF(A7='Données projet'!$A$62,'Données projet'!$B$62,AI6+AH7-AQ6)))</f>
        <v>2.5118864315095806</v>
      </c>
      <c r="AJ7" s="14">
        <f>AI7*VLOOKUP('Données projet'!$B$10,Paramètres!$A$1:$I$89,3,0)*VLOOKUP('Données projet'!$B$10,Paramètres!$A$1:$I$89,5,0)</f>
        <v>1.4367990388234801</v>
      </c>
      <c r="AK7" s="14">
        <f t="shared" si="35"/>
        <v>0.63478578944517838</v>
      </c>
      <c r="AL7" s="22">
        <f t="shared" si="4"/>
        <v>3.608010242567913</v>
      </c>
      <c r="AM7" s="62">
        <f t="shared" si="5"/>
        <v>296.94134357590121</v>
      </c>
      <c r="AN7" s="62">
        <f ca="1">AVERAGE(OFFSET($AM$3,0,0,'Données projet'!$E$10+1,1))-AVERAGE(OFFSET($H$3,0,0,'Données projet'!$E$10+1,1))</f>
        <v>227.80096215475777</v>
      </c>
      <c r="AO7" s="62">
        <f t="shared" si="36"/>
        <v>259.52807665663926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8.8333333333333339</v>
      </c>
      <c r="BD7" s="13">
        <f>IF('Données projet'!$A$88&gt;35,BD6+BC7-BL6,IF(A7&lt;'Données projet'!$A$88,$BA$205^A7,IF(A7='Données projet'!$A$88,'Données projet'!$B$88,BD6+BC7-BL6)))</f>
        <v>4.7326234911633689</v>
      </c>
      <c r="BE7" s="14">
        <f>BD7*VLOOKUP('Données projet'!$B$11,Paramètres!$A$1:$I$89,3,0)*VLOOKUP('Données projet'!$B$11,Paramètres!$A$1:$I$89,5,0)</f>
        <v>2.8301088477156946</v>
      </c>
      <c r="BF7" s="14">
        <f t="shared" si="37"/>
        <v>1.1554876779704684</v>
      </c>
      <c r="BG7" s="22">
        <f t="shared" si="7"/>
        <v>6.9415806155700679</v>
      </c>
      <c r="BH7" s="62">
        <f t="shared" si="8"/>
        <v>300.27491394890336</v>
      </c>
      <c r="BI7" s="62">
        <f ca="1">AVERAGE(OFFSET($BH$3,0,0,'Données projet'!$E$11+1,1))-AVERAGE(OFFSET($H$3,0,0,'Données projet'!$E$11+1,1))</f>
        <v>149.5086927376081</v>
      </c>
      <c r="BJ7" s="62">
        <f t="shared" si="38"/>
        <v>364.59164590134498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160.22474733551678</v>
      </c>
      <c r="T8" s="62">
        <f t="shared" si="34"/>
        <v>272.72162271905523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</v>
      </c>
      <c r="AI8" s="14">
        <f>IF('Données projet'!$A$62&gt;35,AI7+AH8-AQ7,IF(A8&lt;'Données projet'!$A$62,$AF$205^A8,IF(A8='Données projet'!$A$62,'Données projet'!$B$62,AI7+AH8-AQ7)))</f>
        <v>3.16227766016838</v>
      </c>
      <c r="AJ8" s="14">
        <f>AI8*VLOOKUP('Données projet'!$B$10,Paramètres!$A$1:$I$89,3,0)*VLOOKUP('Données projet'!$B$10,Paramètres!$A$1:$I$89,5,0)</f>
        <v>1.8088228216163134</v>
      </c>
      <c r="AK8" s="14">
        <f t="shared" si="35"/>
        <v>0.7780136129119759</v>
      </c>
      <c r="AL8" s="22">
        <f t="shared" si="4"/>
        <v>4.50540679013677</v>
      </c>
      <c r="AM8" s="62">
        <f t="shared" si="5"/>
        <v>297.83874012347007</v>
      </c>
      <c r="AN8" s="62">
        <f ca="1">AVERAGE(OFFSET($AM$3,0,0,'Données projet'!$E$10+1,1))-AVERAGE(OFFSET($H$3,0,0,'Données projet'!$E$10+1,1))</f>
        <v>227.80096215475777</v>
      </c>
      <c r="AO8" s="62">
        <f t="shared" si="36"/>
        <v>259.52807665663926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8.8333333333333339</v>
      </c>
      <c r="BD8" s="13">
        <f>IF('Données projet'!$A$88&gt;35,BD7+BC8-BL7,IF(A8&lt;'Données projet'!$A$88,$BA$205^A8,IF(A8='Données projet'!$A$88,'Données projet'!$B$88,BD7+BC8-BL7)))</f>
        <v>6.9803539352646524</v>
      </c>
      <c r="BE8" s="14">
        <f>BD8*VLOOKUP('Données projet'!$B$11,Paramètres!$A$1:$I$89,3,0)*VLOOKUP('Données projet'!$B$11,Paramètres!$A$1:$I$89,5,0)</f>
        <v>4.1742516532882625</v>
      </c>
      <c r="BF8" s="14">
        <f t="shared" si="37"/>
        <v>1.6289034398869595</v>
      </c>
      <c r="BG8" s="22">
        <f t="shared" si="7"/>
        <v>10.107161787280178</v>
      </c>
      <c r="BH8" s="62">
        <f t="shared" si="8"/>
        <v>303.44049512061349</v>
      </c>
      <c r="BI8" s="62">
        <f ca="1">AVERAGE(OFFSET($BH$3,0,0,'Données projet'!$E$11+1,1))-AVERAGE(OFFSET($H$3,0,0,'Données projet'!$E$11+1,1))</f>
        <v>149.5086927376081</v>
      </c>
      <c r="BJ8" s="62">
        <f t="shared" si="38"/>
        <v>364.59164590134498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160.22474733551678</v>
      </c>
      <c r="T9" s="62">
        <f t="shared" si="34"/>
        <v>272.72162271905523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</v>
      </c>
      <c r="AI9" s="14">
        <f>IF('Données projet'!$A$62&gt;35,AI8+AH9-AQ8,IF(A9&lt;'Données projet'!$A$62,$AF$205^A9,IF(A9='Données projet'!$A$62,'Données projet'!$B$62,AI8+AH9-AQ8)))</f>
        <v>3.9810717055349736</v>
      </c>
      <c r="AJ9" s="14">
        <f>AI9*VLOOKUP('Données projet'!$B$10,Paramètres!$A$1:$I$89,3,0)*VLOOKUP('Données projet'!$B$10,Paramètres!$A$1:$I$89,5,0)</f>
        <v>2.2771730155660048</v>
      </c>
      <c r="AK9" s="14">
        <f t="shared" si="35"/>
        <v>0.95355817968987711</v>
      </c>
      <c r="AL9" s="22">
        <f t="shared" si="4"/>
        <v>5.626856831737328</v>
      </c>
      <c r="AM9" s="62">
        <f t="shared" si="5"/>
        <v>298.96019016507063</v>
      </c>
      <c r="AN9" s="62">
        <f ca="1">AVERAGE(OFFSET($AM$3,0,0,'Données projet'!$E$10+1,1))-AVERAGE(OFFSET($H$3,0,0,'Données projet'!$E$10+1,1))</f>
        <v>227.80096215475777</v>
      </c>
      <c r="AO9" s="62">
        <f t="shared" si="36"/>
        <v>259.52807665663926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8.8333333333333339</v>
      </c>
      <c r="BD9" s="13">
        <f>IF('Données projet'!$A$88&gt;35,BD8+BC9-BL8,IF(A9&lt;'Données projet'!$A$88,$BA$205^A9,IF(A9='Données projet'!$A$88,'Données projet'!$B$88,BD8+BC9-BL8)))</f>
        <v>10.295630140987003</v>
      </c>
      <c r="BE9" s="14">
        <f>BD9*VLOOKUP('Données projet'!$B$11,Paramètres!$A$1:$I$89,3,0)*VLOOKUP('Données projet'!$B$11,Paramètres!$A$1:$I$89,5,0)</f>
        <v>6.1567868243102275</v>
      </c>
      <c r="BF9" s="14">
        <f t="shared" si="37"/>
        <v>2.2962827445602434</v>
      </c>
      <c r="BG9" s="22">
        <f t="shared" si="7"/>
        <v>14.722429499116073</v>
      </c>
      <c r="BH9" s="62">
        <f t="shared" si="8"/>
        <v>308.05576283244937</v>
      </c>
      <c r="BI9" s="62">
        <f ca="1">AVERAGE(OFFSET($BH$3,0,0,'Données projet'!$E$11+1,1))-AVERAGE(OFFSET($H$3,0,0,'Données projet'!$E$11+1,1))</f>
        <v>149.5086927376081</v>
      </c>
      <c r="BJ9" s="62">
        <f t="shared" si="38"/>
        <v>364.59164590134498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160.22474733551678</v>
      </c>
      <c r="T10" s="62">
        <f t="shared" si="34"/>
        <v>272.72162271905523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</v>
      </c>
      <c r="AI10" s="14">
        <f>IF('Données projet'!$A$62&gt;35,AI9+AH10-AQ9,IF(A10&lt;'Données projet'!$A$62,$AF$205^A10,IF(A10='Données projet'!$A$62,'Données projet'!$B$62,AI9+AH10-AQ9)))</f>
        <v>5.0118723362727247</v>
      </c>
      <c r="AJ10" s="14">
        <f>AI10*VLOOKUP('Données projet'!$B$10,Paramètres!$A$1:$I$89,3,0)*VLOOKUP('Données projet'!$B$10,Paramètres!$A$1:$I$89,5,0)</f>
        <v>2.8667909763479988</v>
      </c>
      <c r="AK10" s="14">
        <f t="shared" si="35"/>
        <v>1.1687111728678028</v>
      </c>
      <c r="AL10" s="22">
        <f t="shared" si="4"/>
        <v>7.0284995765508542</v>
      </c>
      <c r="AM10" s="62">
        <f t="shared" si="5"/>
        <v>300.36183290988419</v>
      </c>
      <c r="AN10" s="62">
        <f ca="1">AVERAGE(OFFSET($AM$3,0,0,'Données projet'!$E$10+1,1))-AVERAGE(OFFSET($H$3,0,0,'Données projet'!$E$10+1,1))</f>
        <v>227.80096215475777</v>
      </c>
      <c r="AO10" s="62">
        <f t="shared" si="36"/>
        <v>259.52807665663926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8.8333333333333339</v>
      </c>
      <c r="BD10" s="13">
        <f>IF('Données projet'!$A$88&gt;35,BD9+BC10-BL9,IF(A10&lt;'Données projet'!$A$88,$BA$205^A10,IF(A10='Données projet'!$A$88,'Données projet'!$B$88,BD9+BC10-BL9)))</f>
        <v>15.18547640750557</v>
      </c>
      <c r="BE10" s="14">
        <f>BD10*VLOOKUP('Données projet'!$B$11,Paramètres!$A$1:$I$89,3,0)*VLOOKUP('Données projet'!$B$11,Paramètres!$A$1:$I$89,5,0)</f>
        <v>9.080914891688332</v>
      </c>
      <c r="BF10" s="14">
        <f t="shared" si="37"/>
        <v>3.2370945470721373</v>
      </c>
      <c r="BG10" s="22">
        <f t="shared" si="7"/>
        <v>21.45386643917448</v>
      </c>
      <c r="BH10" s="62">
        <f t="shared" si="8"/>
        <v>314.78719977250779</v>
      </c>
      <c r="BI10" s="62">
        <f ca="1">AVERAGE(OFFSET($BH$3,0,0,'Données projet'!$E$11+1,1))-AVERAGE(OFFSET($H$3,0,0,'Données projet'!$E$11+1,1))</f>
        <v>149.5086927376081</v>
      </c>
      <c r="BJ10" s="62">
        <f t="shared" si="38"/>
        <v>364.59164590134498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160.22474733551678</v>
      </c>
      <c r="T11" s="62">
        <f t="shared" si="34"/>
        <v>272.72162271905523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</v>
      </c>
      <c r="AI11" s="14">
        <f>IF('Données projet'!$A$62&gt;35,AI10+AH11-AQ10,IF(A11&lt;'Données projet'!$A$62,$AF$205^A11,IF(A11='Données projet'!$A$62,'Données projet'!$B$62,AI10+AH11-AQ10)))</f>
        <v>6.3095734448019352</v>
      </c>
      <c r="AJ11" s="14">
        <f>AI11*VLOOKUP('Données projet'!$B$10,Paramètres!$A$1:$I$89,3,0)*VLOOKUP('Données projet'!$B$10,Paramètres!$A$1:$I$89,5,0)</f>
        <v>3.609076010426707</v>
      </c>
      <c r="AK11" s="14">
        <f t="shared" si="35"/>
        <v>1.4324095106921089</v>
      </c>
      <c r="AL11" s="22">
        <f t="shared" si="4"/>
        <v>8.7805872826152704</v>
      </c>
      <c r="AM11" s="62">
        <f t="shared" si="5"/>
        <v>302.11392061594859</v>
      </c>
      <c r="AN11" s="62">
        <f ca="1">AVERAGE(OFFSET($AM$3,0,0,'Données projet'!$E$10+1,1))-AVERAGE(OFFSET($H$3,0,0,'Données projet'!$E$10+1,1))</f>
        <v>227.80096215475777</v>
      </c>
      <c r="AO11" s="62">
        <f t="shared" si="36"/>
        <v>259.52807665663926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8.8333333333333339</v>
      </c>
      <c r="BD11" s="13">
        <f>IF('Données projet'!$A$88&gt;35,BD10+BC11-BL10,IF(A11&lt;'Données projet'!$A$88,$BA$205^A11,IF(A11='Données projet'!$A$88,'Données projet'!$B$88,BD10+BC11-BL10)))</f>
        <v>22.397725109111352</v>
      </c>
      <c r="BE11" s="14">
        <f>BD11*VLOOKUP('Données projet'!$B$11,Paramètres!$A$1:$I$89,3,0)*VLOOKUP('Données projet'!$B$11,Paramètres!$A$1:$I$89,5,0)</f>
        <v>13.39383961524859</v>
      </c>
      <c r="BF11" s="14">
        <f t="shared" si="37"/>
        <v>4.5633670903584358</v>
      </c>
      <c r="BG11" s="22">
        <f t="shared" si="7"/>
        <v>31.275468345598899</v>
      </c>
      <c r="BH11" s="62">
        <f t="shared" si="8"/>
        <v>324.6088016789322</v>
      </c>
      <c r="BI11" s="62">
        <f ca="1">AVERAGE(OFFSET($BH$3,0,0,'Données projet'!$E$11+1,1))-AVERAGE(OFFSET($H$3,0,0,'Données projet'!$E$11+1,1))</f>
        <v>149.5086927376081</v>
      </c>
      <c r="BJ11" s="62">
        <f t="shared" si="38"/>
        <v>364.59164590134498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160.22474733551678</v>
      </c>
      <c r="T12" s="62">
        <f t="shared" si="34"/>
        <v>272.72162271905523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</v>
      </c>
      <c r="AI12" s="14">
        <f>IF('Données projet'!$A$62&gt;35,AI11+AH12-AQ11,IF(A12&lt;'Données projet'!$A$62,$AF$205^A12,IF(A12='Données projet'!$A$62,'Données projet'!$B$62,AI11+AH12-AQ11)))</f>
        <v>7.9432823472428185</v>
      </c>
      <c r="AJ12" s="14">
        <f>AI12*VLOOKUP('Données projet'!$B$10,Paramètres!$A$1:$I$89,3,0)*VLOOKUP('Données projet'!$B$10,Paramètres!$A$1:$I$89,5,0)</f>
        <v>4.5435575026228925</v>
      </c>
      <c r="AK12" s="14">
        <f t="shared" si="35"/>
        <v>1.7556065638411531</v>
      </c>
      <c r="AL12" s="22">
        <f t="shared" si="4"/>
        <v>10.97104408242488</v>
      </c>
      <c r="AM12" s="62">
        <f t="shared" si="5"/>
        <v>304.30437741575821</v>
      </c>
      <c r="AN12" s="62">
        <f ca="1">AVERAGE(OFFSET($AM$3,0,0,'Données projet'!$E$10+1,1))-AVERAGE(OFFSET($H$3,0,0,'Données projet'!$E$10+1,1))</f>
        <v>227.80096215475777</v>
      </c>
      <c r="AO12" s="62">
        <f t="shared" si="36"/>
        <v>259.52807665663926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8.8333333333333339</v>
      </c>
      <c r="BD12" s="13">
        <f>IF('Données projet'!$A$88&gt;35,BD11+BC12-BL11,IF(A12&lt;'Données projet'!$A$88,$BA$205^A12,IF(A12='Données projet'!$A$88,'Données projet'!$B$88,BD11+BC12-BL11)))</f>
        <v>33.035387010668153</v>
      </c>
      <c r="BE12" s="14">
        <f>BD12*VLOOKUP('Données projet'!$B$11,Paramètres!$A$1:$I$89,3,0)*VLOOKUP('Données projet'!$B$11,Paramètres!$A$1:$I$89,5,0)</f>
        <v>19.755161432379555</v>
      </c>
      <c r="BF12" s="14">
        <f t="shared" si="37"/>
        <v>6.433027796547198</v>
      </c>
      <c r="BG12" s="22">
        <f t="shared" si="7"/>
        <v>45.61109624038076</v>
      </c>
      <c r="BH12" s="62">
        <f t="shared" si="8"/>
        <v>338.94442957371405</v>
      </c>
      <c r="BI12" s="62">
        <f ca="1">AVERAGE(OFFSET($BH$3,0,0,'Données projet'!$E$11+1,1))-AVERAGE(OFFSET($H$3,0,0,'Données projet'!$E$11+1,1))</f>
        <v>149.5086927376081</v>
      </c>
      <c r="BJ12" s="62">
        <f t="shared" si="38"/>
        <v>364.59164590134498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160.22474733551678</v>
      </c>
      <c r="T13" s="62">
        <f t="shared" si="34"/>
        <v>272.72162271905523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</v>
      </c>
      <c r="AI13" s="14">
        <f>IF('Données projet'!$A$62&gt;35,AI12+AH13-AQ12,IF(A13&lt;'Données projet'!$A$62,$AF$205^A13,IF(A13='Données projet'!$A$62,'Données projet'!$B$62,AI12+AH13-AQ12)))</f>
        <v>10.000000000000005</v>
      </c>
      <c r="AJ13" s="14">
        <f>AI13*VLOOKUP('Données projet'!$B$10,Paramètres!$A$1:$I$89,3,0)*VLOOKUP('Données projet'!$B$10,Paramètres!$A$1:$I$89,5,0)</f>
        <v>5.7200000000000033</v>
      </c>
      <c r="AK13" s="14">
        <f t="shared" si="35"/>
        <v>2.1517271311001771</v>
      </c>
      <c r="AL13" s="22">
        <f t="shared" si="4"/>
        <v>13.709924753332814</v>
      </c>
      <c r="AM13" s="62">
        <f t="shared" si="5"/>
        <v>307.04325808666613</v>
      </c>
      <c r="AN13" s="62">
        <f ca="1">AVERAGE(OFFSET($AM$3,0,0,'Données projet'!$E$10+1,1))-AVERAGE(OFFSET($H$3,0,0,'Données projet'!$E$10+1,1))</f>
        <v>227.80096215475777</v>
      </c>
      <c r="AO13" s="62">
        <f t="shared" si="36"/>
        <v>259.52807665663926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8.8333333333333339</v>
      </c>
      <c r="BD13" s="13">
        <f>IF('Données projet'!$A$88&gt;35,BD12+BC13-BL12,IF(A13&lt;'Données projet'!$A$88,$BA$205^A13,IF(A13='Données projet'!$A$88,'Données projet'!$B$88,BD12+BC13-BL12)))</f>
        <v>48.725341061564706</v>
      </c>
      <c r="BE13" s="14">
        <f>BD13*VLOOKUP('Données projet'!$B$11,Paramètres!$A$1:$I$89,3,0)*VLOOKUP('Données projet'!$B$11,Paramètres!$A$1:$I$89,5,0)</f>
        <v>29.137753954815693</v>
      </c>
      <c r="BF13" s="14">
        <f t="shared" si="37"/>
        <v>9.0687086556296208</v>
      </c>
      <c r="BG13" s="22">
        <f t="shared" si="7"/>
        <v>66.542922379858922</v>
      </c>
      <c r="BH13" s="62">
        <f t="shared" si="8"/>
        <v>359.87625571319222</v>
      </c>
      <c r="BI13" s="62">
        <f ca="1">AVERAGE(OFFSET($BH$3,0,0,'Données projet'!$E$11+1,1))-AVERAGE(OFFSET($H$3,0,0,'Données projet'!$E$11+1,1))</f>
        <v>149.5086927376081</v>
      </c>
      <c r="BJ13" s="62">
        <f t="shared" si="38"/>
        <v>364.59164590134498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160.22474733551678</v>
      </c>
      <c r="T14" s="62">
        <f t="shared" si="34"/>
        <v>272.72162271905523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</v>
      </c>
      <c r="AI14" s="14">
        <f>IF('Données projet'!$A$62&gt;35,AI13+AH14-AQ13,IF(A14&lt;'Données projet'!$A$62,$AF$205^A14,IF(A14='Données projet'!$A$62,'Données projet'!$B$62,AI13+AH14-AQ13)))</f>
        <v>12.58925411794168</v>
      </c>
      <c r="AJ14" s="14">
        <f>AI14*VLOOKUP('Données projet'!$B$10,Paramètres!$A$1:$I$89,3,0)*VLOOKUP('Données projet'!$B$10,Paramètres!$A$1:$I$89,5,0)</f>
        <v>7.2010533554626415</v>
      </c>
      <c r="AK14" s="14">
        <f t="shared" si="35"/>
        <v>2.6372250719902839</v>
      </c>
      <c r="AL14" s="22">
        <f t="shared" si="4"/>
        <v>17.13500159448051</v>
      </c>
      <c r="AM14" s="62">
        <f t="shared" si="5"/>
        <v>310.46833492781383</v>
      </c>
      <c r="AN14" s="62">
        <f ca="1">AVERAGE(OFFSET($AM$3,0,0,'Données projet'!$E$10+1,1))-AVERAGE(OFFSET($H$3,0,0,'Données projet'!$E$10+1,1))</f>
        <v>227.80096215475777</v>
      </c>
      <c r="AO14" s="62">
        <f t="shared" si="36"/>
        <v>259.52807665663926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8.8333333333333339</v>
      </c>
      <c r="BD14" s="13">
        <f>IF('Données projet'!$A$88&gt;35,BD13+BC14-BL13,IF(A14&lt;'Données projet'!$A$88,$BA$205^A14,IF(A14='Données projet'!$A$88,'Données projet'!$B$88,BD13+BC14-BL13)))</f>
        <v>71.867142370667978</v>
      </c>
      <c r="BE14" s="14">
        <f>BD14*VLOOKUP('Données projet'!$B$11,Paramètres!$A$1:$I$89,3,0)*VLOOKUP('Données projet'!$B$11,Paramètres!$A$1:$I$89,5,0)</f>
        <v>42.976551137659456</v>
      </c>
      <c r="BF14" s="14">
        <f t="shared" si="37"/>
        <v>12.784256384658107</v>
      </c>
      <c r="BG14" s="22">
        <f t="shared" si="7"/>
        <v>97.116739768036425</v>
      </c>
      <c r="BH14" s="62">
        <f t="shared" si="8"/>
        <v>390.45007310136975</v>
      </c>
      <c r="BI14" s="62">
        <f ca="1">AVERAGE(OFFSET($BH$3,0,0,'Données projet'!$E$11+1,1))-AVERAGE(OFFSET($H$3,0,0,'Données projet'!$E$11+1,1))</f>
        <v>149.5086927376081</v>
      </c>
      <c r="BJ14" s="62">
        <f t="shared" si="38"/>
        <v>364.59164590134498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160.22474733551678</v>
      </c>
      <c r="T15" s="62">
        <f t="shared" si="34"/>
        <v>272.72162271905523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</v>
      </c>
      <c r="AI15" s="14">
        <f>IF('Données projet'!$A$62&gt;35,AI14+AH15-AQ14,IF(A15&lt;'Données projet'!$A$62,$AF$205^A15,IF(A15='Données projet'!$A$62,'Données projet'!$B$62,AI14+AH15-AQ14)))</f>
        <v>15.848931924611145</v>
      </c>
      <c r="AJ15" s="14">
        <f>AI15*VLOOKUP('Données projet'!$B$10,Paramètres!$A$1:$I$89,3,0)*VLOOKUP('Données projet'!$B$10,Paramètres!$A$1:$I$89,5,0)</f>
        <v>9.0655890608775742</v>
      </c>
      <c r="AK15" s="14">
        <f t="shared" si="35"/>
        <v>3.2322667590188776</v>
      </c>
      <c r="AL15" s="22">
        <f t="shared" si="4"/>
        <v>21.418765552986319</v>
      </c>
      <c r="AM15" s="62">
        <f t="shared" si="5"/>
        <v>314.75209888631963</v>
      </c>
      <c r="AN15" s="62">
        <f ca="1">AVERAGE(OFFSET($AM$3,0,0,'Données projet'!$E$10+1,1))-AVERAGE(OFFSET($H$3,0,0,'Données projet'!$E$10+1,1))</f>
        <v>227.80096215475777</v>
      </c>
      <c r="AO15" s="62">
        <f t="shared" si="36"/>
        <v>259.52807665663926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>
        <f>VLOOKUP(A15,'Données projet'!$A$87:$I$107,2,0)</f>
        <v>106</v>
      </c>
      <c r="BB15" s="13">
        <f>VLOOKUP(A15,'Données projet'!$A$87:$I$107,9,0)</f>
        <v>8.8333333333333339</v>
      </c>
      <c r="BC15" s="13">
        <f t="array" ref="BC15">INDEX(BB:BB,MIN(IF(ISNUMBER(BB15:BB211),ROW(BB15:BB211),"")))</f>
        <v>8.8333333333333339</v>
      </c>
      <c r="BD15" s="13">
        <f>IF('Données projet'!$A$88&gt;35,BD14+BC15-BL14,IF(A15&lt;'Données projet'!$A$88,$BA$205^A15,IF(A15='Données projet'!$A$88,'Données projet'!$B$88,BD14+BC15-BL14)))</f>
        <v>106</v>
      </c>
      <c r="BE15" s="14">
        <f>BD15*VLOOKUP('Données projet'!$B$11,Paramètres!$A$1:$I$89,3,0)*VLOOKUP('Données projet'!$B$11,Paramètres!$A$1:$I$89,5,0)</f>
        <v>63.388000000000012</v>
      </c>
      <c r="BF15" s="14">
        <f t="shared" si="37"/>
        <v>18.022104085041263</v>
      </c>
      <c r="BG15" s="22">
        <f t="shared" si="7"/>
        <v>141.78926461478019</v>
      </c>
      <c r="BH15" s="62">
        <f t="shared" si="8"/>
        <v>435.12259794811348</v>
      </c>
      <c r="BI15" s="62">
        <f ca="1">AVERAGE(OFFSET($BH$3,0,0,'Données projet'!$E$11+1,1))-AVERAGE(OFFSET($H$3,0,0,'Données projet'!$E$11+1,1))</f>
        <v>149.5086927376081</v>
      </c>
      <c r="BJ15" s="62">
        <f t="shared" si="38"/>
        <v>364.59164590134498</v>
      </c>
      <c r="BK15" s="16">
        <f>IF(ISNA(VLOOKUP(A15,'Données projet'!$A$87:$I$107,3,0)),0,VLOOKUP(A15,'Données projet'!$A$87:$I$107,3,0))</f>
        <v>1</v>
      </c>
      <c r="BL15" s="16">
        <f>IF(ISNA(VLOOKUP(A15,'Données projet'!$A$87:$I$107,4,0)),0,VLOOKUP(A15,'Données projet'!$A$87:$I$107,4,0))</f>
        <v>34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1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23.020547073308105</v>
      </c>
      <c r="BS15" s="24">
        <f t="shared" si="9"/>
        <v>23.020547073308105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160.22474733551678</v>
      </c>
      <c r="T16" s="62">
        <f t="shared" si="34"/>
        <v>272.72162271905523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</v>
      </c>
      <c r="AI16" s="14">
        <f>IF('Données projet'!$A$62&gt;35,AI15+AH16-AQ15,IF(A16&lt;'Données projet'!$A$62,$AF$205^A16,IF(A16='Données projet'!$A$62,'Données projet'!$B$62,AI15+AH16-AQ15)))</f>
        <v>19.952623149688808</v>
      </c>
      <c r="AJ16" s="14">
        <f>AI16*VLOOKUP('Données projet'!$B$10,Paramètres!$A$1:$I$89,3,0)*VLOOKUP('Données projet'!$B$10,Paramètres!$A$1:$I$89,5,0)</f>
        <v>11.412900441622</v>
      </c>
      <c r="AK16" s="14">
        <f t="shared" si="35"/>
        <v>3.9615687384519487</v>
      </c>
      <c r="AL16" s="22">
        <f t="shared" si="4"/>
        <v>26.77720048862879</v>
      </c>
      <c r="AM16" s="62">
        <f t="shared" si="5"/>
        <v>320.11053382196212</v>
      </c>
      <c r="AN16" s="62">
        <f ca="1">AVERAGE(OFFSET($AM$3,0,0,'Données projet'!$E$10+1,1))-AVERAGE(OFFSET($H$3,0,0,'Données projet'!$E$10+1,1))</f>
        <v>227.80096215475777</v>
      </c>
      <c r="AO16" s="62">
        <f t="shared" si="36"/>
        <v>259.52807665663926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20.8</v>
      </c>
      <c r="BD16" s="13">
        <f>IF('Données projet'!$A$88&gt;35,BD15+BC16-BL15,IF(A16&lt;'Données projet'!$A$88,$BA$205^A16,IF(A16='Données projet'!$A$88,'Données projet'!$B$88,BD15+BC16-BL15)))</f>
        <v>92.8</v>
      </c>
      <c r="BE16" s="14">
        <f>BD16*VLOOKUP('Données projet'!$B$11,Paramètres!$A$1:$I$89,3,0)*VLOOKUP('Données projet'!$B$11,Paramètres!$A$1:$I$89,5,0)</f>
        <v>55.494400000000006</v>
      </c>
      <c r="BF16" s="14">
        <f t="shared" si="37"/>
        <v>16.023988434505792</v>
      </c>
      <c r="BG16" s="22">
        <f t="shared" si="7"/>
        <v>124.5611931900976</v>
      </c>
      <c r="BH16" s="62">
        <f t="shared" si="8"/>
        <v>417.8945265234309</v>
      </c>
      <c r="BI16" s="62">
        <f ca="1">AVERAGE(OFFSET($BH$3,0,0,'Données projet'!$E$11+1,1))-AVERAGE(OFFSET($H$3,0,0,'Données projet'!$E$11+1,1))</f>
        <v>149.5086927376081</v>
      </c>
      <c r="BJ16" s="62">
        <f t="shared" si="38"/>
        <v>364.59164590134498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16.277984942160291</v>
      </c>
      <c r="BS16" s="24">
        <f t="shared" si="9"/>
        <v>16.277984942160291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160.22474733551678</v>
      </c>
      <c r="T17" s="62">
        <f t="shared" si="34"/>
        <v>272.72162271905523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</v>
      </c>
      <c r="AI17" s="14">
        <f>IF('Données projet'!$A$62&gt;35,AI16+AH17-AQ16,IF(A17&lt;'Données projet'!$A$62,$AF$205^A17,IF(A17='Données projet'!$A$62,'Données projet'!$B$62,AI16+AH17-AQ16)))</f>
        <v>25.11886431509582</v>
      </c>
      <c r="AJ17" s="14">
        <f>AI17*VLOOKUP('Données projet'!$B$10,Paramètres!$A$1:$I$89,3,0)*VLOOKUP('Données projet'!$B$10,Paramètres!$A$1:$I$89,5,0)</f>
        <v>14.367990388234809</v>
      </c>
      <c r="AK17" s="14">
        <f t="shared" si="35"/>
        <v>4.8554243939456079</v>
      </c>
      <c r="AL17" s="22">
        <f t="shared" si="4"/>
        <v>33.480780745630888</v>
      </c>
      <c r="AM17" s="62">
        <f t="shared" si="5"/>
        <v>326.81411407896422</v>
      </c>
      <c r="AN17" s="62">
        <f ca="1">AVERAGE(OFFSET($AM$3,0,0,'Données projet'!$E$10+1,1))-AVERAGE(OFFSET($H$3,0,0,'Données projet'!$E$10+1,1))</f>
        <v>227.80096215475777</v>
      </c>
      <c r="AO17" s="62">
        <f t="shared" si="36"/>
        <v>259.52807665663926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20.8</v>
      </c>
      <c r="BD17" s="13">
        <f>IF('Données projet'!$A$88&gt;35,BD16+BC17-BL16,IF(A17&lt;'Données projet'!$A$88,$BA$205^A17,IF(A17='Données projet'!$A$88,'Données projet'!$B$88,BD16+BC17-BL16)))</f>
        <v>113.6</v>
      </c>
      <c r="BE17" s="14">
        <f>BD17*VLOOKUP('Données projet'!$B$11,Paramètres!$A$1:$I$89,3,0)*VLOOKUP('Données projet'!$B$11,Paramètres!$A$1:$I$89,5,0)</f>
        <v>67.9328</v>
      </c>
      <c r="BF17" s="14">
        <f t="shared" si="37"/>
        <v>19.159206778906245</v>
      </c>
      <c r="BG17" s="22">
        <f t="shared" si="7"/>
        <v>151.68524513992836</v>
      </c>
      <c r="BH17" s="62">
        <f t="shared" si="8"/>
        <v>445.01857847326164</v>
      </c>
      <c r="BI17" s="62">
        <f ca="1">AVERAGE(OFFSET($BH$3,0,0,'Données projet'!$E$11+1,1))-AVERAGE(OFFSET($H$3,0,0,'Données projet'!$E$11+1,1))</f>
        <v>149.5086927376081</v>
      </c>
      <c r="BJ17" s="62">
        <f t="shared" si="38"/>
        <v>364.59164590134498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11.510273536654053</v>
      </c>
      <c r="BS17" s="24">
        <f t="shared" si="9"/>
        <v>11.510273536654053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160.22474733551678</v>
      </c>
      <c r="T18" s="62">
        <f t="shared" si="34"/>
        <v>272.72162271905523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</v>
      </c>
      <c r="AI18" s="14">
        <f>IF('Données projet'!$A$62&gt;35,AI17+AH18-AQ17,IF(A18&lt;'Données projet'!$A$62,$AF$205^A18,IF(A18='Données projet'!$A$62,'Données projet'!$B$62,AI17+AH18-AQ17)))</f>
        <v>31.622776601683817</v>
      </c>
      <c r="AJ18" s="14">
        <f>AI18*VLOOKUP('Données projet'!$B$10,Paramètres!$A$1:$I$89,3,0)*VLOOKUP('Données projet'!$B$10,Paramètres!$A$1:$I$89,5,0)</f>
        <v>18.088228216163142</v>
      </c>
      <c r="AK18" s="14">
        <f t="shared" si="35"/>
        <v>5.9509622580812449</v>
      </c>
      <c r="AL18" s="22">
        <f t="shared" si="4"/>
        <v>41.868256742642309</v>
      </c>
      <c r="AM18" s="62">
        <f t="shared" si="5"/>
        <v>335.20159007597562</v>
      </c>
      <c r="AN18" s="62">
        <f ca="1">AVERAGE(OFFSET($AM$3,0,0,'Données projet'!$E$10+1,1))-AVERAGE(OFFSET($H$3,0,0,'Données projet'!$E$10+1,1))</f>
        <v>227.80096215475777</v>
      </c>
      <c r="AO18" s="62">
        <f t="shared" si="36"/>
        <v>259.52807665663926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20.8</v>
      </c>
      <c r="BD18" s="13">
        <f>IF('Données projet'!$A$88&gt;35,BD17+BC18-BL17,IF(A18&lt;'Données projet'!$A$88,$BA$205^A18,IF(A18='Données projet'!$A$88,'Données projet'!$B$88,BD17+BC18-BL17)))</f>
        <v>134.4</v>
      </c>
      <c r="BE18" s="14">
        <f>BD18*VLOOKUP('Données projet'!$B$11,Paramètres!$A$1:$I$89,3,0)*VLOOKUP('Données projet'!$B$11,Paramètres!$A$1:$I$89,5,0)</f>
        <v>80.371200000000016</v>
      </c>
      <c r="BF18" s="14">
        <f t="shared" si="37"/>
        <v>22.227919990990831</v>
      </c>
      <c r="BG18" s="22">
        <f t="shared" si="7"/>
        <v>178.69346731764236</v>
      </c>
      <c r="BH18" s="62">
        <f t="shared" si="8"/>
        <v>472.0268006509757</v>
      </c>
      <c r="BI18" s="62">
        <f ca="1">AVERAGE(OFFSET($BH$3,0,0,'Données projet'!$E$11+1,1))-AVERAGE(OFFSET($H$3,0,0,'Données projet'!$E$11+1,1))</f>
        <v>149.5086927376081</v>
      </c>
      <c r="BJ18" s="62">
        <f t="shared" si="38"/>
        <v>364.59164590134498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8.1389924710801456</v>
      </c>
      <c r="BS18" s="24">
        <f t="shared" si="9"/>
        <v>8.1389924710801456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160.22474733551678</v>
      </c>
      <c r="T19" s="62">
        <f t="shared" si="34"/>
        <v>272.72162271905523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</v>
      </c>
      <c r="AI19" s="14">
        <f>IF('Données projet'!$A$62&gt;35,AI18+AH19-AQ18,IF(A19&lt;'Données projet'!$A$62,$AF$205^A19,IF(A19='Données projet'!$A$62,'Données projet'!$B$62,AI18+AH19-AQ18)))</f>
        <v>39.810717055349755</v>
      </c>
      <c r="AJ19" s="14">
        <f>AI19*VLOOKUP('Données projet'!$B$10,Paramètres!$A$1:$I$89,3,0)*VLOOKUP('Données projet'!$B$10,Paramètres!$A$1:$I$89,5,0)</f>
        <v>22.771730155660062</v>
      </c>
      <c r="AK19" s="14">
        <f t="shared" si="35"/>
        <v>7.2936882389243367</v>
      </c>
      <c r="AL19" s="22">
        <f t="shared" si="4"/>
        <v>52.363937037234486</v>
      </c>
      <c r="AM19" s="62">
        <f t="shared" si="5"/>
        <v>345.69727037056782</v>
      </c>
      <c r="AN19" s="62">
        <f ca="1">AVERAGE(OFFSET($AM$3,0,0,'Données projet'!$E$10+1,1))-AVERAGE(OFFSET($H$3,0,0,'Données projet'!$E$10+1,1))</f>
        <v>227.80096215475777</v>
      </c>
      <c r="AO19" s="62">
        <f t="shared" si="36"/>
        <v>259.52807665663926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20.8</v>
      </c>
      <c r="BD19" s="13">
        <f>IF('Données projet'!$A$88&gt;35,BD18+BC19-BL18,IF(A19&lt;'Données projet'!$A$88,$BA$205^A19,IF(A19='Données projet'!$A$88,'Données projet'!$B$88,BD18+BC19-BL18)))</f>
        <v>155.20000000000002</v>
      </c>
      <c r="BE19" s="14">
        <f>BD19*VLOOKUP('Données projet'!$B$11,Paramètres!$A$1:$I$89,3,0)*VLOOKUP('Données projet'!$B$11,Paramètres!$A$1:$I$89,5,0)</f>
        <v>92.809600000000017</v>
      </c>
      <c r="BF19" s="14">
        <f t="shared" si="37"/>
        <v>25.241615800824192</v>
      </c>
      <c r="BG19" s="22">
        <f t="shared" si="7"/>
        <v>205.60586751976882</v>
      </c>
      <c r="BH19" s="62">
        <f t="shared" si="8"/>
        <v>498.93920085310214</v>
      </c>
      <c r="BI19" s="62">
        <f ca="1">AVERAGE(OFFSET($BH$3,0,0,'Données projet'!$E$11+1,1))-AVERAGE(OFFSET($H$3,0,0,'Données projet'!$E$11+1,1))</f>
        <v>149.5086927376081</v>
      </c>
      <c r="BJ19" s="62">
        <f t="shared" si="38"/>
        <v>364.59164590134498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5.7551367683270263</v>
      </c>
      <c r="BS19" s="24">
        <f t="shared" si="9"/>
        <v>5.7551367683270263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160.22474733551678</v>
      </c>
      <c r="T20" s="62">
        <f t="shared" si="34"/>
        <v>272.72162271905523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</v>
      </c>
      <c r="AI20" s="14">
        <f>IF('Données projet'!$A$62&gt;35,AI19+AH20-AQ19,IF(A20&lt;'Données projet'!$A$62,$AF$205^A20,IF(A20='Données projet'!$A$62,'Données projet'!$B$62,AI19+AH20-AQ19)))</f>
        <v>50.118723362727266</v>
      </c>
      <c r="AJ20" s="14">
        <f>AI20*VLOOKUP('Données projet'!$B$10,Paramètres!$A$1:$I$89,3,0)*VLOOKUP('Données projet'!$B$10,Paramètres!$A$1:$I$89,5,0)</f>
        <v>28.667909763479997</v>
      </c>
      <c r="AK20" s="14">
        <f t="shared" si="35"/>
        <v>8.9393758218482908</v>
      </c>
      <c r="AL20" s="22">
        <f t="shared" si="4"/>
        <v>65.499355727780099</v>
      </c>
      <c r="AM20" s="62">
        <f t="shared" si="5"/>
        <v>358.8326890611134</v>
      </c>
      <c r="AN20" s="62">
        <f ca="1">AVERAGE(OFFSET($AM$3,0,0,'Données projet'!$E$10+1,1))-AVERAGE(OFFSET($H$3,0,0,'Données projet'!$E$10+1,1))</f>
        <v>227.80096215475777</v>
      </c>
      <c r="AO20" s="62">
        <f t="shared" si="36"/>
        <v>259.52807665663926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>
        <f>VLOOKUP(A20,'Données projet'!$A$87:$I$107,2,0)</f>
        <v>176</v>
      </c>
      <c r="BB20" s="13">
        <f>VLOOKUP(A20,'Données projet'!$A$87:$I$107,9,0)</f>
        <v>20.8</v>
      </c>
      <c r="BC20" s="13">
        <f t="array" ref="BC20">INDEX(BB:BB,MIN(IF(ISNUMBER(BB20:BB216),ROW(BB20:BB216),"")))</f>
        <v>20.8</v>
      </c>
      <c r="BD20" s="13">
        <f>IF('Données projet'!$A$88&gt;35,BD19+BC20-BL19,IF(A20&lt;'Données projet'!$A$88,$BA$205^A20,IF(A20='Données projet'!$A$88,'Données projet'!$B$88,BD19+BC20-BL19)))</f>
        <v>176.00000000000003</v>
      </c>
      <c r="BE20" s="14">
        <f>BD20*VLOOKUP('Données projet'!$B$11,Paramètres!$A$1:$I$89,3,0)*VLOOKUP('Données projet'!$B$11,Paramètres!$A$1:$I$89,5,0)</f>
        <v>105.24800000000003</v>
      </c>
      <c r="BF20" s="14">
        <f t="shared" si="37"/>
        <v>28.208515027560551</v>
      </c>
      <c r="BG20" s="22">
        <f t="shared" si="7"/>
        <v>232.43676367300134</v>
      </c>
      <c r="BH20" s="62">
        <f t="shared" si="8"/>
        <v>525.77009700633471</v>
      </c>
      <c r="BI20" s="62">
        <f ca="1">AVERAGE(OFFSET($BH$3,0,0,'Données projet'!$E$11+1,1))-AVERAGE(OFFSET($H$3,0,0,'Données projet'!$E$11+1,1))</f>
        <v>149.5086927376081</v>
      </c>
      <c r="BJ20" s="62">
        <f t="shared" si="38"/>
        <v>364.59164590134498</v>
      </c>
      <c r="BK20" s="16">
        <f>IF(ISNA(VLOOKUP(A20,'Données projet'!$A$87:$I$107,3,0)),0,VLOOKUP(A20,'Données projet'!$A$87:$I$107,3,0))</f>
        <v>2</v>
      </c>
      <c r="BL20" s="16">
        <f>IF(ISNA(VLOOKUP(A20,'Données projet'!$A$87:$I$107,4,0)),0,VLOOKUP(A20,'Données projet'!$A$87:$I$107,4,0))</f>
        <v>43</v>
      </c>
      <c r="BM20" s="17">
        <f>IF(ISNA(VLOOKUP(A20,'Données projet'!$A$87:$I$107,5,0)),0%,VLOOKUP(A20,'Données projet'!$A$87:$I$107,5,0)*VLOOKUP('Données projet'!$B$11,Paramètres!$A$1:$I$89,7,0))</f>
        <v>9.0000000000000011E-2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0.8</v>
      </c>
      <c r="BP20" s="23">
        <f>EXP(-LN(2)/35)*BP19+(1-EXP(-LN(2)/35))/(LN(2)/35)*BL20*BM20*VLOOKUP('Données projet'!$B$11,Paramètres!$A$1:$I$89,3,0)*0.475*44/12</f>
        <v>3.0700150566455107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27.360873274416509</v>
      </c>
      <c r="BS20" s="24">
        <f t="shared" si="9"/>
        <v>30.430888331062018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160.22474733551678</v>
      </c>
      <c r="T21" s="62">
        <f t="shared" si="34"/>
        <v>272.72162271905523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</v>
      </c>
      <c r="AI21" s="14">
        <f>IF('Données projet'!$A$62&gt;35,AI20+AH21-AQ20,IF(A21&lt;'Données projet'!$A$62,$AF$205^A21,IF(A21='Données projet'!$A$62,'Données projet'!$B$62,AI20+AH21-AQ20)))</f>
        <v>63.095734448019378</v>
      </c>
      <c r="AJ21" s="14">
        <f>AI21*VLOOKUP('Données projet'!$B$10,Paramètres!$A$1:$I$89,3,0)*VLOOKUP('Données projet'!$B$10,Paramètres!$A$1:$I$89,5,0)</f>
        <v>36.09076010426709</v>
      </c>
      <c r="AK21" s="14">
        <f t="shared" si="35"/>
        <v>10.956382760888511</v>
      </c>
      <c r="AL21" s="22">
        <f t="shared" si="4"/>
        <v>81.940440490146003</v>
      </c>
      <c r="AM21" s="62">
        <f t="shared" si="5"/>
        <v>375.2737738234793</v>
      </c>
      <c r="AN21" s="62">
        <f ca="1">AVERAGE(OFFSET($AM$3,0,0,'Données projet'!$E$10+1,1))-AVERAGE(OFFSET($H$3,0,0,'Données projet'!$E$10+1,1))</f>
        <v>227.80096215475777</v>
      </c>
      <c r="AO21" s="62">
        <f t="shared" si="36"/>
        <v>259.52807665663926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19.8</v>
      </c>
      <c r="BD21" s="13">
        <f>IF('Données projet'!$A$88&gt;35,BD20+BC21-BL20,IF(A21&lt;'Données projet'!$A$88,$BA$205^A21,IF(A21='Données projet'!$A$88,'Données projet'!$B$88,BD20+BC21-BL20)))</f>
        <v>152.80000000000004</v>
      </c>
      <c r="BE21" s="14">
        <f>BD21*VLOOKUP('Données projet'!$B$11,Paramètres!$A$1:$I$89,3,0)*VLOOKUP('Données projet'!$B$11,Paramètres!$A$1:$I$89,5,0)</f>
        <v>91.374400000000037</v>
      </c>
      <c r="BF21" s="14">
        <f t="shared" si="37"/>
        <v>24.89640423383166</v>
      </c>
      <c r="BG21" s="22">
        <f t="shared" si="7"/>
        <v>202.50498404059022</v>
      </c>
      <c r="BH21" s="62">
        <f t="shared" si="8"/>
        <v>495.83831737392353</v>
      </c>
      <c r="BI21" s="62">
        <f ca="1">AVERAGE(OFFSET($BH$3,0,0,'Données projet'!$E$11+1,1))-AVERAGE(OFFSET($H$3,0,0,'Données projet'!$E$11+1,1))</f>
        <v>149.5086927376081</v>
      </c>
      <c r="BJ21" s="62">
        <f t="shared" si="38"/>
        <v>364.59164590134498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3.0098139339089802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19.347059031525692</v>
      </c>
      <c r="BS21" s="24">
        <f t="shared" si="9"/>
        <v>22.356872965434672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160.22474733551678</v>
      </c>
      <c r="T22" s="62">
        <f t="shared" si="34"/>
        <v>272.72162271905523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</v>
      </c>
      <c r="AI22" s="14">
        <f>IF('Données projet'!$A$62&gt;35,AI21+AH22-AQ21,IF(A22&lt;'Données projet'!$A$62,$AF$205^A22,IF(A22='Données projet'!$A$62,'Données projet'!$B$62,AI21+AH22-AQ21)))</f>
        <v>79.432823472428225</v>
      </c>
      <c r="AJ22" s="14">
        <f>AI22*VLOOKUP('Données projet'!$B$10,Paramètres!$A$1:$I$89,3,0)*VLOOKUP('Données projet'!$B$10,Paramètres!$A$1:$I$89,5,0)</f>
        <v>45.435575026228953</v>
      </c>
      <c r="AK22" s="14">
        <f t="shared" si="35"/>
        <v>13.428490489202309</v>
      </c>
      <c r="AL22" s="22">
        <f t="shared" si="4"/>
        <v>102.52158077270944</v>
      </c>
      <c r="AM22" s="62">
        <f t="shared" si="5"/>
        <v>395.85491410604277</v>
      </c>
      <c r="AN22" s="62">
        <f ca="1">AVERAGE(OFFSET($AM$3,0,0,'Données projet'!$E$10+1,1))-AVERAGE(OFFSET($H$3,0,0,'Données projet'!$E$10+1,1))</f>
        <v>227.80096215475777</v>
      </c>
      <c r="AO22" s="62">
        <f t="shared" si="36"/>
        <v>259.52807665663926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19.8</v>
      </c>
      <c r="BD22" s="13">
        <f>IF('Données projet'!$A$88&gt;35,BD21+BC22-BL21,IF(A22&lt;'Données projet'!$A$88,$BA$205^A22,IF(A22='Données projet'!$A$88,'Données projet'!$B$88,BD21+BC22-BL21)))</f>
        <v>172.60000000000005</v>
      </c>
      <c r="BE22" s="14">
        <f>BD22*VLOOKUP('Données projet'!$B$11,Paramètres!$A$1:$I$89,3,0)*VLOOKUP('Données projet'!$B$11,Paramètres!$A$1:$I$89,5,0)</f>
        <v>103.21480000000004</v>
      </c>
      <c r="BF22" s="14">
        <f t="shared" si="37"/>
        <v>27.726463199430338</v>
      </c>
      <c r="BG22" s="22">
        <f t="shared" si="7"/>
        <v>228.05603340567458</v>
      </c>
      <c r="BH22" s="62">
        <f t="shared" si="8"/>
        <v>521.38936673900787</v>
      </c>
      <c r="BI22" s="62">
        <f ca="1">AVERAGE(OFFSET($BH$3,0,0,'Données projet'!$E$11+1,1))-AVERAGE(OFFSET($H$3,0,0,'Données projet'!$E$11+1,1))</f>
        <v>149.5086927376081</v>
      </c>
      <c r="BJ22" s="62">
        <f t="shared" si="38"/>
        <v>364.59164590134498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2.9507933184702542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13.680436637208256</v>
      </c>
      <c r="BS22" s="24">
        <f t="shared" si="9"/>
        <v>16.63122995567851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160.22474733551678</v>
      </c>
      <c r="T23" s="62">
        <f t="shared" si="34"/>
        <v>272.72162271905523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100</v>
      </c>
      <c r="AG23" s="13">
        <f>VLOOKUP(A23,'Données projet'!$A$61:$I$81,9,0)</f>
        <v>5</v>
      </c>
      <c r="AH23" s="13">
        <f t="array" ref="AH23">INDEX(AG:AG,MIN(IF(ISNUMBER(AG23:AG219),ROW(AG23:AG219),"")))</f>
        <v>5</v>
      </c>
      <c r="AI23" s="14">
        <f>IF('Données projet'!$A$62&gt;35,AI22+AH23-AQ22,IF(A23&lt;'Données projet'!$A$62,$AF$205^A23,IF(A23='Données projet'!$A$62,'Données projet'!$B$62,AI22+AH23-AQ22)))</f>
        <v>100</v>
      </c>
      <c r="AJ23" s="14">
        <f>AI23*VLOOKUP('Données projet'!$B$10,Paramètres!$A$1:$I$89,3,0)*VLOOKUP('Données projet'!$B$10,Paramètres!$A$1:$I$89,5,0)</f>
        <v>57.2</v>
      </c>
      <c r="AK23" s="14">
        <f t="shared" si="35"/>
        <v>16.458384190657213</v>
      </c>
      <c r="AL23" s="22">
        <f t="shared" si="4"/>
        <v>128.28835246539464</v>
      </c>
      <c r="AM23" s="62">
        <f t="shared" si="5"/>
        <v>421.62168579872798</v>
      </c>
      <c r="AN23" s="62">
        <f ca="1">AVERAGE(OFFSET($AM$3,0,0,'Données projet'!$E$10+1,1))-AVERAGE(OFFSET($H$3,0,0,'Données projet'!$E$10+1,1))</f>
        <v>227.80096215475777</v>
      </c>
      <c r="AO23" s="62">
        <f t="shared" si="36"/>
        <v>259.52807665663926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13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1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8.4192793644068011</v>
      </c>
      <c r="AX23" s="23">
        <f t="shared" si="6"/>
        <v>8.4192793644068011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19.8</v>
      </c>
      <c r="BD23" s="13">
        <f>IF('Données projet'!$A$88&gt;35,BD22+BC23-BL22,IF(A23&lt;'Données projet'!$A$88,$BA$205^A23,IF(A23='Données projet'!$A$88,'Données projet'!$B$88,BD22+BC23-BL22)))</f>
        <v>192.40000000000006</v>
      </c>
      <c r="BE23" s="14">
        <f>BD23*VLOOKUP('Données projet'!$B$11,Paramètres!$A$1:$I$89,3,0)*VLOOKUP('Données projet'!$B$11,Paramètres!$A$1:$I$89,5,0)</f>
        <v>115.05520000000004</v>
      </c>
      <c r="BF23" s="14">
        <f t="shared" si="37"/>
        <v>30.5188966745568</v>
      </c>
      <c r="BG23" s="22">
        <f t="shared" si="7"/>
        <v>253.54155170818649</v>
      </c>
      <c r="BH23" s="62">
        <f t="shared" si="8"/>
        <v>546.87488504151975</v>
      </c>
      <c r="BI23" s="62">
        <f ca="1">AVERAGE(OFFSET($BH$3,0,0,'Données projet'!$E$11+1,1))-AVERAGE(OFFSET($H$3,0,0,'Données projet'!$E$11+1,1))</f>
        <v>149.5086927376081</v>
      </c>
      <c r="BJ23" s="62">
        <f t="shared" si="38"/>
        <v>364.59164590134498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2.8929300613012607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9.6735295157628478</v>
      </c>
      <c r="BS23" s="24">
        <f t="shared" si="9"/>
        <v>12.566459577064109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160.22474733551678</v>
      </c>
      <c r="T24" s="62">
        <f t="shared" si="34"/>
        <v>272.72162271905523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17.8</v>
      </c>
      <c r="AI24" s="14">
        <f>IF('Données projet'!$A$62&gt;35,AI23+AH24-AQ23,IF(A24&lt;'Données projet'!$A$62,$AF$205^A24,IF(A24='Données projet'!$A$62,'Données projet'!$B$62,AI23+AH24-AQ23)))</f>
        <v>104.8</v>
      </c>
      <c r="AJ24" s="14">
        <f>AI24*VLOOKUP('Données projet'!$B$10,Paramètres!$A$1:$I$89,3,0)*VLOOKUP('Données projet'!$B$10,Paramètres!$A$1:$I$89,5,0)</f>
        <v>59.945600000000006</v>
      </c>
      <c r="AK24" s="14">
        <f t="shared" si="35"/>
        <v>17.154514259680337</v>
      </c>
      <c r="AL24" s="22">
        <f t="shared" si="4"/>
        <v>134.28269900227659</v>
      </c>
      <c r="AM24" s="62">
        <f t="shared" si="5"/>
        <v>427.61603233560993</v>
      </c>
      <c r="AN24" s="62">
        <f ca="1">AVERAGE(OFFSET($AM$3,0,0,'Données projet'!$E$10+1,1))-AVERAGE(OFFSET($H$3,0,0,'Données projet'!$E$10+1,1))</f>
        <v>227.80096215475777</v>
      </c>
      <c r="AO24" s="62">
        <f t="shared" si="36"/>
        <v>259.52807665663926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5.9533295312760153</v>
      </c>
      <c r="AX24" s="23">
        <f t="shared" si="6"/>
        <v>5.9533295312760153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19.8</v>
      </c>
      <c r="BD24" s="13">
        <f>IF('Données projet'!$A$88&gt;35,BD23+BC24-BL23,IF(A24&lt;'Données projet'!$A$88,$BA$205^A24,IF(A24='Données projet'!$A$88,'Données projet'!$B$88,BD23+BC24-BL23)))</f>
        <v>212.20000000000007</v>
      </c>
      <c r="BE24" s="14">
        <f>BD24*VLOOKUP('Données projet'!$B$11,Paramètres!$A$1:$I$89,3,0)*VLOOKUP('Données projet'!$B$11,Paramètres!$A$1:$I$89,5,0)</f>
        <v>126.89560000000006</v>
      </c>
      <c r="BF24" s="14">
        <f t="shared" si="37"/>
        <v>33.278017701950326</v>
      </c>
      <c r="BG24" s="22">
        <f t="shared" si="7"/>
        <v>278.96905083089689</v>
      </c>
      <c r="BH24" s="62">
        <f t="shared" si="8"/>
        <v>572.30238416423026</v>
      </c>
      <c r="BI24" s="62">
        <f ca="1">AVERAGE(OFFSET($BH$3,0,0,'Données projet'!$E$11+1,1))-AVERAGE(OFFSET($H$3,0,0,'Données projet'!$E$11+1,1))</f>
        <v>149.5086927376081</v>
      </c>
      <c r="BJ24" s="62">
        <f t="shared" si="38"/>
        <v>364.59164590134498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2.8362014673122493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6.8402183186041299</v>
      </c>
      <c r="BS24" s="24">
        <f t="shared" si="9"/>
        <v>9.6764197859163801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160.22474733551678</v>
      </c>
      <c r="T25" s="62">
        <f t="shared" si="34"/>
        <v>272.72162271905523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17.8</v>
      </c>
      <c r="AI25" s="14">
        <f>IF('Données projet'!$A$62&gt;35,AI24+AH25-AQ24,IF(A25&lt;'Données projet'!$A$62,$AF$205^A25,IF(A25='Données projet'!$A$62,'Données projet'!$B$62,AI24+AH25-AQ24)))</f>
        <v>122.6</v>
      </c>
      <c r="AJ25" s="14">
        <f>AI25*VLOOKUP('Données projet'!$B$10,Paramètres!$A$1:$I$89,3,0)*VLOOKUP('Données projet'!$B$10,Paramètres!$A$1:$I$89,5,0)</f>
        <v>70.127200000000002</v>
      </c>
      <c r="AK25" s="14">
        <f t="shared" si="35"/>
        <v>19.705042476026961</v>
      </c>
      <c r="AL25" s="22">
        <f t="shared" si="4"/>
        <v>156.45782231241364</v>
      </c>
      <c r="AM25" s="62">
        <f t="shared" si="5"/>
        <v>449.79115564574693</v>
      </c>
      <c r="AN25" s="62">
        <f ca="1">AVERAGE(OFFSET($AM$3,0,0,'Données projet'!$E$10+1,1))-AVERAGE(OFFSET($H$3,0,0,'Données projet'!$E$10+1,1))</f>
        <v>227.80096215475777</v>
      </c>
      <c r="AO25" s="62">
        <f t="shared" si="36"/>
        <v>259.52807665663926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4.2096396822034015</v>
      </c>
      <c r="AX25" s="23">
        <f t="shared" si="6"/>
        <v>4.2096396822034015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>
        <f>VLOOKUP(A25,'Données projet'!$A$87:$I$107,2,0)</f>
        <v>232</v>
      </c>
      <c r="BB25" s="13">
        <f>VLOOKUP(A25,'Données projet'!$A$87:$I$107,9,0)</f>
        <v>19.8</v>
      </c>
      <c r="BC25" s="13">
        <f t="array" ref="BC25">INDEX(BB:BB,MIN(IF(ISNUMBER(BB25:BB221),ROW(BB25:BB221),"")))</f>
        <v>19.8</v>
      </c>
      <c r="BD25" s="13">
        <f>IF('Données projet'!$A$88&gt;35,BD24+BC25-BL24,IF(A25&lt;'Données projet'!$A$88,$BA$205^A25,IF(A25='Données projet'!$A$88,'Données projet'!$B$88,BD24+BC25-BL24)))</f>
        <v>232.00000000000009</v>
      </c>
      <c r="BE25" s="14">
        <f>BD25*VLOOKUP('Données projet'!$B$11,Paramètres!$A$1:$I$89,3,0)*VLOOKUP('Données projet'!$B$11,Paramètres!$A$1:$I$89,5,0)</f>
        <v>138.73600000000005</v>
      </c>
      <c r="BF25" s="14">
        <f t="shared" si="37"/>
        <v>36.007288175538072</v>
      </c>
      <c r="BG25" s="22">
        <f t="shared" si="7"/>
        <v>304.34456023906222</v>
      </c>
      <c r="BH25" s="62">
        <f t="shared" si="8"/>
        <v>597.67789357239553</v>
      </c>
      <c r="BI25" s="62">
        <f ca="1">AVERAGE(OFFSET($BH$3,0,0,'Données projet'!$E$11+1,1))-AVERAGE(OFFSET($H$3,0,0,'Données projet'!$E$11+1,1))</f>
        <v>149.5086927376081</v>
      </c>
      <c r="BJ25" s="62">
        <f t="shared" si="38"/>
        <v>364.59164590134498</v>
      </c>
      <c r="BK25" s="16">
        <f>IF(ISNA(VLOOKUP(A25,'Données projet'!$A$87:$I$107,3,0)),0,VLOOKUP(A25,'Données projet'!$A$87:$I$107,3,0))</f>
        <v>3</v>
      </c>
      <c r="BL25" s="16">
        <f>IF(ISNA(VLOOKUP(A25,'Données projet'!$A$87:$I$107,4,0)),0,VLOOKUP(A25,'Données projet'!$A$87:$I$107,4,0))</f>
        <v>56</v>
      </c>
      <c r="BM25" s="17">
        <f>IF(ISNA(VLOOKUP(A25,'Données projet'!$A$87:$I$107,5,0)),0%,VLOOKUP(A25,'Données projet'!$A$87:$I$107,5,0)*VLOOKUP('Données projet'!$B$11,Paramètres!$A$1:$I$89,7,0))</f>
        <v>0.18000000000000002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0.6</v>
      </c>
      <c r="BP25" s="23">
        <f>EXP(-LN(2)/35)*BP24+(1-EXP(-LN(2)/35))/(LN(2)/35)*BL25*BM25*VLOOKUP('Données projet'!$B$11,Paramètres!$A$1:$I$89,3,0)*0.475*44/12</f>
        <v>10.776903573527015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27.586481865621199</v>
      </c>
      <c r="BS25" s="24">
        <f t="shared" si="9"/>
        <v>38.363385439148217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160.22474733551678</v>
      </c>
      <c r="T26" s="62">
        <f t="shared" si="34"/>
        <v>272.72162271905523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17.8</v>
      </c>
      <c r="AI26" s="14">
        <f>IF('Données projet'!$A$62&gt;35,AI25+AH26-AQ25,IF(A26&lt;'Données projet'!$A$62,$AF$205^A26,IF(A26='Données projet'!$A$62,'Données projet'!$B$62,AI25+AH26-AQ25)))</f>
        <v>140.4</v>
      </c>
      <c r="AJ26" s="14">
        <f>AI26*VLOOKUP('Données projet'!$B$10,Paramètres!$A$1:$I$89,3,0)*VLOOKUP('Données projet'!$B$10,Paramètres!$A$1:$I$89,5,0)</f>
        <v>80.308800000000005</v>
      </c>
      <c r="AK26" s="14">
        <f t="shared" si="35"/>
        <v>22.212670396389218</v>
      </c>
      <c r="AL26" s="22">
        <f t="shared" si="4"/>
        <v>178.55822760704453</v>
      </c>
      <c r="AM26" s="62">
        <f t="shared" si="5"/>
        <v>471.89156094037787</v>
      </c>
      <c r="AN26" s="62">
        <f ca="1">AVERAGE(OFFSET($AM$3,0,0,'Données projet'!$E$10+1,1))-AVERAGE(OFFSET($H$3,0,0,'Données projet'!$E$10+1,1))</f>
        <v>227.80096215475777</v>
      </c>
      <c r="AO26" s="62">
        <f t="shared" si="36"/>
        <v>259.52807665663926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2.9766647656380081</v>
      </c>
      <c r="AX26" s="23">
        <f t="shared" si="6"/>
        <v>2.9766647656380081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16.625</v>
      </c>
      <c r="BD26" s="13">
        <f>IF('Données projet'!$A$88&gt;35,BD25+BC26-BL25,IF(A26&lt;'Données projet'!$A$88,$BA$205^A26,IF(A26='Données projet'!$A$88,'Données projet'!$B$88,BD25+BC26-BL25)))</f>
        <v>192.62500000000009</v>
      </c>
      <c r="BE26" s="14">
        <f>BD26*VLOOKUP('Données projet'!$B$11,Paramètres!$A$1:$I$89,3,0)*VLOOKUP('Données projet'!$B$11,Paramètres!$A$1:$I$89,5,0)</f>
        <v>115.18975000000006</v>
      </c>
      <c r="BF26" s="14">
        <f t="shared" si="37"/>
        <v>30.550430193620951</v>
      </c>
      <c r="BG26" s="22">
        <f t="shared" si="7"/>
        <v>253.83081383722325</v>
      </c>
      <c r="BH26" s="62">
        <f t="shared" si="8"/>
        <v>547.16414717055659</v>
      </c>
      <c r="BI26" s="62">
        <f ca="1">AVERAGE(OFFSET($BH$3,0,0,'Données projet'!$E$11+1,1))-AVERAGE(OFFSET($H$3,0,0,'Données projet'!$E$11+1,1))</f>
        <v>149.5086927376081</v>
      </c>
      <c r="BJ26" s="62">
        <f t="shared" si="38"/>
        <v>364.59164590134498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10.565575067712274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19.506588396260472</v>
      </c>
      <c r="BS26" s="24">
        <f t="shared" si="9"/>
        <v>30.072163463972746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160.22474733551678</v>
      </c>
      <c r="T27" s="62">
        <f t="shared" si="34"/>
        <v>272.72162271905523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17.8</v>
      </c>
      <c r="AI27" s="14">
        <f>IF('Données projet'!$A$62&gt;35,AI26+AH27-AQ26,IF(A27&lt;'Données projet'!$A$62,$AF$205^A27,IF(A27='Données projet'!$A$62,'Données projet'!$B$62,AI26+AH27-AQ26)))</f>
        <v>158.20000000000002</v>
      </c>
      <c r="AJ27" s="14">
        <f>AI27*VLOOKUP('Données projet'!$B$10,Paramètres!$A$1:$I$89,3,0)*VLOOKUP('Données projet'!$B$10,Paramètres!$A$1:$I$89,5,0)</f>
        <v>90.490400000000008</v>
      </c>
      <c r="AK27" s="14">
        <f t="shared" si="35"/>
        <v>24.683460233677778</v>
      </c>
      <c r="AL27" s="22">
        <f t="shared" si="4"/>
        <v>200.59447324032215</v>
      </c>
      <c r="AM27" s="62">
        <f t="shared" si="5"/>
        <v>493.92780657365546</v>
      </c>
      <c r="AN27" s="62">
        <f ca="1">AVERAGE(OFFSET($AM$3,0,0,'Données projet'!$E$10+1,1))-AVERAGE(OFFSET($H$3,0,0,'Données projet'!$E$10+1,1))</f>
        <v>227.80096215475777</v>
      </c>
      <c r="AO27" s="62">
        <f t="shared" si="36"/>
        <v>259.52807665663926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2.1048198411017007</v>
      </c>
      <c r="AX27" s="23">
        <f t="shared" si="6"/>
        <v>2.1048198411017007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16.625</v>
      </c>
      <c r="BD27" s="13">
        <f>IF('Données projet'!$A$88&gt;35,BD26+BC27-BL26,IF(A27&lt;'Données projet'!$A$88,$BA$205^A27,IF(A27='Données projet'!$A$88,'Données projet'!$B$88,BD26+BC27-BL26)))</f>
        <v>209.25000000000009</v>
      </c>
      <c r="BE27" s="14">
        <f>BD27*VLOOKUP('Données projet'!$B$11,Paramètres!$A$1:$I$89,3,0)*VLOOKUP('Données projet'!$B$11,Paramètres!$A$1:$I$89,5,0)</f>
        <v>125.13150000000006</v>
      </c>
      <c r="BF27" s="14">
        <f t="shared" si="37"/>
        <v>32.868905092404546</v>
      </c>
      <c r="BG27" s="22">
        <f t="shared" si="7"/>
        <v>275.18403886927132</v>
      </c>
      <c r="BH27" s="62">
        <f t="shared" si="8"/>
        <v>568.51737220260463</v>
      </c>
      <c r="BI27" s="62">
        <f ca="1">AVERAGE(OFFSET($BH$3,0,0,'Données projet'!$E$11+1,1))-AVERAGE(OFFSET($H$3,0,0,'Données projet'!$E$11+1,1))</f>
        <v>149.5086927376081</v>
      </c>
      <c r="BJ27" s="62">
        <f t="shared" si="38"/>
        <v>364.59164590134498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10.358390584998899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13.793240932810601</v>
      </c>
      <c r="BS27" s="24">
        <f t="shared" si="9"/>
        <v>24.151631517809498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160.22474733551678</v>
      </c>
      <c r="T28" s="62">
        <f t="shared" si="34"/>
        <v>272.72162271905523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176</v>
      </c>
      <c r="AG28" s="13">
        <f>VLOOKUP(A28,'Données projet'!$A$61:$I$81,9,0)</f>
        <v>17.8</v>
      </c>
      <c r="AH28" s="13">
        <f t="array" ref="AH28">INDEX(AG:AG,MIN(IF(ISNUMBER(AG28:AG224),ROW(AG28:AG224),"")))</f>
        <v>17.8</v>
      </c>
      <c r="AI28" s="14">
        <f>IF('Données projet'!$A$62&gt;35,AI27+AH28-AQ27,IF(A28&lt;'Données projet'!$A$62,$AF$205^A28,IF(A28='Données projet'!$A$62,'Données projet'!$B$62,AI27+AH28-AQ27)))</f>
        <v>176.00000000000003</v>
      </c>
      <c r="AJ28" s="14">
        <f>AI28*VLOOKUP('Données projet'!$B$10,Paramètres!$A$1:$I$89,3,0)*VLOOKUP('Données projet'!$B$10,Paramètres!$A$1:$I$89,5,0)</f>
        <v>100.67200000000003</v>
      </c>
      <c r="AK28" s="14">
        <f t="shared" si="35"/>
        <v>27.122029824032936</v>
      </c>
      <c r="AL28" s="22">
        <f t="shared" si="4"/>
        <v>222.57460194352407</v>
      </c>
      <c r="AM28" s="62">
        <f t="shared" si="5"/>
        <v>515.90793527685742</v>
      </c>
      <c r="AN28" s="62">
        <f ca="1">AVERAGE(OFFSET($AM$3,0,0,'Données projet'!$E$10+1,1))-AVERAGE(OFFSET($H$3,0,0,'Données projet'!$E$10+1,1))</f>
        <v>227.80096215475777</v>
      </c>
      <c r="AO28" s="62">
        <f t="shared" si="36"/>
        <v>259.52807665663926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41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1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28.04144422440968</v>
      </c>
      <c r="AX28" s="23">
        <f t="shared" si="6"/>
        <v>28.04144422440968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16.625</v>
      </c>
      <c r="BD28" s="13">
        <f>IF('Données projet'!$A$88&gt;35,BD27+BC28-BL27,IF(A28&lt;'Données projet'!$A$88,$BA$205^A28,IF(A28='Données projet'!$A$88,'Données projet'!$B$88,BD27+BC28-BL27)))</f>
        <v>225.87500000000009</v>
      </c>
      <c r="BE28" s="14">
        <f>BD28*VLOOKUP('Données projet'!$B$11,Paramètres!$A$1:$I$89,3,0)*VLOOKUP('Données projet'!$B$11,Paramètres!$A$1:$I$89,5,0)</f>
        <v>135.07325000000006</v>
      </c>
      <c r="BF28" s="14">
        <f t="shared" si="37"/>
        <v>35.166013795582487</v>
      </c>
      <c r="BG28" s="22">
        <f t="shared" si="7"/>
        <v>296.50005111063956</v>
      </c>
      <c r="BH28" s="62">
        <f t="shared" si="8"/>
        <v>589.83338444397282</v>
      </c>
      <c r="BI28" s="62">
        <f ca="1">AVERAGE(OFFSET($BH$3,0,0,'Données projet'!$E$11+1,1))-AVERAGE(OFFSET($H$3,0,0,'Données projet'!$E$11+1,1))</f>
        <v>149.5086927376081</v>
      </c>
      <c r="BJ28" s="62">
        <f t="shared" si="38"/>
        <v>364.59164590134498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10.155268863621478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9.7532941981302379</v>
      </c>
      <c r="BS28" s="24">
        <f t="shared" si="9"/>
        <v>19.908563061751714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13.8</v>
      </c>
      <c r="N29" s="14">
        <f>IF('Données projet'!$A$36&gt;35,N28+M29-V28,IF(A29&lt;'Données projet'!$A$36,$K$205^A29,IF(A29='Données projet'!$A$36,'Données projet'!$B$36,N28+M29-V28)))</f>
        <v>181.8</v>
      </c>
      <c r="O29" s="14">
        <f>N29*VLOOKUP('Données projet'!$B$9,Paramètres!$A$1:$I$89,3,0)*VLOOKUP('Données projet'!$B$9,Paramètres!$A$1:$I$89,5,0)</f>
        <v>108.71640000000002</v>
      </c>
      <c r="P29" s="14">
        <f t="shared" si="33"/>
        <v>29.028352113364011</v>
      </c>
      <c r="Q29" s="22">
        <f t="shared" si="2"/>
        <v>239.90544326410898</v>
      </c>
      <c r="R29" s="62">
        <f t="shared" si="0"/>
        <v>533.23877659744232</v>
      </c>
      <c r="S29" s="62">
        <f ca="1">AVERAGE(OFFSET($R$3,0,0,'Données projet'!$E$9+1,1))-AVERAGE(OFFSET($H$3,0,0,'Données projet'!$E$9+1,1))</f>
        <v>160.22474733551678</v>
      </c>
      <c r="T29" s="62">
        <f t="shared" si="34"/>
        <v>272.72162271905523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20.399999999999999</v>
      </c>
      <c r="AI29" s="14">
        <f>IF('Données projet'!$A$62&gt;35,AI28+AH29-AQ28,IF(A29&lt;'Données projet'!$A$62,$AF$205^A29,IF(A29='Données projet'!$A$62,'Données projet'!$B$62,AI28+AH29-AQ28)))</f>
        <v>155.40000000000003</v>
      </c>
      <c r="AJ29" s="14">
        <f>AI29*VLOOKUP('Données projet'!$B$10,Paramètres!$A$1:$I$89,3,0)*VLOOKUP('Données projet'!$B$10,Paramètres!$A$1:$I$89,5,0)</f>
        <v>88.888800000000032</v>
      </c>
      <c r="AK29" s="14">
        <f t="shared" si="35"/>
        <v>24.297036846372404</v>
      </c>
      <c r="AL29" s="22">
        <f t="shared" si="4"/>
        <v>197.13199917409864</v>
      </c>
      <c r="AM29" s="62">
        <f t="shared" si="5"/>
        <v>490.46533250743198</v>
      </c>
      <c r="AN29" s="62">
        <f ca="1">AVERAGE(OFFSET($AM$3,0,0,'Données projet'!$E$10+1,1))-AVERAGE(OFFSET($H$3,0,0,'Données projet'!$E$10+1,1))</f>
        <v>227.80096215475777</v>
      </c>
      <c r="AO29" s="62">
        <f t="shared" si="36"/>
        <v>259.52807665663926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19.828295365344434</v>
      </c>
      <c r="AX29" s="23">
        <f t="shared" si="6"/>
        <v>19.828295365344434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16.625</v>
      </c>
      <c r="BD29" s="13">
        <f>IF('Données projet'!$A$88&gt;35,BD28+BC29-BL28,IF(A29&lt;'Données projet'!$A$88,$BA$205^A29,IF(A29='Données projet'!$A$88,'Données projet'!$B$88,BD28+BC29-BL28)))</f>
        <v>242.50000000000009</v>
      </c>
      <c r="BE29" s="14">
        <f>BD29*VLOOKUP('Données projet'!$B$11,Paramètres!$A$1:$I$89,3,0)*VLOOKUP('Données projet'!$B$11,Paramètres!$A$1:$I$89,5,0)</f>
        <v>145.01500000000004</v>
      </c>
      <c r="BF29" s="14">
        <f t="shared" si="37"/>
        <v>37.443507744276459</v>
      </c>
      <c r="BG29" s="22">
        <f t="shared" si="7"/>
        <v>317.78190098794829</v>
      </c>
      <c r="BH29" s="62">
        <f t="shared" si="8"/>
        <v>611.1152343212816</v>
      </c>
      <c r="BI29" s="62">
        <f ca="1">AVERAGE(OFFSET($BH$3,0,0,'Données projet'!$E$11+1,1))-AVERAGE(OFFSET($H$3,0,0,'Données projet'!$E$11+1,1))</f>
        <v>149.5086927376081</v>
      </c>
      <c r="BJ29" s="62">
        <f t="shared" si="38"/>
        <v>364.59164590134498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9.956130235308251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6.8966204664053024</v>
      </c>
      <c r="BS29" s="24">
        <f t="shared" si="9"/>
        <v>16.852750701713553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13.8</v>
      </c>
      <c r="N30" s="14">
        <f>IF('Données projet'!$A$36&gt;35,N29+M30-V29,IF(A30&lt;'Données projet'!$A$36,$K$205^A30,IF(A30='Données projet'!$A$36,'Données projet'!$B$36,N29+M30-V29)))</f>
        <v>195.60000000000002</v>
      </c>
      <c r="O30" s="14">
        <f>N30*VLOOKUP('Données projet'!$B$9,Paramètres!$A$1:$I$89,3,0)*VLOOKUP('Données projet'!$B$9,Paramètres!$A$1:$I$89,5,0)</f>
        <v>116.96880000000002</v>
      </c>
      <c r="P30" s="14">
        <f t="shared" si="33"/>
        <v>30.966972418998537</v>
      </c>
      <c r="Q30" s="22">
        <f t="shared" si="2"/>
        <v>257.6548036297558</v>
      </c>
      <c r="R30" s="62">
        <f t="shared" si="0"/>
        <v>550.98813696308912</v>
      </c>
      <c r="S30" s="62">
        <f ca="1">AVERAGE(OFFSET($R$3,0,0,'Données projet'!$E$9+1,1))-AVERAGE(OFFSET($H$3,0,0,'Données projet'!$E$9+1,1))</f>
        <v>160.22474733551678</v>
      </c>
      <c r="T30" s="62">
        <f t="shared" si="34"/>
        <v>272.72162271905523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20.399999999999999</v>
      </c>
      <c r="AI30" s="14">
        <f>IF('Données projet'!$A$62&gt;35,AI29+AH30-AQ29,IF(A30&lt;'Données projet'!$A$62,$AF$205^A30,IF(A30='Données projet'!$A$62,'Données projet'!$B$62,AI29+AH30-AQ29)))</f>
        <v>175.80000000000004</v>
      </c>
      <c r="AJ30" s="14">
        <f>AI30*VLOOKUP('Données projet'!$B$10,Paramètres!$A$1:$I$89,3,0)*VLOOKUP('Données projet'!$B$10,Paramètres!$A$1:$I$89,5,0)</f>
        <v>100.55760000000002</v>
      </c>
      <c r="AK30" s="14">
        <f t="shared" si="35"/>
        <v>27.094795038597915</v>
      </c>
      <c r="AL30" s="22">
        <f t="shared" si="4"/>
        <v>222.32792135889142</v>
      </c>
      <c r="AM30" s="62">
        <f t="shared" si="5"/>
        <v>515.6612546922247</v>
      </c>
      <c r="AN30" s="62">
        <f ca="1">AVERAGE(OFFSET($AM$3,0,0,'Données projet'!$E$10+1,1))-AVERAGE(OFFSET($H$3,0,0,'Données projet'!$E$10+1,1))</f>
        <v>227.80096215475777</v>
      </c>
      <c r="AO30" s="62">
        <f t="shared" si="36"/>
        <v>259.52807665663926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14.020722112204842</v>
      </c>
      <c r="AX30" s="23">
        <f t="shared" si="6"/>
        <v>14.020722112204842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16.625</v>
      </c>
      <c r="BD30" s="13">
        <f>IF('Données projet'!$A$88&gt;35,BD29+BC30-BL29,IF(A30&lt;'Données projet'!$A$88,$BA$205^A30,IF(A30='Données projet'!$A$88,'Données projet'!$B$88,BD29+BC30-BL29)))</f>
        <v>259.12500000000011</v>
      </c>
      <c r="BE30" s="14">
        <f>BD30*VLOOKUP('Données projet'!$B$11,Paramètres!$A$1:$I$89,3,0)*VLOOKUP('Données projet'!$B$11,Paramètres!$A$1:$I$89,5,0)</f>
        <v>154.95675000000008</v>
      </c>
      <c r="BF30" s="14">
        <f t="shared" si="37"/>
        <v>39.702884639661342</v>
      </c>
      <c r="BG30" s="22">
        <f t="shared" si="7"/>
        <v>339.03219699741027</v>
      </c>
      <c r="BH30" s="62">
        <f t="shared" si="8"/>
        <v>632.36553033074358</v>
      </c>
      <c r="BI30" s="62">
        <f ca="1">AVERAGE(OFFSET($BH$3,0,0,'Données projet'!$E$11+1,1))-AVERAGE(OFFSET($H$3,0,0,'Données projet'!$E$11+1,1))</f>
        <v>149.5086927376081</v>
      </c>
      <c r="BJ30" s="62">
        <f t="shared" si="38"/>
        <v>364.59164590134498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9.7608965940336763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4.8766470990651198</v>
      </c>
      <c r="BS30" s="24">
        <f t="shared" si="9"/>
        <v>14.637543693098795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13.8</v>
      </c>
      <c r="N31" s="14">
        <f>IF('Données projet'!$A$36&gt;35,N30+M31-V30,IF(A31&lt;'Données projet'!$A$36,$K$205^A31,IF(A31='Données projet'!$A$36,'Données projet'!$B$36,N30+M31-V30)))</f>
        <v>209.40000000000003</v>
      </c>
      <c r="O31" s="14">
        <f>N31*VLOOKUP('Données projet'!$B$9,Paramètres!$A$1:$I$89,3,0)*VLOOKUP('Données projet'!$B$9,Paramètres!$A$1:$I$89,5,0)</f>
        <v>125.22120000000004</v>
      </c>
      <c r="P31" s="14">
        <f t="shared" si="33"/>
        <v>32.889723553463881</v>
      </c>
      <c r="Q31" s="22">
        <f t="shared" si="2"/>
        <v>275.37652518894964</v>
      </c>
      <c r="R31" s="62">
        <f t="shared" si="0"/>
        <v>568.70985852228296</v>
      </c>
      <c r="S31" s="62">
        <f ca="1">AVERAGE(OFFSET($R$3,0,0,'Données projet'!$E$9+1,1))-AVERAGE(OFFSET($H$3,0,0,'Données projet'!$E$9+1,1))</f>
        <v>160.22474733551678</v>
      </c>
      <c r="T31" s="62">
        <f t="shared" si="34"/>
        <v>272.72162271905523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20.399999999999999</v>
      </c>
      <c r="AI31" s="14">
        <f>IF('Données projet'!$A$62&gt;35,AI30+AH31-AQ30,IF(A31&lt;'Données projet'!$A$62,$AF$205^A31,IF(A31='Données projet'!$A$62,'Données projet'!$B$62,AI30+AH31-AQ30)))</f>
        <v>196.20000000000005</v>
      </c>
      <c r="AJ31" s="14">
        <f>AI31*VLOOKUP('Données projet'!$B$10,Paramètres!$A$1:$I$89,3,0)*VLOOKUP('Données projet'!$B$10,Paramètres!$A$1:$I$89,5,0)</f>
        <v>112.22640000000003</v>
      </c>
      <c r="AK31" s="14">
        <f t="shared" si="35"/>
        <v>29.85492847111222</v>
      </c>
      <c r="AL31" s="22">
        <f t="shared" si="4"/>
        <v>247.45831375385379</v>
      </c>
      <c r="AM31" s="62">
        <f t="shared" si="5"/>
        <v>540.79164708718713</v>
      </c>
      <c r="AN31" s="62">
        <f ca="1">AVERAGE(OFFSET($AM$3,0,0,'Données projet'!$E$10+1,1))-AVERAGE(OFFSET($H$3,0,0,'Données projet'!$E$10+1,1))</f>
        <v>227.80096215475777</v>
      </c>
      <c r="AO31" s="62">
        <f t="shared" si="36"/>
        <v>259.52807665663926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9.914147682672219</v>
      </c>
      <c r="AX31" s="23">
        <f t="shared" si="6"/>
        <v>9.914147682672219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16.625</v>
      </c>
      <c r="BD31" s="13">
        <f>IF('Données projet'!$A$88&gt;35,BD30+BC31-BL30,IF(A31&lt;'Données projet'!$A$88,$BA$205^A31,IF(A31='Données projet'!$A$88,'Données projet'!$B$88,BD30+BC31-BL30)))</f>
        <v>275.75000000000011</v>
      </c>
      <c r="BE31" s="14">
        <f>BD31*VLOOKUP('Données projet'!$B$11,Paramètres!$A$1:$I$89,3,0)*VLOOKUP('Données projet'!$B$11,Paramètres!$A$1:$I$89,5,0)</f>
        <v>164.89850000000007</v>
      </c>
      <c r="BF31" s="14">
        <f t="shared" si="37"/>
        <v>41.94543913753872</v>
      </c>
      <c r="BG31" s="22">
        <f t="shared" si="7"/>
        <v>360.25319399788003</v>
      </c>
      <c r="BH31" s="62">
        <f t="shared" si="8"/>
        <v>653.58652733121335</v>
      </c>
      <c r="BI31" s="62">
        <f ca="1">AVERAGE(OFFSET($BH$3,0,0,'Données projet'!$E$11+1,1))-AVERAGE(OFFSET($H$3,0,0,'Données projet'!$E$11+1,1))</f>
        <v>149.5086927376081</v>
      </c>
      <c r="BJ31" s="62">
        <f t="shared" si="38"/>
        <v>364.59164590134498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9.5694913653837332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3.4483102332026516</v>
      </c>
      <c r="BS31" s="24">
        <f t="shared" si="9"/>
        <v>13.017801598586384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13.8</v>
      </c>
      <c r="N32" s="14">
        <f>IF('Données projet'!$A$36&gt;35,N31+M32-V31,IF(A32&lt;'Données projet'!$A$36,$K$205^A32,IF(A32='Données projet'!$A$36,'Données projet'!$B$36,N31+M32-V31)))</f>
        <v>223.20000000000005</v>
      </c>
      <c r="O32" s="14">
        <f>N32*VLOOKUP('Données projet'!$B$9,Paramètres!$A$1:$I$89,3,0)*VLOOKUP('Données projet'!$B$9,Paramètres!$A$1:$I$89,5,0)</f>
        <v>133.47360000000003</v>
      </c>
      <c r="P32" s="14">
        <f t="shared" si="33"/>
        <v>34.79777034418013</v>
      </c>
      <c r="Q32" s="22">
        <f t="shared" si="2"/>
        <v>293.0726366827804</v>
      </c>
      <c r="R32" s="62">
        <f t="shared" si="0"/>
        <v>586.40597001611377</v>
      </c>
      <c r="S32" s="62">
        <f ca="1">AVERAGE(OFFSET($R$3,0,0,'Données projet'!$E$9+1,1))-AVERAGE(OFFSET($H$3,0,0,'Données projet'!$E$9+1,1))</f>
        <v>160.22474733551678</v>
      </c>
      <c r="T32" s="62">
        <f t="shared" si="34"/>
        <v>272.72162271905523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20.399999999999999</v>
      </c>
      <c r="AI32" s="14">
        <f>IF('Données projet'!$A$62&gt;35,AI31+AH32-AQ31,IF(A32&lt;'Données projet'!$A$62,$AF$205^A32,IF(A32='Données projet'!$A$62,'Données projet'!$B$62,AI31+AH32-AQ31)))</f>
        <v>216.60000000000005</v>
      </c>
      <c r="AJ32" s="14">
        <f>AI32*VLOOKUP('Données projet'!$B$10,Paramètres!$A$1:$I$89,3,0)*VLOOKUP('Données projet'!$B$10,Paramètres!$A$1:$I$89,5,0)</f>
        <v>123.89520000000003</v>
      </c>
      <c r="AK32" s="14">
        <f t="shared" si="35"/>
        <v>32.581794813999061</v>
      </c>
      <c r="AL32" s="22">
        <f t="shared" si="4"/>
        <v>272.53076596771507</v>
      </c>
      <c r="AM32" s="62">
        <f t="shared" si="5"/>
        <v>565.86409930104833</v>
      </c>
      <c r="AN32" s="62">
        <f ca="1">AVERAGE(OFFSET($AM$3,0,0,'Données projet'!$E$10+1,1))-AVERAGE(OFFSET($H$3,0,0,'Données projet'!$E$10+1,1))</f>
        <v>227.80096215475777</v>
      </c>
      <c r="AO32" s="62">
        <f t="shared" si="36"/>
        <v>259.52807665663926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7.0103610561024228</v>
      </c>
      <c r="AX32" s="23">
        <f t="shared" si="6"/>
        <v>7.0103610561024228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16.625</v>
      </c>
      <c r="BD32" s="13">
        <f>IF('Données projet'!$A$88&gt;35,BD31+BC32-BL31,IF(A32&lt;'Données projet'!$A$88,$BA$205^A32,IF(A32='Données projet'!$A$88,'Données projet'!$B$88,BD31+BC32-BL31)))</f>
        <v>292.37500000000011</v>
      </c>
      <c r="BE32" s="14">
        <f>BD32*VLOOKUP('Données projet'!$B$11,Paramètres!$A$1:$I$89,3,0)*VLOOKUP('Données projet'!$B$11,Paramètres!$A$1:$I$89,5,0)</f>
        <v>174.84025000000008</v>
      </c>
      <c r="BF32" s="14">
        <f t="shared" si="37"/>
        <v>44.172300963535264</v>
      </c>
      <c r="BG32" s="22">
        <f t="shared" si="7"/>
        <v>381.44685959482405</v>
      </c>
      <c r="BH32" s="62">
        <f t="shared" si="8"/>
        <v>674.78019292815736</v>
      </c>
      <c r="BI32" s="62">
        <f ca="1">AVERAGE(OFFSET($BH$3,0,0,'Données projet'!$E$11+1,1))-AVERAGE(OFFSET($H$3,0,0,'Données projet'!$E$11+1,1))</f>
        <v>149.5086927376081</v>
      </c>
      <c r="BJ32" s="62">
        <f t="shared" si="38"/>
        <v>364.59164590134498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9.3818394765219537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2.4383235495325604</v>
      </c>
      <c r="BS32" s="24">
        <f t="shared" si="9"/>
        <v>11.820163026054514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13.8</v>
      </c>
      <c r="M33" s="13">
        <f t="array" ref="M33">INDEX(L:L,MIN(IF(ISNUMBER(L33:L229),ROW(L33:L229),"")))</f>
        <v>13.8</v>
      </c>
      <c r="N33" s="14">
        <f>IF('Données projet'!$A$36&gt;35,N32+M33-V32,IF(A33&lt;'Données projet'!$A$36,$K$205^A33,IF(A33='Données projet'!$A$36,'Données projet'!$B$36,N32+M33-V32)))</f>
        <v>237.00000000000006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604.07823514252971</v>
      </c>
      <c r="S33" s="62">
        <f ca="1">AVERAGE(OFFSET($R$3,0,0,'Données projet'!$E$9+1,1))-AVERAGE(OFFSET($H$3,0,0,'Données projet'!$E$9+1,1))</f>
        <v>160.22474733551678</v>
      </c>
      <c r="T33" s="62">
        <f t="shared" si="34"/>
        <v>272.72162271905523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237</v>
      </c>
      <c r="AG33" s="13">
        <f>VLOOKUP(A33,'Données projet'!$A$61:$I$81,9,0)</f>
        <v>20.399999999999999</v>
      </c>
      <c r="AH33" s="13">
        <f t="array" ref="AH33">INDEX(AG:AG,MIN(IF(ISNUMBER(AG33:AG229),ROW(AG33:AG229),"")))</f>
        <v>20.399999999999999</v>
      </c>
      <c r="AI33" s="14">
        <f>IF('Données projet'!$A$62&gt;35,AI32+AH33-AQ32,IF(A33&lt;'Données projet'!$A$62,$AF$205^A33,IF(A33='Données projet'!$A$62,'Données projet'!$B$62,AI32+AH33-AQ32)))</f>
        <v>237.00000000000006</v>
      </c>
      <c r="AJ33" s="14">
        <f>AI33*VLOOKUP('Données projet'!$B$10,Paramètres!$A$1:$I$89,3,0)*VLOOKUP('Données projet'!$B$10,Paramètres!$A$1:$I$89,5,0)</f>
        <v>135.56400000000005</v>
      </c>
      <c r="AK33" s="14">
        <f t="shared" si="35"/>
        <v>35.278883682361965</v>
      </c>
      <c r="AL33" s="22">
        <f t="shared" si="4"/>
        <v>297.55135574678047</v>
      </c>
      <c r="AM33" s="62">
        <f t="shared" si="5"/>
        <v>590.88468908011373</v>
      </c>
      <c r="AN33" s="62">
        <f ca="1">AVERAGE(OFFSET($AM$3,0,0,'Données projet'!$E$10+1,1))-AVERAGE(OFFSET($H$3,0,0,'Données projet'!$E$10+1,1))</f>
        <v>227.80096215475777</v>
      </c>
      <c r="AO33" s="62">
        <f t="shared" si="36"/>
        <v>259.52807665663926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58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9.0000000000000011E-2</v>
      </c>
      <c r="AT33" s="17">
        <f>IF(ISNA(VLOOKUP(A33,'Données projet'!$A$61:$I$81,7,0)),0%,VLOOKUP(A33,'Données projet'!$A$61:$I$81,7,0))</f>
        <v>0.8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3.945313604830806</v>
      </c>
      <c r="AW33" s="23">
        <f>EXP(-LN(2)/2)*AW32+(1-EXP(-LN(2)/2))/(LN(2)/2)*AQ33*AT33*VLOOKUP('Données projet'!$B$10,Paramètres!$A$1:$I$89,3,0)*0.475*44/12</f>
        <v>35.007424803526547</v>
      </c>
      <c r="AX33" s="23">
        <f t="shared" si="6"/>
        <v>38.952738408357355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309</v>
      </c>
      <c r="BB33" s="13">
        <f>VLOOKUP(A33,'Données projet'!$A$87:$I$107,9,0)</f>
        <v>16.625</v>
      </c>
      <c r="BC33" s="13">
        <f t="array" ref="BC33">INDEX(BB:BB,MIN(IF(ISNUMBER(BB33:BB229),ROW(BB33:BB229),"")))</f>
        <v>16.625</v>
      </c>
      <c r="BD33" s="13">
        <f>IF('Données projet'!$A$88&gt;35,BD32+BC33-BL32,IF(A33&lt;'Données projet'!$A$88,$BA$205^A33,IF(A33='Données projet'!$A$88,'Données projet'!$B$88,BD32+BC33-BL32)))</f>
        <v>309.00000000000011</v>
      </c>
      <c r="BE33" s="14">
        <f>BD33*VLOOKUP('Données projet'!$B$11,Paramètres!$A$1:$I$89,3,0)*VLOOKUP('Données projet'!$B$11,Paramètres!$A$1:$I$89,5,0)</f>
        <v>184.7820000000001</v>
      </c>
      <c r="BF33" s="14">
        <f t="shared" si="37"/>
        <v>46.384464109944147</v>
      </c>
      <c r="BG33" s="22">
        <f t="shared" si="7"/>
        <v>402.61492499148613</v>
      </c>
      <c r="BH33" s="62">
        <f t="shared" si="8"/>
        <v>695.94825832481945</v>
      </c>
      <c r="BI33" s="62">
        <f ca="1">AVERAGE(OFFSET($BH$3,0,0,'Données projet'!$E$11+1,1))-AVERAGE(OFFSET($H$3,0,0,'Données projet'!$E$11+1,1))</f>
        <v>149.5086927376081</v>
      </c>
      <c r="BJ33" s="62">
        <f t="shared" si="38"/>
        <v>364.59164590134498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309</v>
      </c>
      <c r="BM33" s="17">
        <f>IF(ISNA(VLOOKUP(A33,'Données projet'!$A$87:$I$107,5,0)),0%,VLOOKUP(A33,'Données projet'!$A$87:$I$107,5,0)*VLOOKUP('Données projet'!$B$11,Paramètres!$A$1:$I$89,7,0))</f>
        <v>0.18000000000000002</v>
      </c>
      <c r="BN33" s="17">
        <f>IF(ISNA(VLOOKUP(A33,'Données projet'!$A$87:$I$107,6,0)),0%,VLOOKUP(A33,'Données projet'!$A$87:$I$107,6,0)*VLOOKUP('Données projet'!$B$11,Paramètres!$A$1:$I$89,7,0))</f>
        <v>0.18000000000000002</v>
      </c>
      <c r="BO33" s="17">
        <f>IF(ISNA(VLOOKUP(A33,'Données projet'!$A$87:$I$107,7,0)),0%,VLOOKUP(A33,'Données projet'!$A$87:$I$107,7,0))</f>
        <v>0.2</v>
      </c>
      <c r="BP33" s="23">
        <f>EXP(-LN(2)/35)*BP32+(1-EXP(-LN(2)/35))/(LN(2)/35)*BL33*BM33*VLOOKUP('Données projet'!$B$11,Paramètres!$A$1:$I$89,3,0)*0.475*44/12</f>
        <v>53.320409303649647</v>
      </c>
      <c r="BQ33" s="23">
        <f>EXP(-LN(2)/25)*BQ32+(1-EXP(-LN(2)/25))/(LN(2)/25)*Calculateur!BL33*Calculateur!BN33*VLOOKUP('Données projet'!$B$11,Paramètres!$A$1:$I$89,3,0)*0.475*44/12</f>
        <v>43.948814717135633</v>
      </c>
      <c r="BR33" s="23">
        <f>EXP(-LN(2)/2)*BR32+(1-EXP(-LN(2)/2))/(LN(2)/2)*BL33*BO33*VLOOKUP('Données projet'!$B$11,Paramètres!$A$1:$I$89,3,0)*0.475*44/12</f>
        <v>43.567384796908406</v>
      </c>
      <c r="BS33" s="24">
        <f t="shared" si="9"/>
        <v>140.8366088176937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12.625</v>
      </c>
      <c r="N34" s="14">
        <f>IF('Données projet'!$A$36&gt;35,N33+M34-V33,IF(A34&lt;'Données projet'!$A$36,$K$205^A34,IF(A34='Données projet'!$A$36,'Données projet'!$B$36,N33+M34-V33)))</f>
        <v>249.62500000000006</v>
      </c>
      <c r="O34" s="14">
        <f>N34*VLOOKUP('Données projet'!$B$9,Paramètres!$A$1:$I$89,3,0)*VLOOKUP('Données projet'!$B$9,Paramètres!$A$1:$I$89,5,0)</f>
        <v>149.27575000000004</v>
      </c>
      <c r="P34" s="14">
        <f t="shared" si="33"/>
        <v>38.413950875340568</v>
      </c>
      <c r="Q34" s="22">
        <f t="shared" si="2"/>
        <v>326.89289569121826</v>
      </c>
      <c r="R34" s="62">
        <f t="shared" si="0"/>
        <v>620.22622902455157</v>
      </c>
      <c r="S34" s="62">
        <f ca="1">AVERAGE(OFFSET($R$3,0,0,'Données projet'!$E$9+1,1))-AVERAGE(OFFSET($H$3,0,0,'Données projet'!$E$9+1,1))</f>
        <v>160.22474733551678</v>
      </c>
      <c r="T34" s="62">
        <f t="shared" si="34"/>
        <v>272.72162271905523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19.8</v>
      </c>
      <c r="AI34" s="14">
        <f>IF('Données projet'!$A$62&gt;35,AI33+AH34-AQ33,IF(A34&lt;'Données projet'!$A$62,$AF$205^A34,IF(A34='Données projet'!$A$62,'Données projet'!$B$62,AI33+AH34-AQ33)))</f>
        <v>198.80000000000007</v>
      </c>
      <c r="AJ34" s="14">
        <f>AI34*VLOOKUP('Données projet'!$B$10,Paramètres!$A$1:$I$89,3,0)*VLOOKUP('Données projet'!$B$10,Paramètres!$A$1:$I$89,5,0)</f>
        <v>113.71360000000006</v>
      </c>
      <c r="AK34" s="14">
        <f t="shared" si="35"/>
        <v>30.204239781699453</v>
      </c>
      <c r="AL34" s="22">
        <f t="shared" si="4"/>
        <v>250.65690428645999</v>
      </c>
      <c r="AM34" s="62">
        <f t="shared" si="5"/>
        <v>543.99023761979333</v>
      </c>
      <c r="AN34" s="62">
        <f ca="1">AVERAGE(OFFSET($AM$3,0,0,'Données projet'!$E$10+1,1))-AVERAGE(OFFSET($H$3,0,0,'Données projet'!$E$10+1,1))</f>
        <v>227.80096215475777</v>
      </c>
      <c r="AO34" s="62">
        <f t="shared" si="36"/>
        <v>259.52807665663926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3.837428796831682</v>
      </c>
      <c r="AW34" s="23">
        <f>EXP(-LN(2)/2)*AW33+(1-EXP(-LN(2)/2))/(LN(2)/2)*AQ34*AT34*VLOOKUP('Données projet'!$B$10,Paramètres!$A$1:$I$89,3,0)*0.475*44/12</f>
        <v>24.753987470451765</v>
      </c>
      <c r="AX34" s="23">
        <f t="shared" si="6"/>
        <v>28.591416267283446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1.1368683772161603E-13</v>
      </c>
      <c r="BE34" s="14">
        <f>BD34*VLOOKUP('Données projet'!$B$11,Paramètres!$A$1:$I$89,3,0)*VLOOKUP('Données projet'!$B$11,Paramètres!$A$1:$I$89,5,0)</f>
        <v>6.7984728957526396E-14</v>
      </c>
      <c r="BF34" s="14">
        <f t="shared" si="37"/>
        <v>1.0682447123141398E-12</v>
      </c>
      <c r="BG34" s="22">
        <f t="shared" si="7"/>
        <v>1.978932943548152E-12</v>
      </c>
      <c r="BH34" s="62">
        <f t="shared" si="8"/>
        <v>293.3333333333353</v>
      </c>
      <c r="BI34" s="62">
        <f ca="1">AVERAGE(OFFSET($BH$3,0,0,'Données projet'!$E$11+1,1))-AVERAGE(OFFSET($H$3,0,0,'Données projet'!$E$11+1,1))</f>
        <v>149.5086927376081</v>
      </c>
      <c r="BJ34" s="62">
        <f t="shared" si="38"/>
        <v>364.59164590134498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52.274828599443445</v>
      </c>
      <c r="BQ34" s="23">
        <f>EXP(-LN(2)/25)*BQ33+(1-EXP(-LN(2)/25))/(LN(2)/25)*Calculateur!BL34*Calculateur!BN34*VLOOKUP('Données projet'!$B$11,Paramètres!$A$1:$I$89,3,0)*0.475*44/12</f>
        <v>42.74703206752784</v>
      </c>
      <c r="BR34" s="23">
        <f>EXP(-LN(2)/2)*BR33+(1-EXP(-LN(2)/2))/(LN(2)/2)*BL34*BO34*VLOOKUP('Données projet'!$B$11,Paramètres!$A$1:$I$89,3,0)*0.475*44/12</f>
        <v>30.806793228457632</v>
      </c>
      <c r="BS34" s="24">
        <f t="shared" si="9"/>
        <v>125.82865389542893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12.625</v>
      </c>
      <c r="N35" s="14">
        <f>IF('Données projet'!$A$36&gt;35,N34+M35-V34,IF(A35&lt;'Données projet'!$A$36,$K$205^A35,IF(A35='Données projet'!$A$36,'Données projet'!$B$36,N34+M35-V34)))</f>
        <v>262.25000000000006</v>
      </c>
      <c r="O35" s="14">
        <f>N35*VLOOKUP('Données projet'!$B$9,Paramètres!$A$1:$I$89,3,0)*VLOOKUP('Données projet'!$B$9,Paramètres!$A$1:$I$89,5,0)</f>
        <v>156.82550000000006</v>
      </c>
      <c r="P35" s="14">
        <f t="shared" si="33"/>
        <v>40.12566509846944</v>
      </c>
      <c r="Q35" s="22">
        <f t="shared" ref="Q35:Q66" si="53">(O35+P35)*0.475*44/12</f>
        <v>343.02327921316777</v>
      </c>
      <c r="R35" s="62">
        <f t="shared" si="0"/>
        <v>636.35661254650108</v>
      </c>
      <c r="S35" s="62">
        <f ca="1">AVERAGE(OFFSET($R$3,0,0,'Données projet'!$E$9+1,1))-AVERAGE(OFFSET($H$3,0,0,'Données projet'!$E$9+1,1))</f>
        <v>160.22474733551678</v>
      </c>
      <c r="T35" s="62">
        <f t="shared" si="34"/>
        <v>272.72162271905523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19.8</v>
      </c>
      <c r="AI35" s="14">
        <f>IF('Données projet'!$A$62&gt;35,AI34+AH35-AQ34,IF(A35&lt;'Données projet'!$A$62,$AF$205^A35,IF(A35='Données projet'!$A$62,'Données projet'!$B$62,AI34+AH35-AQ34)))</f>
        <v>218.60000000000008</v>
      </c>
      <c r="AJ35" s="14">
        <f>AI35*VLOOKUP('Données projet'!$B$10,Paramètres!$A$1:$I$89,3,0)*VLOOKUP('Données projet'!$B$10,Paramètres!$A$1:$I$89,5,0)</f>
        <v>125.03920000000005</v>
      </c>
      <c r="AK35" s="14">
        <f t="shared" si="35"/>
        <v>32.847481384234889</v>
      </c>
      <c r="AL35" s="22">
        <f t="shared" si="4"/>
        <v>274.9859700775425</v>
      </c>
      <c r="AM35" s="62">
        <f t="shared" si="5"/>
        <v>568.31930341087582</v>
      </c>
      <c r="AN35" s="62">
        <f ca="1">AVERAGE(OFFSET($AM$3,0,0,'Données projet'!$E$10+1,1))-AVERAGE(OFFSET($H$3,0,0,'Données projet'!$E$10+1,1))</f>
        <v>227.80096215475777</v>
      </c>
      <c r="AO35" s="62">
        <f t="shared" si="36"/>
        <v>259.52807665663926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3.7324941045807098</v>
      </c>
      <c r="AW35" s="23">
        <f>EXP(-LN(2)/2)*AW34+(1-EXP(-LN(2)/2))/(LN(2)/2)*AQ35*AT35*VLOOKUP('Données projet'!$B$10,Paramètres!$A$1:$I$89,3,0)*0.475*44/12</f>
        <v>17.503712401763277</v>
      </c>
      <c r="AX35" s="23">
        <f t="shared" si="6"/>
        <v>21.236206506343986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1.1368683772161603E-13</v>
      </c>
      <c r="BE35" s="14">
        <f>BD35*VLOOKUP('Données projet'!$B$11,Paramètres!$A$1:$I$89,3,0)*VLOOKUP('Données projet'!$B$11,Paramètres!$A$1:$I$89,5,0)</f>
        <v>6.7984728957526396E-14</v>
      </c>
      <c r="BF35" s="14">
        <f t="shared" si="37"/>
        <v>1.0682447123141398E-12</v>
      </c>
      <c r="BG35" s="22">
        <f t="shared" si="7"/>
        <v>1.978932943548152E-12</v>
      </c>
      <c r="BH35" s="62">
        <f t="shared" si="8"/>
        <v>293.3333333333353</v>
      </c>
      <c r="BI35" s="62">
        <f ca="1">AVERAGE(OFFSET($BH$3,0,0,'Données projet'!$E$11+1,1))-AVERAGE(OFFSET($H$3,0,0,'Données projet'!$E$11+1,1))</f>
        <v>149.5086927376081</v>
      </c>
      <c r="BJ35" s="62">
        <f t="shared" si="38"/>
        <v>364.59164590134498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51.249751095105474</v>
      </c>
      <c r="BQ35" s="23">
        <f>EXP(-LN(2)/25)*BQ34+(1-EXP(-LN(2)/25))/(LN(2)/25)*Calculateur!BL35*Calculateur!BN35*VLOOKUP('Données projet'!$B$11,Paramètres!$A$1:$I$89,3,0)*0.475*44/12</f>
        <v>41.578112227672577</v>
      </c>
      <c r="BR35" s="23">
        <f>EXP(-LN(2)/2)*BR34+(1-EXP(-LN(2)/2))/(LN(2)/2)*BL35*BO35*VLOOKUP('Données projet'!$B$11,Paramètres!$A$1:$I$89,3,0)*0.475*44/12</f>
        <v>21.783692398454207</v>
      </c>
      <c r="BS35" s="24">
        <f t="shared" si="9"/>
        <v>114.61155572123226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12.625</v>
      </c>
      <c r="N36" s="14">
        <f>IF('Données projet'!$A$36&gt;35,N35+M36-V35,IF(A36&lt;'Données projet'!$A$36,$K$205^A36,IF(A36='Données projet'!$A$36,'Données projet'!$B$36,N35+M36-V35)))</f>
        <v>274.87500000000006</v>
      </c>
      <c r="O36" s="14">
        <f>N36*VLOOKUP('Données projet'!$B$9,Paramètres!$A$1:$I$89,3,0)*VLOOKUP('Données projet'!$B$9,Paramètres!$A$1:$I$89,5,0)</f>
        <v>164.37525000000005</v>
      </c>
      <c r="P36" s="14">
        <f t="shared" si="33"/>
        <v>41.827810443115574</v>
      </c>
      <c r="Q36" s="22">
        <f t="shared" si="53"/>
        <v>359.13699693842636</v>
      </c>
      <c r="R36" s="62">
        <f t="shared" si="0"/>
        <v>652.47033027175962</v>
      </c>
      <c r="S36" s="62">
        <f ca="1">AVERAGE(OFFSET($R$3,0,0,'Données projet'!$E$9+1,1))-AVERAGE(OFFSET($H$3,0,0,'Données projet'!$E$9+1,1))</f>
        <v>160.22474733551678</v>
      </c>
      <c r="T36" s="62">
        <f t="shared" si="34"/>
        <v>272.72162271905523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19.8</v>
      </c>
      <c r="AI36" s="14">
        <f>IF('Données projet'!$A$62&gt;35,AI35+AH36-AQ35,IF(A36&lt;'Données projet'!$A$62,$AF$205^A36,IF(A36='Données projet'!$A$62,'Données projet'!$B$62,AI35+AH36-AQ35)))</f>
        <v>238.40000000000009</v>
      </c>
      <c r="AJ36" s="14">
        <f>AI36*VLOOKUP('Données projet'!$B$10,Paramètres!$A$1:$I$89,3,0)*VLOOKUP('Données projet'!$B$10,Paramètres!$A$1:$I$89,5,0)</f>
        <v>136.36480000000006</v>
      </c>
      <c r="AK36" s="14">
        <f t="shared" si="35"/>
        <v>35.462961401140106</v>
      </c>
      <c r="AL36" s="22">
        <f t="shared" si="4"/>
        <v>299.26668444031912</v>
      </c>
      <c r="AM36" s="62">
        <f t="shared" si="5"/>
        <v>592.60001777365244</v>
      </c>
      <c r="AN36" s="62">
        <f ca="1">AVERAGE(OFFSET($AM$3,0,0,'Données projet'!$E$10+1,1))-AVERAGE(OFFSET($H$3,0,0,'Données projet'!$E$10+1,1))</f>
        <v>227.80096215475777</v>
      </c>
      <c r="AO36" s="62">
        <f t="shared" si="36"/>
        <v>259.52807665663926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3.6304288570076162</v>
      </c>
      <c r="AW36" s="23">
        <f>EXP(-LN(2)/2)*AW35+(1-EXP(-LN(2)/2))/(LN(2)/2)*AQ36*AT36*VLOOKUP('Données projet'!$B$10,Paramètres!$A$1:$I$89,3,0)*0.475*44/12</f>
        <v>12.376993735225884</v>
      </c>
      <c r="AX36" s="23">
        <f t="shared" si="6"/>
        <v>16.0074225922335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1.1368683772161603E-13</v>
      </c>
      <c r="BE36" s="14">
        <f>BD36*VLOOKUP('Données projet'!$B$11,Paramètres!$A$1:$I$89,3,0)*VLOOKUP('Données projet'!$B$11,Paramètres!$A$1:$I$89,5,0)</f>
        <v>6.7984728957526396E-14</v>
      </c>
      <c r="BF36" s="14">
        <f t="shared" si="37"/>
        <v>1.0682447123141398E-12</v>
      </c>
      <c r="BG36" s="22">
        <f t="shared" si="7"/>
        <v>1.978932943548152E-12</v>
      </c>
      <c r="BH36" s="62">
        <f t="shared" si="8"/>
        <v>293.3333333333353</v>
      </c>
      <c r="BI36" s="62">
        <f ca="1">AVERAGE(OFFSET($BH$3,0,0,'Données projet'!$E$11+1,1))-AVERAGE(OFFSET($H$3,0,0,'Données projet'!$E$11+1,1))</f>
        <v>149.5086927376081</v>
      </c>
      <c r="BJ36" s="62">
        <f t="shared" si="38"/>
        <v>364.59164590134498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50.244774735392028</v>
      </c>
      <c r="BQ36" s="23">
        <f>EXP(-LN(2)/25)*BQ35+(1-EXP(-LN(2)/25))/(LN(2)/25)*Calculateur!BL36*Calculateur!BN36*VLOOKUP('Données projet'!$B$11,Paramètres!$A$1:$I$89,3,0)*0.475*44/12</f>
        <v>40.441156562308976</v>
      </c>
      <c r="BR36" s="23">
        <f>EXP(-LN(2)/2)*BR35+(1-EXP(-LN(2)/2))/(LN(2)/2)*BL36*BO36*VLOOKUP('Données projet'!$B$11,Paramètres!$A$1:$I$89,3,0)*0.475*44/12</f>
        <v>15.403396614228818</v>
      </c>
      <c r="BS36" s="24">
        <f t="shared" si="9"/>
        <v>106.08932791192981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12.625</v>
      </c>
      <c r="N37" s="14">
        <f>IF('Données projet'!$A$36&gt;35,N36+M37-V36,IF(A37&lt;'Données projet'!$A$36,$K$205^A37,IF(A37='Données projet'!$A$36,'Données projet'!$B$36,N36+M37-V36)))</f>
        <v>287.50000000000006</v>
      </c>
      <c r="O37" s="14">
        <f>N37*VLOOKUP('Données projet'!$B$9,Paramètres!$A$1:$I$89,3,0)*VLOOKUP('Données projet'!$B$9,Paramètres!$A$1:$I$89,5,0)</f>
        <v>171.92500000000004</v>
      </c>
      <c r="P37" s="14">
        <f t="shared" si="33"/>
        <v>43.520876607827979</v>
      </c>
      <c r="Q37" s="22">
        <f t="shared" si="53"/>
        <v>375.23490175863373</v>
      </c>
      <c r="R37" s="62">
        <f t="shared" si="0"/>
        <v>668.56823509196704</v>
      </c>
      <c r="S37" s="62">
        <f ca="1">AVERAGE(OFFSET($R$3,0,0,'Données projet'!$E$9+1,1))-AVERAGE(OFFSET($H$3,0,0,'Données projet'!$E$9+1,1))</f>
        <v>160.22474733551678</v>
      </c>
      <c r="T37" s="62">
        <f t="shared" si="34"/>
        <v>272.72162271905523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19.8</v>
      </c>
      <c r="AI37" s="14">
        <f>IF('Données projet'!$A$62&gt;35,AI36+AH37-AQ36,IF(A37&lt;'Données projet'!$A$62,$AF$205^A37,IF(A37='Données projet'!$A$62,'Données projet'!$B$62,AI36+AH37-AQ36)))</f>
        <v>258.2000000000001</v>
      </c>
      <c r="AJ37" s="14">
        <f>AI37*VLOOKUP('Données projet'!$B$10,Paramètres!$A$1:$I$89,3,0)*VLOOKUP('Données projet'!$B$10,Paramètres!$A$1:$I$89,5,0)</f>
        <v>147.69040000000007</v>
      </c>
      <c r="AK37" s="14">
        <f t="shared" si="35"/>
        <v>38.053247671549208</v>
      </c>
      <c r="AL37" s="22">
        <f t="shared" si="4"/>
        <v>323.50351969461502</v>
      </c>
      <c r="AM37" s="62">
        <f t="shared" si="5"/>
        <v>616.83685302794834</v>
      </c>
      <c r="AN37" s="62">
        <f ca="1">AVERAGE(OFFSET($AM$3,0,0,'Données projet'!$E$10+1,1))-AVERAGE(OFFSET($H$3,0,0,'Données projet'!$E$10+1,1))</f>
        <v>227.80096215475777</v>
      </c>
      <c r="AO37" s="62">
        <f t="shared" si="36"/>
        <v>259.52807665663926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3.5311545889967868</v>
      </c>
      <c r="AW37" s="23">
        <f>EXP(-LN(2)/2)*AW36+(1-EXP(-LN(2)/2))/(LN(2)/2)*AQ37*AT37*VLOOKUP('Données projet'!$B$10,Paramètres!$A$1:$I$89,3,0)*0.475*44/12</f>
        <v>8.7518562008816403</v>
      </c>
      <c r="AX37" s="23">
        <f t="shared" si="6"/>
        <v>12.283010789878427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1.1368683772161603E-13</v>
      </c>
      <c r="BE37" s="14">
        <f>BD37*VLOOKUP('Données projet'!$B$11,Paramètres!$A$1:$I$89,3,0)*VLOOKUP('Données projet'!$B$11,Paramètres!$A$1:$I$89,5,0)</f>
        <v>6.7984728957526396E-14</v>
      </c>
      <c r="BF37" s="14">
        <f t="shared" si="37"/>
        <v>1.0682447123141398E-12</v>
      </c>
      <c r="BG37" s="22">
        <f t="shared" si="7"/>
        <v>1.978932943548152E-12</v>
      </c>
      <c r="BH37" s="62">
        <f t="shared" si="8"/>
        <v>293.3333333333353</v>
      </c>
      <c r="BI37" s="62">
        <f ca="1">AVERAGE(OFFSET($BH$3,0,0,'Données projet'!$E$11+1,1))-AVERAGE(OFFSET($H$3,0,0,'Données projet'!$E$11+1,1))</f>
        <v>149.5086927376081</v>
      </c>
      <c r="BJ37" s="62">
        <f t="shared" si="38"/>
        <v>364.59164590134498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49.259505349117511</v>
      </c>
      <c r="BQ37" s="23">
        <f>EXP(-LN(2)/25)*BQ36+(1-EXP(-LN(2)/25))/(LN(2)/25)*Calculateur!BL37*Calculateur!BN37*VLOOKUP('Données projet'!$B$11,Paramètres!$A$1:$I$89,3,0)*0.475*44/12</f>
        <v>39.335291009404642</v>
      </c>
      <c r="BR37" s="23">
        <f>EXP(-LN(2)/2)*BR36+(1-EXP(-LN(2)/2))/(LN(2)/2)*BL37*BO37*VLOOKUP('Données projet'!$B$11,Paramètres!$A$1:$I$89,3,0)*0.475*44/12</f>
        <v>10.891846199227105</v>
      </c>
      <c r="BS37" s="24">
        <f t="shared" si="9"/>
        <v>99.486642557749263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12.625</v>
      </c>
      <c r="N38" s="14">
        <f>IF('Données projet'!$A$36&gt;35,N37+M38-V37,IF(A38&lt;'Données projet'!$A$36,$K$205^A38,IF(A38='Données projet'!$A$36,'Données projet'!$B$36,N37+M38-V37)))</f>
        <v>300.12500000000006</v>
      </c>
      <c r="O38" s="14">
        <f>N38*VLOOKUP('Données projet'!$B$9,Paramètres!$A$1:$I$89,3,0)*VLOOKUP('Données projet'!$B$9,Paramètres!$A$1:$I$89,5,0)</f>
        <v>179.47475000000006</v>
      </c>
      <c r="P38" s="14">
        <f t="shared" si="33"/>
        <v>45.205307850969106</v>
      </c>
      <c r="Q38" s="22">
        <f t="shared" si="53"/>
        <v>391.31776742377127</v>
      </c>
      <c r="R38" s="62">
        <f t="shared" si="0"/>
        <v>684.65110075710459</v>
      </c>
      <c r="S38" s="62">
        <f ca="1">AVERAGE(OFFSET($R$3,0,0,'Données projet'!$E$9+1,1))-AVERAGE(OFFSET($H$3,0,0,'Données projet'!$E$9+1,1))</f>
        <v>160.22474733551678</v>
      </c>
      <c r="T38" s="62">
        <f t="shared" si="34"/>
        <v>272.72162271905523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278</v>
      </c>
      <c r="AG38" s="13">
        <f>VLOOKUP(A38,'Données projet'!$A$61:$I$81,9,0)</f>
        <v>19.8</v>
      </c>
      <c r="AH38" s="13">
        <f t="array" ref="AH38">INDEX(AG:AG,MIN(IF(ISNUMBER(AG38:AG234),ROW(AG38:AG234),"")))</f>
        <v>19.8</v>
      </c>
      <c r="AI38" s="14">
        <f>IF('Données projet'!$A$62&gt;35,AI37+AH38-AQ37,IF(A38&lt;'Données projet'!$A$62,$AF$205^A38,IF(A38='Données projet'!$A$62,'Données projet'!$B$62,AI37+AH38-AQ37)))</f>
        <v>278.00000000000011</v>
      </c>
      <c r="AJ38" s="14">
        <f>AI38*VLOOKUP('Données projet'!$B$10,Paramètres!$A$1:$I$89,3,0)*VLOOKUP('Données projet'!$B$10,Paramètres!$A$1:$I$89,5,0)</f>
        <v>159.01600000000008</v>
      </c>
      <c r="AK38" s="14">
        <f t="shared" si="35"/>
        <v>40.620491837224144</v>
      </c>
      <c r="AL38" s="22">
        <f t="shared" si="4"/>
        <v>347.70022328316549</v>
      </c>
      <c r="AM38" s="62">
        <f t="shared" si="5"/>
        <v>641.0335566164988</v>
      </c>
      <c r="AN38" s="62">
        <f ca="1">AVERAGE(OFFSET($AM$3,0,0,'Données projet'!$E$10+1,1))-AVERAGE(OFFSET($H$3,0,0,'Données projet'!$E$10+1,1))</f>
        <v>227.80096215475777</v>
      </c>
      <c r="AO38" s="62">
        <f t="shared" si="36"/>
        <v>259.52807665663926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55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3.4345949810653202</v>
      </c>
      <c r="AW38" s="23">
        <f>EXP(-LN(2)/2)*AW37+(1-EXP(-LN(2)/2))/(LN(2)/2)*AQ38*AT38*VLOOKUP('Données projet'!$B$10,Paramètres!$A$1:$I$89,3,0)*0.475*44/12</f>
        <v>6.1884968676129439</v>
      </c>
      <c r="AX38" s="23">
        <f t="shared" si="6"/>
        <v>9.6230918486782642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1.1368683772161603E-13</v>
      </c>
      <c r="BE38" s="14">
        <f>BD38*VLOOKUP('Données projet'!$B$11,Paramètres!$A$1:$I$89,3,0)*VLOOKUP('Données projet'!$B$11,Paramètres!$A$1:$I$89,5,0)</f>
        <v>6.7984728957526396E-14</v>
      </c>
      <c r="BF38" s="14">
        <f t="shared" si="37"/>
        <v>1.0682447123141398E-12</v>
      </c>
      <c r="BG38" s="22">
        <f t="shared" si="7"/>
        <v>1.978932943548152E-12</v>
      </c>
      <c r="BH38" s="62">
        <f t="shared" si="8"/>
        <v>293.3333333333353</v>
      </c>
      <c r="BI38" s="62">
        <f ca="1">AVERAGE(OFFSET($BH$3,0,0,'Données projet'!$E$11+1,1))-AVERAGE(OFFSET($H$3,0,0,'Données projet'!$E$11+1,1))</f>
        <v>149.5086927376081</v>
      </c>
      <c r="BJ38" s="62">
        <f t="shared" si="38"/>
        <v>364.59164590134498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48.293556494552853</v>
      </c>
      <c r="BQ38" s="23">
        <f>EXP(-LN(2)/25)*BQ37+(1-EXP(-LN(2)/25))/(LN(2)/25)*Calculateur!BL38*Calculateur!BN38*VLOOKUP('Données projet'!$B$11,Paramètres!$A$1:$I$89,3,0)*0.475*44/12</f>
        <v>38.259665408199417</v>
      </c>
      <c r="BR38" s="23">
        <f>EXP(-LN(2)/2)*BR37+(1-EXP(-LN(2)/2))/(LN(2)/2)*BL38*BO38*VLOOKUP('Données projet'!$B$11,Paramètres!$A$1:$I$89,3,0)*0.475*44/12</f>
        <v>7.7016983071144107</v>
      </c>
      <c r="BS38" s="24">
        <f t="shared" si="9"/>
        <v>94.254920209866683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12.625</v>
      </c>
      <c r="N39" s="14">
        <f>IF('Données projet'!$A$36&gt;35,N38+M39-V38,IF(A39&lt;'Données projet'!$A$36,$K$205^A39,IF(A39='Données projet'!$A$36,'Données projet'!$B$36,N38+M39-V38)))</f>
        <v>312.75000000000006</v>
      </c>
      <c r="O39" s="14">
        <f>N39*VLOOKUP('Données projet'!$B$9,Paramètres!$A$1:$I$89,3,0)*VLOOKUP('Données projet'!$B$9,Paramètres!$A$1:$I$89,5,0)</f>
        <v>187.02450000000005</v>
      </c>
      <c r="P39" s="14">
        <f t="shared" si="33"/>
        <v>46.881508940362963</v>
      </c>
      <c r="Q39" s="22">
        <f t="shared" si="53"/>
        <v>407.38629890446555</v>
      </c>
      <c r="R39" s="62">
        <f t="shared" si="0"/>
        <v>700.71963223779881</v>
      </c>
      <c r="S39" s="62">
        <f ca="1">AVERAGE(OFFSET($R$3,0,0,'Données projet'!$E$9+1,1))-AVERAGE(OFFSET($H$3,0,0,'Données projet'!$E$9+1,1))</f>
        <v>160.22474733551678</v>
      </c>
      <c r="T39" s="62">
        <f t="shared" si="34"/>
        <v>272.72162271905523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18.2</v>
      </c>
      <c r="AI39" s="14">
        <f>IF('Données projet'!$A$62&gt;35,AI38+AH39-AQ38,IF(A39&lt;'Données projet'!$A$62,$AF$205^A39,IF(A39='Données projet'!$A$62,'Données projet'!$B$62,AI38+AH39-AQ38)))</f>
        <v>241.2000000000001</v>
      </c>
      <c r="AJ39" s="14">
        <f>AI39*VLOOKUP('Données projet'!$B$10,Paramètres!$A$1:$I$89,3,0)*VLOOKUP('Données projet'!$B$10,Paramètres!$A$1:$I$89,5,0)</f>
        <v>137.96640000000005</v>
      </c>
      <c r="AK39" s="14">
        <f t="shared" si="35"/>
        <v>35.83074030209302</v>
      </c>
      <c r="AL39" s="22">
        <f t="shared" si="4"/>
        <v>302.69668602614541</v>
      </c>
      <c r="AM39" s="62">
        <f t="shared" si="5"/>
        <v>596.03001935947873</v>
      </c>
      <c r="AN39" s="62">
        <f ca="1">AVERAGE(OFFSET($AM$3,0,0,'Données projet'!$E$10+1,1))-AVERAGE(OFFSET($H$3,0,0,'Données projet'!$E$10+1,1))</f>
        <v>227.80096215475777</v>
      </c>
      <c r="AO39" s="62">
        <f t="shared" si="36"/>
        <v>259.52807665663926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3.340675800690589</v>
      </c>
      <c r="AW39" s="23">
        <f>EXP(-LN(2)/2)*AW38+(1-EXP(-LN(2)/2))/(LN(2)/2)*AQ39*AT39*VLOOKUP('Données projet'!$B$10,Paramètres!$A$1:$I$89,3,0)*0.475*44/12</f>
        <v>4.375928100440821</v>
      </c>
      <c r="AX39" s="23">
        <f t="shared" si="6"/>
        <v>7.7166039011314105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1.1368683772161603E-13</v>
      </c>
      <c r="BE39" s="14">
        <f>BD39*VLOOKUP('Données projet'!$B$11,Paramètres!$A$1:$I$89,3,0)*VLOOKUP('Données projet'!$B$11,Paramètres!$A$1:$I$89,5,0)</f>
        <v>6.7984728957526396E-14</v>
      </c>
      <c r="BF39" s="14">
        <f t="shared" si="37"/>
        <v>1.0682447123141398E-12</v>
      </c>
      <c r="BG39" s="22">
        <f t="shared" si="7"/>
        <v>1.978932943548152E-12</v>
      </c>
      <c r="BH39" s="62">
        <f t="shared" si="8"/>
        <v>293.3333333333353</v>
      </c>
      <c r="BI39" s="62">
        <f ca="1">AVERAGE(OFFSET($BH$3,0,0,'Données projet'!$E$11+1,1))-AVERAGE(OFFSET($H$3,0,0,'Données projet'!$E$11+1,1))</f>
        <v>149.5086927376081</v>
      </c>
      <c r="BJ39" s="62">
        <f t="shared" si="38"/>
        <v>364.59164590134498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47.346549307855575</v>
      </c>
      <c r="BQ39" s="23">
        <f>EXP(-LN(2)/25)*BQ38+(1-EXP(-LN(2)/25))/(LN(2)/25)*Calculateur!BL39*Calculateur!BN39*VLOOKUP('Données projet'!$B$11,Paramètres!$A$1:$I$89,3,0)*0.475*44/12</f>
        <v>37.213452845623841</v>
      </c>
      <c r="BR39" s="23">
        <f>EXP(-LN(2)/2)*BR38+(1-EXP(-LN(2)/2))/(LN(2)/2)*BL39*BO39*VLOOKUP('Données projet'!$B$11,Paramètres!$A$1:$I$89,3,0)*0.475*44/12</f>
        <v>5.4459230996135535</v>
      </c>
      <c r="BS39" s="24">
        <f t="shared" si="9"/>
        <v>90.005925253092968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12.625</v>
      </c>
      <c r="N40" s="14">
        <f>IF('Données projet'!$A$36&gt;35,N39+M40-V39,IF(A40&lt;'Données projet'!$A$36,$K$205^A40,IF(A40='Données projet'!$A$36,'Données projet'!$B$36,N39+M40-V39)))</f>
        <v>325.37500000000006</v>
      </c>
      <c r="O40" s="14">
        <f>N40*VLOOKUP('Données projet'!$B$9,Paramètres!$A$1:$I$89,3,0)*VLOOKUP('Données projet'!$B$9,Paramètres!$A$1:$I$89,5,0)</f>
        <v>194.57425000000006</v>
      </c>
      <c r="P40" s="14">
        <f t="shared" si="33"/>
        <v>48.54985011520143</v>
      </c>
      <c r="Q40" s="22">
        <f t="shared" si="53"/>
        <v>423.44114103397595</v>
      </c>
      <c r="R40" s="62">
        <f t="shared" si="0"/>
        <v>716.77447436730927</v>
      </c>
      <c r="S40" s="62">
        <f ca="1">AVERAGE(OFFSET($R$3,0,0,'Données projet'!$E$9+1,1))-AVERAGE(OFFSET($H$3,0,0,'Données projet'!$E$9+1,1))</f>
        <v>160.22474733551678</v>
      </c>
      <c r="T40" s="62">
        <f t="shared" si="34"/>
        <v>272.72162271905523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18.2</v>
      </c>
      <c r="AI40" s="14">
        <f>IF('Données projet'!$A$62&gt;35,AI39+AH40-AQ39,IF(A40&lt;'Données projet'!$A$62,$AF$205^A40,IF(A40='Données projet'!$A$62,'Données projet'!$B$62,AI39+AH40-AQ39)))</f>
        <v>259.40000000000009</v>
      </c>
      <c r="AJ40" s="14">
        <f>AI40*VLOOKUP('Données projet'!$B$10,Paramètres!$A$1:$I$89,3,0)*VLOOKUP('Données projet'!$B$10,Paramètres!$A$1:$I$89,5,0)</f>
        <v>148.37680000000006</v>
      </c>
      <c r="AK40" s="14">
        <f t="shared" si="35"/>
        <v>38.209474335310738</v>
      </c>
      <c r="AL40" s="22">
        <f t="shared" si="4"/>
        <v>324.97109446733299</v>
      </c>
      <c r="AM40" s="62">
        <f t="shared" si="5"/>
        <v>618.3044278006663</v>
      </c>
      <c r="AN40" s="62">
        <f ca="1">AVERAGE(OFFSET($AM$3,0,0,'Données projet'!$E$10+1,1))-AVERAGE(OFFSET($H$3,0,0,'Données projet'!$E$10+1,1))</f>
        <v>227.80096215475777</v>
      </c>
      <c r="AO40" s="62">
        <f t="shared" si="36"/>
        <v>259.52807665663926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3.2493248452421999</v>
      </c>
      <c r="AW40" s="23">
        <f>EXP(-LN(2)/2)*AW39+(1-EXP(-LN(2)/2))/(LN(2)/2)*AQ40*AT40*VLOOKUP('Données projet'!$B$10,Paramètres!$A$1:$I$89,3,0)*0.475*44/12</f>
        <v>3.0942484338064724</v>
      </c>
      <c r="AX40" s="23">
        <f t="shared" si="6"/>
        <v>6.3435732790486723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1.1368683772161603E-13</v>
      </c>
      <c r="BE40" s="14">
        <f>BD40*VLOOKUP('Données projet'!$B$11,Paramètres!$A$1:$I$89,3,0)*VLOOKUP('Données projet'!$B$11,Paramètres!$A$1:$I$89,5,0)</f>
        <v>6.7984728957526396E-14</v>
      </c>
      <c r="BF40" s="14">
        <f t="shared" si="37"/>
        <v>1.0682447123141398E-12</v>
      </c>
      <c r="BG40" s="22">
        <f t="shared" si="7"/>
        <v>1.978932943548152E-12</v>
      </c>
      <c r="BH40" s="62">
        <f t="shared" si="8"/>
        <v>293.3333333333353</v>
      </c>
      <c r="BI40" s="62">
        <f ca="1">AVERAGE(OFFSET($BH$3,0,0,'Données projet'!$E$11+1,1))-AVERAGE(OFFSET($H$3,0,0,'Données projet'!$E$11+1,1))</f>
        <v>149.5086927376081</v>
      </c>
      <c r="BJ40" s="62">
        <f t="shared" si="38"/>
        <v>364.59164590134498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46.418112354472086</v>
      </c>
      <c r="BQ40" s="23">
        <f>EXP(-LN(2)/25)*BQ39+(1-EXP(-LN(2)/25))/(LN(2)/25)*Calculateur!BL40*Calculateur!BN40*VLOOKUP('Données projet'!$B$11,Paramètres!$A$1:$I$89,3,0)*0.475*44/12</f>
        <v>36.195849020589826</v>
      </c>
      <c r="BR40" s="23">
        <f>EXP(-LN(2)/2)*BR39+(1-EXP(-LN(2)/2))/(LN(2)/2)*BL40*BO40*VLOOKUP('Données projet'!$B$11,Paramètres!$A$1:$I$89,3,0)*0.475*44/12</f>
        <v>3.8508491535572058</v>
      </c>
      <c r="BS40" s="24">
        <f t="shared" si="9"/>
        <v>86.464810528619111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12.625</v>
      </c>
      <c r="M41" s="13">
        <f t="array" ref="M41">INDEX(L:L,MIN(IF(ISNUMBER(L41:L237),ROW(L41:L237),"")))</f>
        <v>12.625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160.22474733551678</v>
      </c>
      <c r="T41" s="62">
        <f t="shared" si="34"/>
        <v>272.72162271905523</v>
      </c>
      <c r="U41" s="16">
        <f>IF(ISNA(VLOOKUP(A41,'Données projet'!$A$35:$I$55,3,0)),0,VLOOKUP(A41,'Données projet'!$A$35:$I$55,3,0))</f>
        <v>5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18.2</v>
      </c>
      <c r="AI41" s="14">
        <f>IF('Données projet'!$A$62&gt;35,AI40+AH41-AQ40,IF(A41&lt;'Données projet'!$A$62,$AF$205^A41,IF(A41='Données projet'!$A$62,'Données projet'!$B$62,AI40+AH41-AQ40)))</f>
        <v>277.60000000000008</v>
      </c>
      <c r="AJ41" s="14">
        <f>AI41*VLOOKUP('Données projet'!$B$10,Paramètres!$A$1:$I$89,3,0)*VLOOKUP('Données projet'!$B$10,Paramètres!$A$1:$I$89,5,0)</f>
        <v>158.78720000000004</v>
      </c>
      <c r="AK41" s="14">
        <f t="shared" si="35"/>
        <v>40.568843961177315</v>
      </c>
      <c r="AL41" s="22">
        <f t="shared" si="4"/>
        <v>347.21177656571723</v>
      </c>
      <c r="AM41" s="62">
        <f t="shared" si="5"/>
        <v>640.54510989905054</v>
      </c>
      <c r="AN41" s="62">
        <f ca="1">AVERAGE(OFFSET($AM$3,0,0,'Données projet'!$E$10+1,1))-AVERAGE(OFFSET($H$3,0,0,'Données projet'!$E$10+1,1))</f>
        <v>227.80096215475777</v>
      </c>
      <c r="AO41" s="62">
        <f t="shared" si="36"/>
        <v>259.52807665663926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3.1604718864744847</v>
      </c>
      <c r="AW41" s="23">
        <f>EXP(-LN(2)/2)*AW40+(1-EXP(-LN(2)/2))/(LN(2)/2)*AQ41*AT41*VLOOKUP('Données projet'!$B$10,Paramètres!$A$1:$I$89,3,0)*0.475*44/12</f>
        <v>2.187964050220411</v>
      </c>
      <c r="AX41" s="23">
        <f t="shared" si="6"/>
        <v>5.3484359366948961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1.1368683772161603E-13</v>
      </c>
      <c r="BE41" s="14">
        <f>BD41*VLOOKUP('Données projet'!$B$11,Paramètres!$A$1:$I$89,3,0)*VLOOKUP('Données projet'!$B$11,Paramètres!$A$1:$I$89,5,0)</f>
        <v>6.7984728957526396E-14</v>
      </c>
      <c r="BF41" s="14">
        <f t="shared" si="37"/>
        <v>1.0682447123141398E-12</v>
      </c>
      <c r="BG41" s="22">
        <f t="shared" si="7"/>
        <v>1.978932943548152E-12</v>
      </c>
      <c r="BH41" s="62">
        <f t="shared" si="8"/>
        <v>293.3333333333353</v>
      </c>
      <c r="BI41" s="62">
        <f ca="1">AVERAGE(OFFSET($BH$3,0,0,'Données projet'!$E$11+1,1))-AVERAGE(OFFSET($H$3,0,0,'Données projet'!$E$11+1,1))</f>
        <v>149.5086927376081</v>
      </c>
      <c r="BJ41" s="62">
        <f t="shared" si="38"/>
        <v>364.59164590134498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45.507881483453822</v>
      </c>
      <c r="BQ41" s="23">
        <f>EXP(-LN(2)/25)*BQ40+(1-EXP(-LN(2)/25))/(LN(2)/25)*Calculateur!BL41*Calculateur!BN41*VLOOKUP('Données projet'!$B$11,Paramètres!$A$1:$I$89,3,0)*0.475*44/12</f>
        <v>35.206071625664826</v>
      </c>
      <c r="BR41" s="23">
        <f>EXP(-LN(2)/2)*BR40+(1-EXP(-LN(2)/2))/(LN(2)/2)*BL41*BO41*VLOOKUP('Données projet'!$B$11,Paramètres!$A$1:$I$89,3,0)*0.475*44/12</f>
        <v>2.7229615498067772</v>
      </c>
      <c r="BS41" s="24">
        <f t="shared" si="9"/>
        <v>83.436914658925431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160.22474733551678</v>
      </c>
      <c r="T42" s="62">
        <f t="shared" si="34"/>
        <v>272.72162271905523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18.2</v>
      </c>
      <c r="AI42" s="14">
        <f>IF('Données projet'!$A$62&gt;35,AI41+AH42-AQ41,IF(A42&lt;'Données projet'!$A$62,$AF$205^A42,IF(A42='Données projet'!$A$62,'Données projet'!$B$62,AI41+AH42-AQ41)))</f>
        <v>295.80000000000007</v>
      </c>
      <c r="AJ42" s="14">
        <f>AI42*VLOOKUP('Données projet'!$B$10,Paramètres!$A$1:$I$89,3,0)*VLOOKUP('Données projet'!$B$10,Paramètres!$A$1:$I$89,5,0)</f>
        <v>169.19760000000005</v>
      </c>
      <c r="AK42" s="14">
        <f t="shared" si="35"/>
        <v>42.910263223432885</v>
      </c>
      <c r="AL42" s="22">
        <f t="shared" si="4"/>
        <v>369.42119511414563</v>
      </c>
      <c r="AM42" s="62">
        <f t="shared" si="5"/>
        <v>662.75452844747895</v>
      </c>
      <c r="AN42" s="62">
        <f ca="1">AVERAGE(OFFSET($AM$3,0,0,'Données projet'!$E$10+1,1))-AVERAGE(OFFSET($H$3,0,0,'Données projet'!$E$10+1,1))</f>
        <v>227.80096215475777</v>
      </c>
      <c r="AO42" s="62">
        <f t="shared" si="36"/>
        <v>259.52807665663926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3.0740486165368468</v>
      </c>
      <c r="AW42" s="23">
        <f>EXP(-LN(2)/2)*AW41+(1-EXP(-LN(2)/2))/(LN(2)/2)*AQ42*AT42*VLOOKUP('Données projet'!$B$10,Paramètres!$A$1:$I$89,3,0)*0.475*44/12</f>
        <v>1.5471242169032364</v>
      </c>
      <c r="AX42" s="23">
        <f t="shared" si="6"/>
        <v>4.6211728334400828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1.1368683772161603E-13</v>
      </c>
      <c r="BE42" s="14">
        <f>BD42*VLOOKUP('Données projet'!$B$11,Paramètres!$A$1:$I$89,3,0)*VLOOKUP('Données projet'!$B$11,Paramètres!$A$1:$I$89,5,0)</f>
        <v>6.7984728957526396E-14</v>
      </c>
      <c r="BF42" s="14">
        <f t="shared" si="37"/>
        <v>1.0682447123141398E-12</v>
      </c>
      <c r="BG42" s="22">
        <f t="shared" si="7"/>
        <v>1.978932943548152E-12</v>
      </c>
      <c r="BH42" s="62">
        <f t="shared" si="8"/>
        <v>293.3333333333353</v>
      </c>
      <c r="BI42" s="62">
        <f ca="1">AVERAGE(OFFSET($BH$3,0,0,'Données projet'!$E$11+1,1))-AVERAGE(OFFSET($H$3,0,0,'Données projet'!$E$11+1,1))</f>
        <v>149.5086927376081</v>
      </c>
      <c r="BJ42" s="62">
        <f t="shared" si="38"/>
        <v>364.59164590134498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44.615499684630215</v>
      </c>
      <c r="BQ42" s="23">
        <f>EXP(-LN(2)/25)*BQ41+(1-EXP(-LN(2)/25))/(LN(2)/25)*Calculateur!BL42*Calculateur!BN42*VLOOKUP('Données projet'!$B$11,Paramètres!$A$1:$I$89,3,0)*0.475*44/12</f>
        <v>34.243359745654182</v>
      </c>
      <c r="BR42" s="23">
        <f>EXP(-LN(2)/2)*BR41+(1-EXP(-LN(2)/2))/(LN(2)/2)*BL42*BO42*VLOOKUP('Données projet'!$B$11,Paramètres!$A$1:$I$89,3,0)*0.475*44/12</f>
        <v>1.9254245767786033</v>
      </c>
      <c r="BS42" s="24">
        <f t="shared" si="9"/>
        <v>80.784284007063007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160.22474733551678</v>
      </c>
      <c r="T43" s="62">
        <f t="shared" si="34"/>
        <v>272.72162271905523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314</v>
      </c>
      <c r="AG43" s="13">
        <f>VLOOKUP(A43,'Données projet'!$A$61:$I$81,9,0)</f>
        <v>18.2</v>
      </c>
      <c r="AH43" s="13">
        <f t="array" ref="AH43">INDEX(AG:AG,MIN(IF(ISNUMBER(AG43:AG239),ROW(AG43:AG239),"")))</f>
        <v>18.2</v>
      </c>
      <c r="AI43" s="14">
        <f>IF('Données projet'!$A$62&gt;35,AI42+AH43-AQ42,IF(A43&lt;'Données projet'!$A$62,$AF$205^A43,IF(A43='Données projet'!$A$62,'Données projet'!$B$62,AI42+AH43-AQ42)))</f>
        <v>314.00000000000006</v>
      </c>
      <c r="AJ43" s="14">
        <f>AI43*VLOOKUP('Données projet'!$B$10,Paramètres!$A$1:$I$89,3,0)*VLOOKUP('Données projet'!$B$10,Paramètres!$A$1:$I$89,5,0)</f>
        <v>179.60800000000003</v>
      </c>
      <c r="AK43" s="14">
        <f t="shared" si="35"/>
        <v>45.234962325837898</v>
      </c>
      <c r="AL43" s="22">
        <f t="shared" si="4"/>
        <v>391.60149271750106</v>
      </c>
      <c r="AM43" s="62">
        <f t="shared" si="5"/>
        <v>684.93482605083432</v>
      </c>
      <c r="AN43" s="62">
        <f ca="1">AVERAGE(OFFSET($AM$3,0,0,'Données projet'!$E$10+1,1))-AVERAGE(OFFSET($H$3,0,0,'Données projet'!$E$10+1,1))</f>
        <v>227.80096215475777</v>
      </c>
      <c r="AO43" s="62">
        <f t="shared" si="36"/>
        <v>259.52807665663926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51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2.9899885954604559</v>
      </c>
      <c r="AW43" s="23">
        <f>EXP(-LN(2)/2)*AW42+(1-EXP(-LN(2)/2))/(LN(2)/2)*AQ43*AT43*VLOOKUP('Données projet'!$B$10,Paramètres!$A$1:$I$89,3,0)*0.475*44/12</f>
        <v>1.0939820251102055</v>
      </c>
      <c r="AX43" s="23">
        <f t="shared" si="6"/>
        <v>4.0839706205706614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1.1368683772161603E-13</v>
      </c>
      <c r="BE43" s="14">
        <f>BD43*VLOOKUP('Données projet'!$B$11,Paramètres!$A$1:$I$89,3,0)*VLOOKUP('Données projet'!$B$11,Paramètres!$A$1:$I$89,5,0)</f>
        <v>6.7984728957526396E-14</v>
      </c>
      <c r="BF43" s="14">
        <f t="shared" si="37"/>
        <v>1.0682447123141398E-12</v>
      </c>
      <c r="BG43" s="22">
        <f t="shared" si="7"/>
        <v>1.978932943548152E-12</v>
      </c>
      <c r="BH43" s="62">
        <f t="shared" si="8"/>
        <v>293.3333333333353</v>
      </c>
      <c r="BI43" s="62">
        <f ca="1">AVERAGE(OFFSET($BH$3,0,0,'Données projet'!$E$11+1,1))-AVERAGE(OFFSET($H$3,0,0,'Données projet'!$E$11+1,1))</f>
        <v>149.5086927376081</v>
      </c>
      <c r="BJ43" s="62">
        <f t="shared" si="38"/>
        <v>364.59164590134498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43.740616948582385</v>
      </c>
      <c r="BQ43" s="23">
        <f>EXP(-LN(2)/25)*BQ42+(1-EXP(-LN(2)/25))/(LN(2)/25)*Calculateur!BL43*Calculateur!BN43*VLOOKUP('Données projet'!$B$11,Paramètres!$A$1:$I$89,3,0)*0.475*44/12</f>
        <v>33.306973272629243</v>
      </c>
      <c r="BR43" s="23">
        <f>EXP(-LN(2)/2)*BR42+(1-EXP(-LN(2)/2))/(LN(2)/2)*BL43*BO43*VLOOKUP('Données projet'!$B$11,Paramètres!$A$1:$I$89,3,0)*0.475*44/12</f>
        <v>1.3614807749033888</v>
      </c>
      <c r="BS43" s="24">
        <f t="shared" si="9"/>
        <v>78.40907099611502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160.22474733551678</v>
      </c>
      <c r="T44" s="62">
        <f t="shared" si="34"/>
        <v>272.72162271905523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15.8</v>
      </c>
      <c r="AI44" s="14">
        <f>IF('Données projet'!$A$62&gt;35,AI43+AH44-AQ43,IF(A44&lt;'Données projet'!$A$62,$AF$205^A44,IF(A44='Données projet'!$A$62,'Données projet'!$B$62,AI43+AH44-AQ43)))</f>
        <v>278.80000000000007</v>
      </c>
      <c r="AJ44" s="14">
        <f>AI44*VLOOKUP('Données projet'!$B$10,Paramètres!$A$1:$I$89,3,0)*VLOOKUP('Données projet'!$B$10,Paramètres!$A$1:$I$89,5,0)</f>
        <v>159.47360000000003</v>
      </c>
      <c r="AK44" s="14">
        <f t="shared" si="35"/>
        <v>40.723761655082846</v>
      </c>
      <c r="AL44" s="22">
        <f t="shared" si="4"/>
        <v>348.67707154926933</v>
      </c>
      <c r="AM44" s="62">
        <f t="shared" si="5"/>
        <v>642.01040488260264</v>
      </c>
      <c r="AN44" s="62">
        <f ca="1">AVERAGE(OFFSET($AM$3,0,0,'Données projet'!$E$10+1,1))-AVERAGE(OFFSET($H$3,0,0,'Données projet'!$E$10+1,1))</f>
        <v>227.80096215475777</v>
      </c>
      <c r="AO44" s="62">
        <f t="shared" si="36"/>
        <v>259.52807665663926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2.9082272000809231</v>
      </c>
      <c r="AW44" s="23">
        <f>EXP(-LN(2)/2)*AW43+(1-EXP(-LN(2)/2))/(LN(2)/2)*AQ44*AT44*VLOOKUP('Données projet'!$B$10,Paramètres!$A$1:$I$89,3,0)*0.475*44/12</f>
        <v>0.77356210845161821</v>
      </c>
      <c r="AX44" s="23">
        <f t="shared" si="6"/>
        <v>3.681789308532541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1.1368683772161603E-13</v>
      </c>
      <c r="BE44" s="14">
        <f>BD44*VLOOKUP('Données projet'!$B$11,Paramètres!$A$1:$I$89,3,0)*VLOOKUP('Données projet'!$B$11,Paramètres!$A$1:$I$89,5,0)</f>
        <v>6.7984728957526396E-14</v>
      </c>
      <c r="BF44" s="14">
        <f t="shared" si="37"/>
        <v>1.0682447123141398E-12</v>
      </c>
      <c r="BG44" s="22">
        <f t="shared" si="7"/>
        <v>1.978932943548152E-12</v>
      </c>
      <c r="BH44" s="62">
        <f t="shared" si="8"/>
        <v>293.3333333333353</v>
      </c>
      <c r="BI44" s="62">
        <f ca="1">AVERAGE(OFFSET($BH$3,0,0,'Données projet'!$E$11+1,1))-AVERAGE(OFFSET($H$3,0,0,'Données projet'!$E$11+1,1))</f>
        <v>149.5086927376081</v>
      </c>
      <c r="BJ44" s="62">
        <f t="shared" si="38"/>
        <v>364.59164590134498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42.882890129362679</v>
      </c>
      <c r="BQ44" s="23">
        <f>EXP(-LN(2)/25)*BQ43+(1-EXP(-LN(2)/25))/(LN(2)/25)*Calculateur!BL44*Calculateur!BN44*VLOOKUP('Données projet'!$B$11,Paramètres!$A$1:$I$89,3,0)*0.475*44/12</f>
        <v>32.396192336951593</v>
      </c>
      <c r="BR44" s="23">
        <f>EXP(-LN(2)/2)*BR43+(1-EXP(-LN(2)/2))/(LN(2)/2)*BL44*BO44*VLOOKUP('Données projet'!$B$11,Paramètres!$A$1:$I$89,3,0)*0.475*44/12</f>
        <v>0.96271228838930178</v>
      </c>
      <c r="BS44" s="24">
        <f t="shared" si="9"/>
        <v>76.241794754703562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160.22474733551678</v>
      </c>
      <c r="T45" s="62">
        <f t="shared" si="34"/>
        <v>272.72162271905523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15.8</v>
      </c>
      <c r="AI45" s="14">
        <f>IF('Données projet'!$A$62&gt;35,AI44+AH45-AQ44,IF(A45&lt;'Données projet'!$A$62,$AF$205^A45,IF(A45='Données projet'!$A$62,'Données projet'!$B$62,AI44+AH45-AQ44)))</f>
        <v>294.60000000000008</v>
      </c>
      <c r="AJ45" s="14">
        <f>AI45*VLOOKUP('Données projet'!$B$10,Paramètres!$A$1:$I$89,3,0)*VLOOKUP('Données projet'!$B$10,Paramètres!$A$1:$I$89,5,0)</f>
        <v>168.51120000000003</v>
      </c>
      <c r="AK45" s="14">
        <f t="shared" si="35"/>
        <v>42.756411401172556</v>
      </c>
      <c r="AL45" s="22">
        <f t="shared" si="4"/>
        <v>367.95775652370889</v>
      </c>
      <c r="AM45" s="62">
        <f t="shared" si="5"/>
        <v>661.29108985704215</v>
      </c>
      <c r="AN45" s="62">
        <f ca="1">AVERAGE(OFFSET($AM$3,0,0,'Données projet'!$E$10+1,1))-AVERAGE(OFFSET($H$3,0,0,'Données projet'!$E$10+1,1))</f>
        <v>227.80096215475777</v>
      </c>
      <c r="AO45" s="62">
        <f t="shared" si="36"/>
        <v>259.52807665663926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2.8287015743576887</v>
      </c>
      <c r="AW45" s="23">
        <f>EXP(-LN(2)/2)*AW44+(1-EXP(-LN(2)/2))/(LN(2)/2)*AQ45*AT45*VLOOKUP('Données projet'!$B$10,Paramètres!$A$1:$I$89,3,0)*0.475*44/12</f>
        <v>0.54699101255510274</v>
      </c>
      <c r="AX45" s="23">
        <f t="shared" si="6"/>
        <v>3.3756925869127912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1.1368683772161603E-13</v>
      </c>
      <c r="BE45" s="14">
        <f>BD45*VLOOKUP('Données projet'!$B$11,Paramètres!$A$1:$I$89,3,0)*VLOOKUP('Données projet'!$B$11,Paramètres!$A$1:$I$89,5,0)</f>
        <v>6.7984728957526396E-14</v>
      </c>
      <c r="BF45" s="14">
        <f t="shared" si="37"/>
        <v>1.0682447123141398E-12</v>
      </c>
      <c r="BG45" s="22">
        <f t="shared" si="7"/>
        <v>1.978932943548152E-12</v>
      </c>
      <c r="BH45" s="62">
        <f t="shared" si="8"/>
        <v>293.3333333333353</v>
      </c>
      <c r="BI45" s="62">
        <f ca="1">AVERAGE(OFFSET($BH$3,0,0,'Données projet'!$E$11+1,1))-AVERAGE(OFFSET($H$3,0,0,'Données projet'!$E$11+1,1))</f>
        <v>149.5086927376081</v>
      </c>
      <c r="BJ45" s="62">
        <f t="shared" si="38"/>
        <v>364.59164590134498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42.041982809906166</v>
      </c>
      <c r="BQ45" s="23">
        <f>EXP(-LN(2)/25)*BQ44+(1-EXP(-LN(2)/25))/(LN(2)/25)*Calculateur!BL45*Calculateur!BN45*VLOOKUP('Données projet'!$B$11,Paramètres!$A$1:$I$89,3,0)*0.475*44/12</f>
        <v>31.510316753855939</v>
      </c>
      <c r="BR45" s="23">
        <f>EXP(-LN(2)/2)*BR44+(1-EXP(-LN(2)/2))/(LN(2)/2)*BL45*BO45*VLOOKUP('Données projet'!$B$11,Paramètres!$A$1:$I$89,3,0)*0.475*44/12</f>
        <v>0.68074038745169452</v>
      </c>
      <c r="BS45" s="24">
        <f t="shared" si="9"/>
        <v>74.233039951213797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160.22474733551678</v>
      </c>
      <c r="T46" s="62">
        <f t="shared" si="34"/>
        <v>272.72162271905523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15.8</v>
      </c>
      <c r="AI46" s="14">
        <f>IF('Données projet'!$A$62&gt;35,AI45+AH46-AQ45,IF(A46&lt;'Données projet'!$A$62,$AF$205^A46,IF(A46='Données projet'!$A$62,'Données projet'!$B$62,AI45+AH46-AQ45)))</f>
        <v>310.40000000000009</v>
      </c>
      <c r="AJ46" s="14">
        <f>AI46*VLOOKUP('Données projet'!$B$10,Paramètres!$A$1:$I$89,3,0)*VLOOKUP('Données projet'!$B$10,Paramètres!$A$1:$I$89,5,0)</f>
        <v>177.54880000000009</v>
      </c>
      <c r="AK46" s="14">
        <f t="shared" si="35"/>
        <v>44.776404903828755</v>
      </c>
      <c r="AL46" s="22">
        <f t="shared" si="4"/>
        <v>387.2163985408352</v>
      </c>
      <c r="AM46" s="62">
        <f t="shared" si="5"/>
        <v>680.54973187416851</v>
      </c>
      <c r="AN46" s="62">
        <f ca="1">AVERAGE(OFFSET($AM$3,0,0,'Données projet'!$E$10+1,1))-AVERAGE(OFFSET($H$3,0,0,'Données projet'!$E$10+1,1))</f>
        <v>227.80096215475777</v>
      </c>
      <c r="AO46" s="62">
        <f t="shared" si="36"/>
        <v>259.52807665663926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2.751350581051927</v>
      </c>
      <c r="AW46" s="23">
        <f>EXP(-LN(2)/2)*AW45+(1-EXP(-LN(2)/2))/(LN(2)/2)*AQ46*AT46*VLOOKUP('Données projet'!$B$10,Paramètres!$A$1:$I$89,3,0)*0.475*44/12</f>
        <v>0.38678105422580911</v>
      </c>
      <c r="AX46" s="23">
        <f t="shared" si="6"/>
        <v>3.1381316352777362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1.1368683772161603E-13</v>
      </c>
      <c r="BE46" s="14">
        <f>BD46*VLOOKUP('Données projet'!$B$11,Paramètres!$A$1:$I$89,3,0)*VLOOKUP('Données projet'!$B$11,Paramètres!$A$1:$I$89,5,0)</f>
        <v>6.7984728957526396E-14</v>
      </c>
      <c r="BF46" s="14">
        <f t="shared" si="37"/>
        <v>1.0682447123141398E-12</v>
      </c>
      <c r="BG46" s="22">
        <f t="shared" si="7"/>
        <v>1.978932943548152E-12</v>
      </c>
      <c r="BH46" s="62">
        <f t="shared" si="8"/>
        <v>293.3333333333353</v>
      </c>
      <c r="BI46" s="62">
        <f ca="1">AVERAGE(OFFSET($BH$3,0,0,'Données projet'!$E$11+1,1))-AVERAGE(OFFSET($H$3,0,0,'Données projet'!$E$11+1,1))</f>
        <v>149.5086927376081</v>
      </c>
      <c r="BJ46" s="62">
        <f t="shared" si="38"/>
        <v>364.59164590134498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41.217565170081379</v>
      </c>
      <c r="BQ46" s="23">
        <f>EXP(-LN(2)/25)*BQ45+(1-EXP(-LN(2)/25))/(LN(2)/25)*Calculateur!BL46*Calculateur!BN46*VLOOKUP('Données projet'!$B$11,Paramètres!$A$1:$I$89,3,0)*0.475*44/12</f>
        <v>30.648665485166209</v>
      </c>
      <c r="BR46" s="23">
        <f>EXP(-LN(2)/2)*BR45+(1-EXP(-LN(2)/2))/(LN(2)/2)*BL46*BO46*VLOOKUP('Données projet'!$B$11,Paramètres!$A$1:$I$89,3,0)*0.475*44/12</f>
        <v>0.48135614419465095</v>
      </c>
      <c r="BS46" s="24">
        <f t="shared" si="9"/>
        <v>72.34758679944224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160.22474733551678</v>
      </c>
      <c r="T47" s="62">
        <f t="shared" si="34"/>
        <v>272.72162271905523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15.8</v>
      </c>
      <c r="AI47" s="14">
        <f>IF('Données projet'!$A$62&gt;35,AI46+AH47-AQ46,IF(A47&lt;'Données projet'!$A$62,$AF$205^A47,IF(A47='Données projet'!$A$62,'Données projet'!$B$62,AI46+AH47-AQ46)))</f>
        <v>326.2000000000001</v>
      </c>
      <c r="AJ47" s="14">
        <f>AI47*VLOOKUP('Données projet'!$B$10,Paramètres!$A$1:$I$89,3,0)*VLOOKUP('Données projet'!$B$10,Paramètres!$A$1:$I$89,5,0)</f>
        <v>186.58640000000008</v>
      </c>
      <c r="AK47" s="14">
        <f t="shared" si="35"/>
        <v>46.784459888812734</v>
      </c>
      <c r="AL47" s="22">
        <f t="shared" si="4"/>
        <v>406.45424763968231</v>
      </c>
      <c r="AM47" s="62">
        <f t="shared" si="5"/>
        <v>699.78758097301557</v>
      </c>
      <c r="AN47" s="62">
        <f ca="1">AVERAGE(OFFSET($AM$3,0,0,'Données projet'!$E$10+1,1))-AVERAGE(OFFSET($H$3,0,0,'Données projet'!$E$10+1,1))</f>
        <v>227.80096215475777</v>
      </c>
      <c r="AO47" s="62">
        <f t="shared" si="36"/>
        <v>259.52807665663926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2.6761147547258233</v>
      </c>
      <c r="AW47" s="23">
        <f>EXP(-LN(2)/2)*AW46+(1-EXP(-LN(2)/2))/(LN(2)/2)*AQ47*AT47*VLOOKUP('Données projet'!$B$10,Paramètres!$A$1:$I$89,3,0)*0.475*44/12</f>
        <v>0.27349550627755137</v>
      </c>
      <c r="AX47" s="23">
        <f t="shared" si="6"/>
        <v>2.9496102610033748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1.1368683772161603E-13</v>
      </c>
      <c r="BE47" s="14">
        <f>BD47*VLOOKUP('Données projet'!$B$11,Paramètres!$A$1:$I$89,3,0)*VLOOKUP('Données projet'!$B$11,Paramètres!$A$1:$I$89,5,0)</f>
        <v>6.7984728957526396E-14</v>
      </c>
      <c r="BF47" s="14">
        <f t="shared" si="37"/>
        <v>1.0682447123141398E-12</v>
      </c>
      <c r="BG47" s="22">
        <f t="shared" si="7"/>
        <v>1.978932943548152E-12</v>
      </c>
      <c r="BH47" s="62">
        <f t="shared" si="8"/>
        <v>293.3333333333353</v>
      </c>
      <c r="BI47" s="62">
        <f ca="1">AVERAGE(OFFSET($BH$3,0,0,'Données projet'!$E$11+1,1))-AVERAGE(OFFSET($H$3,0,0,'Données projet'!$E$11+1,1))</f>
        <v>149.5086927376081</v>
      </c>
      <c r="BJ47" s="62">
        <f t="shared" si="38"/>
        <v>364.59164590134498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40.409313857328442</v>
      </c>
      <c r="BQ47" s="23">
        <f>EXP(-LN(2)/25)*BQ46+(1-EXP(-LN(2)/25))/(LN(2)/25)*Calculateur!BL47*Calculateur!BN47*VLOOKUP('Données projet'!$B$11,Paramètres!$A$1:$I$89,3,0)*0.475*44/12</f>
        <v>29.81057611573107</v>
      </c>
      <c r="BR47" s="23">
        <f>EXP(-LN(2)/2)*BR46+(1-EXP(-LN(2)/2))/(LN(2)/2)*BL47*BO47*VLOOKUP('Données projet'!$B$11,Paramètres!$A$1:$I$89,3,0)*0.475*44/12</f>
        <v>0.34037019372584731</v>
      </c>
      <c r="BS47" s="24">
        <f t="shared" si="9"/>
        <v>70.560260166785355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160.22474733551678</v>
      </c>
      <c r="T48" s="62">
        <f t="shared" si="34"/>
        <v>272.72162271905523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342</v>
      </c>
      <c r="AG48" s="13">
        <f>VLOOKUP(A48,'Données projet'!$A$61:$I$81,9,0)</f>
        <v>15.8</v>
      </c>
      <c r="AH48" s="13">
        <f t="array" ref="AH48">INDEX(AG:AG,MIN(IF(ISNUMBER(AG48:AG244),ROW(AG48:AG244),"")))</f>
        <v>15.8</v>
      </c>
      <c r="AI48" s="14">
        <f>IF('Données projet'!$A$62&gt;35,AI47+AH48-AQ47,IF(A48&lt;'Données projet'!$A$62,$AF$205^A48,IF(A48='Données projet'!$A$62,'Données projet'!$B$62,AI47+AH48-AQ47)))</f>
        <v>342.00000000000011</v>
      </c>
      <c r="AJ48" s="14">
        <f>AI48*VLOOKUP('Données projet'!$B$10,Paramètres!$A$1:$I$89,3,0)*VLOOKUP('Données projet'!$B$10,Paramètres!$A$1:$I$89,5,0)</f>
        <v>195.62400000000008</v>
      </c>
      <c r="AK48" s="14">
        <f t="shared" si="35"/>
        <v>48.781220625276006</v>
      </c>
      <c r="AL48" s="22">
        <f t="shared" si="4"/>
        <v>425.67242592235584</v>
      </c>
      <c r="AM48" s="62">
        <f t="shared" si="5"/>
        <v>719.0057592556891</v>
      </c>
      <c r="AN48" s="62">
        <f ca="1">AVERAGE(OFFSET($AM$3,0,0,'Données projet'!$E$10+1,1))-AVERAGE(OFFSET($H$3,0,0,'Données projet'!$E$10+1,1))</f>
        <v>227.80096215475777</v>
      </c>
      <c r="AO48" s="62">
        <f t="shared" si="36"/>
        <v>259.52807665663926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45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2.6029362560270872</v>
      </c>
      <c r="AW48" s="23">
        <f>EXP(-LN(2)/2)*AW47+(1-EXP(-LN(2)/2))/(LN(2)/2)*AQ48*AT48*VLOOKUP('Données projet'!$B$10,Paramètres!$A$1:$I$89,3,0)*0.475*44/12</f>
        <v>0.19339052711290455</v>
      </c>
      <c r="AX48" s="23">
        <f t="shared" si="6"/>
        <v>2.7963267831399916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1.1368683772161603E-13</v>
      </c>
      <c r="BE48" s="14">
        <f>BD48*VLOOKUP('Données projet'!$B$11,Paramètres!$A$1:$I$89,3,0)*VLOOKUP('Données projet'!$B$11,Paramètres!$A$1:$I$89,5,0)</f>
        <v>6.7984728957526396E-14</v>
      </c>
      <c r="BF48" s="14">
        <f t="shared" si="37"/>
        <v>1.0682447123141398E-12</v>
      </c>
      <c r="BG48" s="22">
        <f t="shared" si="7"/>
        <v>1.978932943548152E-12</v>
      </c>
      <c r="BH48" s="62">
        <f t="shared" si="8"/>
        <v>293.3333333333353</v>
      </c>
      <c r="BI48" s="62">
        <f ca="1">AVERAGE(OFFSET($BH$3,0,0,'Données projet'!$E$11+1,1))-AVERAGE(OFFSET($H$3,0,0,'Données projet'!$E$11+1,1))</f>
        <v>149.5086927376081</v>
      </c>
      <c r="BJ48" s="62">
        <f t="shared" si="38"/>
        <v>364.59164590134498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39.616911859833969</v>
      </c>
      <c r="BQ48" s="23">
        <f>EXP(-LN(2)/25)*BQ47+(1-EXP(-LN(2)/25))/(LN(2)/25)*Calculateur!BL48*Calculateur!BN48*VLOOKUP('Données projet'!$B$11,Paramètres!$A$1:$I$89,3,0)*0.475*44/12</f>
        <v>28.99540434417634</v>
      </c>
      <c r="BR48" s="23">
        <f>EXP(-LN(2)/2)*BR47+(1-EXP(-LN(2)/2))/(LN(2)/2)*BL48*BO48*VLOOKUP('Données projet'!$B$11,Paramètres!$A$1:$I$89,3,0)*0.475*44/12</f>
        <v>0.24067807209732553</v>
      </c>
      <c r="BS48" s="24">
        <f t="shared" si="9"/>
        <v>68.852994276107637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160.22474733551678</v>
      </c>
      <c r="T49" s="62">
        <f t="shared" si="34"/>
        <v>272.72162271905523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16.600000000000001</v>
      </c>
      <c r="AI49" s="14">
        <f>IF('Données projet'!$A$62&gt;35,AI48+AH49-AQ48,IF(A49&lt;'Données projet'!$A$62,$AF$205^A49,IF(A49='Données projet'!$A$62,'Données projet'!$B$62,AI48+AH49-AQ48)))</f>
        <v>313.60000000000014</v>
      </c>
      <c r="AJ49" s="14">
        <f>AI49*VLOOKUP('Données projet'!$B$10,Paramètres!$A$1:$I$89,3,0)*VLOOKUP('Données projet'!$B$10,Paramètres!$A$1:$I$89,5,0)</f>
        <v>179.37920000000008</v>
      </c>
      <c r="AK49" s="14">
        <f t="shared" si="35"/>
        <v>45.184041844985664</v>
      </c>
      <c r="AL49" s="22">
        <f t="shared" si="4"/>
        <v>391.11431288001683</v>
      </c>
      <c r="AM49" s="62">
        <f t="shared" si="5"/>
        <v>684.44764621335014</v>
      </c>
      <c r="AN49" s="62">
        <f ca="1">AVERAGE(OFFSET($AM$3,0,0,'Données projet'!$E$10+1,1))-AVERAGE(OFFSET($H$3,0,0,'Données projet'!$E$10+1,1))</f>
        <v>227.80096215475777</v>
      </c>
      <c r="AO49" s="62">
        <f t="shared" si="36"/>
        <v>259.52807665663926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2.5317588272235581</v>
      </c>
      <c r="AW49" s="23">
        <f>EXP(-LN(2)/2)*AW48+(1-EXP(-LN(2)/2))/(LN(2)/2)*AQ49*AT49*VLOOKUP('Données projet'!$B$10,Paramètres!$A$1:$I$89,3,0)*0.475*44/12</f>
        <v>0.13674775313877569</v>
      </c>
      <c r="AX49" s="23">
        <f t="shared" si="6"/>
        <v>2.6685065803623336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1.1368683772161603E-13</v>
      </c>
      <c r="BE49" s="14">
        <f>BD49*VLOOKUP('Données projet'!$B$11,Paramètres!$A$1:$I$89,3,0)*VLOOKUP('Données projet'!$B$11,Paramètres!$A$1:$I$89,5,0)</f>
        <v>6.7984728957526396E-14</v>
      </c>
      <c r="BF49" s="14">
        <f t="shared" si="37"/>
        <v>1.0682447123141398E-12</v>
      </c>
      <c r="BG49" s="22">
        <f t="shared" si="7"/>
        <v>1.978932943548152E-12</v>
      </c>
      <c r="BH49" s="62">
        <f t="shared" si="8"/>
        <v>293.3333333333353</v>
      </c>
      <c r="BI49" s="62">
        <f ca="1">AVERAGE(OFFSET($BH$3,0,0,'Données projet'!$E$11+1,1))-AVERAGE(OFFSET($H$3,0,0,'Données projet'!$E$11+1,1))</f>
        <v>149.5086927376081</v>
      </c>
      <c r="BJ49" s="62">
        <f t="shared" si="38"/>
        <v>364.59164590134498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38.840048382192869</v>
      </c>
      <c r="BQ49" s="23">
        <f>EXP(-LN(2)/25)*BQ48+(1-EXP(-LN(2)/25))/(LN(2)/25)*Calculateur!BL49*Calculateur!BN49*VLOOKUP('Données projet'!$B$11,Paramètres!$A$1:$I$89,3,0)*0.475*44/12</f>
        <v>28.202523487582791</v>
      </c>
      <c r="BR49" s="23">
        <f>EXP(-LN(2)/2)*BR48+(1-EXP(-LN(2)/2))/(LN(2)/2)*BL49*BO49*VLOOKUP('Données projet'!$B$11,Paramètres!$A$1:$I$89,3,0)*0.475*44/12</f>
        <v>0.17018509686292368</v>
      </c>
      <c r="BS49" s="24">
        <f t="shared" si="9"/>
        <v>67.21275696663858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160.22474733551678</v>
      </c>
      <c r="T50" s="62">
        <f t="shared" si="34"/>
        <v>272.72162271905523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16.600000000000001</v>
      </c>
      <c r="AI50" s="14">
        <f>IF('Données projet'!$A$62&gt;35,AI49+AH50-AQ49,IF(A50&lt;'Données projet'!$A$62,$AF$205^A50,IF(A50='Données projet'!$A$62,'Données projet'!$B$62,AI49+AH50-AQ49)))</f>
        <v>330.20000000000016</v>
      </c>
      <c r="AJ50" s="14">
        <f>AI50*VLOOKUP('Données projet'!$B$10,Paramètres!$A$1:$I$89,3,0)*VLOOKUP('Données projet'!$B$10,Paramètres!$A$1:$I$89,5,0)</f>
        <v>188.87440000000009</v>
      </c>
      <c r="AK50" s="14">
        <f t="shared" si="35"/>
        <v>47.291012680786956</v>
      </c>
      <c r="AL50" s="22">
        <f t="shared" si="4"/>
        <v>411.3214270857041</v>
      </c>
      <c r="AM50" s="62">
        <f t="shared" si="5"/>
        <v>704.65476041903742</v>
      </c>
      <c r="AN50" s="62">
        <f ca="1">AVERAGE(OFFSET($AM$3,0,0,'Données projet'!$E$10+1,1))-AVERAGE(OFFSET($H$3,0,0,'Données projet'!$E$10+1,1))</f>
        <v>227.80096215475777</v>
      </c>
      <c r="AO50" s="62">
        <f t="shared" si="36"/>
        <v>259.52807665663926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2.4625277489537196</v>
      </c>
      <c r="AW50" s="23">
        <f>EXP(-LN(2)/2)*AW49+(1-EXP(-LN(2)/2))/(LN(2)/2)*AQ50*AT50*VLOOKUP('Données projet'!$B$10,Paramètres!$A$1:$I$89,3,0)*0.475*44/12</f>
        <v>9.6695263556452277E-2</v>
      </c>
      <c r="AX50" s="23">
        <f t="shared" si="6"/>
        <v>2.5592230125101718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1.1368683772161603E-13</v>
      </c>
      <c r="BE50" s="14">
        <f>BD50*VLOOKUP('Données projet'!$B$11,Paramètres!$A$1:$I$89,3,0)*VLOOKUP('Données projet'!$B$11,Paramètres!$A$1:$I$89,5,0)</f>
        <v>6.7984728957526396E-14</v>
      </c>
      <c r="BF50" s="14">
        <f t="shared" si="37"/>
        <v>1.0682447123141398E-12</v>
      </c>
      <c r="BG50" s="22">
        <f t="shared" si="7"/>
        <v>1.978932943548152E-12</v>
      </c>
      <c r="BH50" s="62">
        <f t="shared" si="8"/>
        <v>293.3333333333353</v>
      </c>
      <c r="BI50" s="62">
        <f ca="1">AVERAGE(OFFSET($BH$3,0,0,'Données projet'!$E$11+1,1))-AVERAGE(OFFSET($H$3,0,0,'Données projet'!$E$11+1,1))</f>
        <v>149.5086927376081</v>
      </c>
      <c r="BJ50" s="62">
        <f t="shared" si="38"/>
        <v>364.59164590134498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38.078418723508378</v>
      </c>
      <c r="BQ50" s="23">
        <f>EXP(-LN(2)/25)*BQ49+(1-EXP(-LN(2)/25))/(LN(2)/25)*Calculateur!BL50*Calculateur!BN50*VLOOKUP('Données projet'!$B$11,Paramètres!$A$1:$I$89,3,0)*0.475*44/12</f>
        <v>27.431323999708589</v>
      </c>
      <c r="BR50" s="23">
        <f>EXP(-LN(2)/2)*BR49+(1-EXP(-LN(2)/2))/(LN(2)/2)*BL50*BO50*VLOOKUP('Données projet'!$B$11,Paramètres!$A$1:$I$89,3,0)*0.475*44/12</f>
        <v>0.12033903604866278</v>
      </c>
      <c r="BS50" s="24">
        <f t="shared" si="9"/>
        <v>65.630081759265622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160.22474733551678</v>
      </c>
      <c r="T51" s="62">
        <f t="shared" si="34"/>
        <v>272.72162271905523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16.600000000000001</v>
      </c>
      <c r="AI51" s="14">
        <f>IF('Données projet'!$A$62&gt;35,AI50+AH51-AQ50,IF(A51&lt;'Données projet'!$A$62,$AF$205^A51,IF(A51='Données projet'!$A$62,'Données projet'!$B$62,AI50+AH51-AQ50)))</f>
        <v>346.80000000000018</v>
      </c>
      <c r="AJ51" s="14">
        <f>AI51*VLOOKUP('Données projet'!$B$10,Paramètres!$A$1:$I$89,3,0)*VLOOKUP('Données projet'!$B$10,Paramètres!$A$1:$I$89,5,0)</f>
        <v>198.3696000000001</v>
      </c>
      <c r="AK51" s="14">
        <f t="shared" si="35"/>
        <v>49.385684634618926</v>
      </c>
      <c r="AL51" s="22">
        <f t="shared" si="4"/>
        <v>431.50712073862815</v>
      </c>
      <c r="AM51" s="62">
        <f t="shared" si="5"/>
        <v>724.8404540719614</v>
      </c>
      <c r="AN51" s="62">
        <f ca="1">AVERAGE(OFFSET($AM$3,0,0,'Données projet'!$E$10+1,1))-AVERAGE(OFFSET($H$3,0,0,'Données projet'!$E$10+1,1))</f>
        <v>227.80096215475777</v>
      </c>
      <c r="AO51" s="62">
        <f t="shared" si="36"/>
        <v>259.52807665663926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2.395189798159874</v>
      </c>
      <c r="AW51" s="23">
        <f>EXP(-LN(2)/2)*AW50+(1-EXP(-LN(2)/2))/(LN(2)/2)*AQ51*AT51*VLOOKUP('Données projet'!$B$10,Paramètres!$A$1:$I$89,3,0)*0.475*44/12</f>
        <v>6.8373876569387843E-2</v>
      </c>
      <c r="AX51" s="23">
        <f t="shared" si="6"/>
        <v>2.463563674729262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1.1368683772161603E-13</v>
      </c>
      <c r="BE51" s="14">
        <f>BD51*VLOOKUP('Données projet'!$B$11,Paramètres!$A$1:$I$89,3,0)*VLOOKUP('Données projet'!$B$11,Paramètres!$A$1:$I$89,5,0)</f>
        <v>6.7984728957526396E-14</v>
      </c>
      <c r="BF51" s="14">
        <f t="shared" si="37"/>
        <v>1.0682447123141398E-12</v>
      </c>
      <c r="BG51" s="22">
        <f t="shared" si="7"/>
        <v>1.978932943548152E-12</v>
      </c>
      <c r="BH51" s="62">
        <f t="shared" si="8"/>
        <v>293.3333333333353</v>
      </c>
      <c r="BI51" s="62">
        <f ca="1">AVERAGE(OFFSET($BH$3,0,0,'Données projet'!$E$11+1,1))-AVERAGE(OFFSET($H$3,0,0,'Données projet'!$E$11+1,1))</f>
        <v>149.5086927376081</v>
      </c>
      <c r="BJ51" s="62">
        <f t="shared" si="38"/>
        <v>364.59164590134498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37.331724157882469</v>
      </c>
      <c r="BQ51" s="23">
        <f>EXP(-LN(2)/25)*BQ50+(1-EXP(-LN(2)/25))/(LN(2)/25)*Calculateur!BL51*Calculateur!BN51*VLOOKUP('Données projet'!$B$11,Paramètres!$A$1:$I$89,3,0)*0.475*44/12</f>
        <v>26.681213002385924</v>
      </c>
      <c r="BR51" s="23">
        <f>EXP(-LN(2)/2)*BR50+(1-EXP(-LN(2)/2))/(LN(2)/2)*BL51*BO51*VLOOKUP('Données projet'!$B$11,Paramètres!$A$1:$I$89,3,0)*0.475*44/12</f>
        <v>8.5092548431461856E-2</v>
      </c>
      <c r="BS51" s="24">
        <f t="shared" si="9"/>
        <v>64.098029708699855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160.22474733551678</v>
      </c>
      <c r="T52" s="62">
        <f t="shared" si="34"/>
        <v>272.72162271905523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16.600000000000001</v>
      </c>
      <c r="AI52" s="14">
        <f>IF('Données projet'!$A$62&gt;35,AI51+AH52-AQ51,IF(A52&lt;'Données projet'!$A$62,$AF$205^A52,IF(A52='Données projet'!$A$62,'Données projet'!$B$62,AI51+AH52-AQ51)))</f>
        <v>363.4000000000002</v>
      </c>
      <c r="AJ52" s="14">
        <f>AI52*VLOOKUP('Données projet'!$B$10,Paramètres!$A$1:$I$89,3,0)*VLOOKUP('Données projet'!$B$10,Paramètres!$A$1:$I$89,5,0)</f>
        <v>207.86480000000014</v>
      </c>
      <c r="AK52" s="14">
        <f t="shared" si="35"/>
        <v>51.468713616997768</v>
      </c>
      <c r="AL52" s="22">
        <f t="shared" si="4"/>
        <v>451.67253621627128</v>
      </c>
      <c r="AM52" s="62">
        <f t="shared" si="5"/>
        <v>745.00586954960454</v>
      </c>
      <c r="AN52" s="62">
        <f ca="1">AVERAGE(OFFSET($AM$3,0,0,'Données projet'!$E$10+1,1))-AVERAGE(OFFSET($H$3,0,0,'Données projet'!$E$10+1,1))</f>
        <v>227.80096215475777</v>
      </c>
      <c r="AO52" s="62">
        <f t="shared" si="36"/>
        <v>259.52807665663926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2.3296932071716352</v>
      </c>
      <c r="AW52" s="23">
        <f>EXP(-LN(2)/2)*AW51+(1-EXP(-LN(2)/2))/(LN(2)/2)*AQ52*AT52*VLOOKUP('Données projet'!$B$10,Paramètres!$A$1:$I$89,3,0)*0.475*44/12</f>
        <v>4.8347631778226138E-2</v>
      </c>
      <c r="AX52" s="23">
        <f t="shared" si="6"/>
        <v>2.3780408389498615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1.1368683772161603E-13</v>
      </c>
      <c r="BE52" s="14">
        <f>BD52*VLOOKUP('Données projet'!$B$11,Paramètres!$A$1:$I$89,3,0)*VLOOKUP('Données projet'!$B$11,Paramètres!$A$1:$I$89,5,0)</f>
        <v>6.7984728957526396E-14</v>
      </c>
      <c r="BF52" s="14">
        <f t="shared" si="37"/>
        <v>1.0682447123141398E-12</v>
      </c>
      <c r="BG52" s="22">
        <f t="shared" si="7"/>
        <v>1.978932943548152E-12</v>
      </c>
      <c r="BH52" s="62">
        <f t="shared" si="8"/>
        <v>293.3333333333353</v>
      </c>
      <c r="BI52" s="62">
        <f ca="1">AVERAGE(OFFSET($BH$3,0,0,'Données projet'!$E$11+1,1))-AVERAGE(OFFSET($H$3,0,0,'Données projet'!$E$11+1,1))</f>
        <v>149.5086927376081</v>
      </c>
      <c r="BJ52" s="62">
        <f t="shared" si="38"/>
        <v>364.59164590134498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36.599671817249771</v>
      </c>
      <c r="BQ52" s="23">
        <f>EXP(-LN(2)/25)*BQ51+(1-EXP(-LN(2)/25))/(LN(2)/25)*Calculateur!BL52*Calculateur!BN52*VLOOKUP('Données projet'!$B$11,Paramètres!$A$1:$I$89,3,0)*0.475*44/12</f>
        <v>25.95161382973167</v>
      </c>
      <c r="BR52" s="23">
        <f>EXP(-LN(2)/2)*BR51+(1-EXP(-LN(2)/2))/(LN(2)/2)*BL52*BO52*VLOOKUP('Données projet'!$B$11,Paramètres!$A$1:$I$89,3,0)*0.475*44/12</f>
        <v>6.0169518024331403E-2</v>
      </c>
      <c r="BS52" s="24">
        <f t="shared" si="9"/>
        <v>62.611455165005772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160.22474733551678</v>
      </c>
      <c r="T53" s="62">
        <f t="shared" si="34"/>
        <v>272.72162271905523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380</v>
      </c>
      <c r="AG53" s="13">
        <f>VLOOKUP(A53,'Données projet'!$A$61:$I$81,9,0)</f>
        <v>16.600000000000001</v>
      </c>
      <c r="AH53" s="13">
        <f t="array" ref="AH53">INDEX(AG:AG,MIN(IF(ISNUMBER(AG53:AG249),ROW(AG53:AG249),"")))</f>
        <v>16.600000000000001</v>
      </c>
      <c r="AI53" s="14">
        <f>IF('Données projet'!$A$62&gt;35,AI52+AH53-AQ52,IF(A53&lt;'Données projet'!$A$62,$AF$205^A53,IF(A53='Données projet'!$A$62,'Données projet'!$B$62,AI52+AH53-AQ52)))</f>
        <v>380.00000000000023</v>
      </c>
      <c r="AJ53" s="14">
        <f>AI53*VLOOKUP('Données projet'!$B$10,Paramètres!$A$1:$I$89,3,0)*VLOOKUP('Données projet'!$B$10,Paramètres!$A$1:$I$89,5,0)</f>
        <v>217.36000000000013</v>
      </c>
      <c r="AK53" s="14">
        <f t="shared" si="35"/>
        <v>53.540692227746895</v>
      </c>
      <c r="AL53" s="22">
        <f t="shared" si="4"/>
        <v>471.81870562999273</v>
      </c>
      <c r="AM53" s="62">
        <f t="shared" si="5"/>
        <v>765.15203896332605</v>
      </c>
      <c r="AN53" s="62">
        <f ca="1">AVERAGE(OFFSET($AM$3,0,0,'Données projet'!$E$10+1,1))-AVERAGE(OFFSET($H$3,0,0,'Données projet'!$E$10+1,1))</f>
        <v>227.80096215475777</v>
      </c>
      <c r="AO53" s="62">
        <f t="shared" si="36"/>
        <v>259.52807665663926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42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2.2659876239082855</v>
      </c>
      <c r="AW53" s="23">
        <f>EXP(-LN(2)/2)*AW52+(1-EXP(-LN(2)/2))/(LN(2)/2)*AQ53*AT53*VLOOKUP('Données projet'!$B$10,Paramètres!$A$1:$I$89,3,0)*0.475*44/12</f>
        <v>3.4186938284693921E-2</v>
      </c>
      <c r="AX53" s="23">
        <f t="shared" si="6"/>
        <v>2.3001745621929794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1.1368683772161603E-13</v>
      </c>
      <c r="BE53" s="14">
        <f>BD53*VLOOKUP('Données projet'!$B$11,Paramètres!$A$1:$I$89,3,0)*VLOOKUP('Données projet'!$B$11,Paramètres!$A$1:$I$89,5,0)</f>
        <v>6.7984728957526396E-14</v>
      </c>
      <c r="BF53" s="14">
        <f t="shared" si="37"/>
        <v>1.0682447123141398E-12</v>
      </c>
      <c r="BG53" s="22">
        <f t="shared" si="7"/>
        <v>1.978932943548152E-12</v>
      </c>
      <c r="BH53" s="62">
        <f t="shared" si="8"/>
        <v>293.3333333333353</v>
      </c>
      <c r="BI53" s="62">
        <f ca="1">AVERAGE(OFFSET($BH$3,0,0,'Données projet'!$E$11+1,1))-AVERAGE(OFFSET($H$3,0,0,'Données projet'!$E$11+1,1))</f>
        <v>149.5086927376081</v>
      </c>
      <c r="BJ53" s="62">
        <f t="shared" si="38"/>
        <v>364.59164590134498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35.881974576509037</v>
      </c>
      <c r="BQ53" s="23">
        <f>EXP(-LN(2)/25)*BQ52+(1-EXP(-LN(2)/25))/(LN(2)/25)*Calculateur!BL53*Calculateur!BN53*VLOOKUP('Données projet'!$B$11,Paramètres!$A$1:$I$89,3,0)*0.475*44/12</f>
        <v>25.2419655848216</v>
      </c>
      <c r="BR53" s="23">
        <f>EXP(-LN(2)/2)*BR52+(1-EXP(-LN(2)/2))/(LN(2)/2)*BL53*BO53*VLOOKUP('Données projet'!$B$11,Paramètres!$A$1:$I$89,3,0)*0.475*44/12</f>
        <v>4.2546274215730935E-2</v>
      </c>
      <c r="BS53" s="24">
        <f t="shared" si="9"/>
        <v>61.166486435546368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160.22474733551678</v>
      </c>
      <c r="T54" s="62">
        <f t="shared" si="34"/>
        <v>272.72162271905523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14.8</v>
      </c>
      <c r="AI54" s="14">
        <f>IF('Données projet'!$A$62&gt;35,AI53+AH54-AQ53,IF(A54&lt;'Données projet'!$A$62,$AF$205^A54,IF(A54='Données projet'!$A$62,'Données projet'!$B$62,AI53+AH54-AQ53)))</f>
        <v>352.80000000000024</v>
      </c>
      <c r="AJ54" s="14">
        <f>AI54*VLOOKUP('Données projet'!$B$10,Paramètres!$A$1:$I$89,3,0)*VLOOKUP('Données projet'!$B$10,Paramètres!$A$1:$I$89,5,0)</f>
        <v>201.80160000000015</v>
      </c>
      <c r="AK54" s="14">
        <f t="shared" si="35"/>
        <v>50.139897992681711</v>
      </c>
      <c r="AL54" s="22">
        <f t="shared" si="4"/>
        <v>438.7981090039209</v>
      </c>
      <c r="AM54" s="62">
        <f t="shared" si="5"/>
        <v>732.13144233725416</v>
      </c>
      <c r="AN54" s="62">
        <f ca="1">AVERAGE(OFFSET($AM$3,0,0,'Données projet'!$E$10+1,1))-AVERAGE(OFFSET($H$3,0,0,'Données projet'!$E$10+1,1))</f>
        <v>227.80096215475777</v>
      </c>
      <c r="AO54" s="62">
        <f t="shared" si="36"/>
        <v>259.52807665663926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2.2040240731694034</v>
      </c>
      <c r="AW54" s="23">
        <f>EXP(-LN(2)/2)*AW53+(1-EXP(-LN(2)/2))/(LN(2)/2)*AQ54*AT54*VLOOKUP('Données projet'!$B$10,Paramètres!$A$1:$I$89,3,0)*0.475*44/12</f>
        <v>2.4173815889113069E-2</v>
      </c>
      <c r="AX54" s="23">
        <f t="shared" si="6"/>
        <v>2.2281978890585163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1.1368683772161603E-13</v>
      </c>
      <c r="BE54" s="14">
        <f>BD54*VLOOKUP('Données projet'!$B$11,Paramètres!$A$1:$I$89,3,0)*VLOOKUP('Données projet'!$B$11,Paramètres!$A$1:$I$89,5,0)</f>
        <v>6.7984728957526396E-14</v>
      </c>
      <c r="BF54" s="14">
        <f t="shared" si="37"/>
        <v>1.0682447123141398E-12</v>
      </c>
      <c r="BG54" s="22">
        <f t="shared" si="7"/>
        <v>1.978932943548152E-12</v>
      </c>
      <c r="BH54" s="62">
        <f t="shared" si="8"/>
        <v>293.3333333333353</v>
      </c>
      <c r="BI54" s="62">
        <f ca="1">AVERAGE(OFFSET($BH$3,0,0,'Données projet'!$E$11+1,1))-AVERAGE(OFFSET($H$3,0,0,'Données projet'!$E$11+1,1))</f>
        <v>149.5086927376081</v>
      </c>
      <c r="BJ54" s="62">
        <f t="shared" si="38"/>
        <v>364.59164590134498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35.178350940907137</v>
      </c>
      <c r="BQ54" s="23">
        <f>EXP(-LN(2)/25)*BQ53+(1-EXP(-LN(2)/25))/(LN(2)/25)*Calculateur!BL54*Calculateur!BN54*VLOOKUP('Données projet'!$B$11,Paramètres!$A$1:$I$89,3,0)*0.475*44/12</f>
        <v>24.551722708487375</v>
      </c>
      <c r="BR54" s="23">
        <f>EXP(-LN(2)/2)*BR53+(1-EXP(-LN(2)/2))/(LN(2)/2)*BL54*BO54*VLOOKUP('Données projet'!$B$11,Paramètres!$A$1:$I$89,3,0)*0.475*44/12</f>
        <v>3.0084759012165705E-2</v>
      </c>
      <c r="BS54" s="24">
        <f t="shared" si="9"/>
        <v>59.760158408406681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160.22474733551678</v>
      </c>
      <c r="T55" s="62">
        <f t="shared" si="34"/>
        <v>272.72162271905523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14.8</v>
      </c>
      <c r="AI55" s="14">
        <f>IF('Données projet'!$A$62&gt;35,AI54+AH55-AQ54,IF(A55&lt;'Données projet'!$A$62,$AF$205^A55,IF(A55='Données projet'!$A$62,'Données projet'!$B$62,AI54+AH55-AQ54)))</f>
        <v>367.60000000000025</v>
      </c>
      <c r="AJ55" s="14">
        <f>AI55*VLOOKUP('Données projet'!$B$10,Paramètres!$A$1:$I$89,3,0)*VLOOKUP('Données projet'!$B$10,Paramètres!$A$1:$I$89,5,0)</f>
        <v>210.26720000000014</v>
      </c>
      <c r="AK55" s="14">
        <f t="shared" si="35"/>
        <v>51.993971299077074</v>
      </c>
      <c r="AL55" s="22">
        <f t="shared" si="4"/>
        <v>456.77154001255946</v>
      </c>
      <c r="AM55" s="62">
        <f t="shared" si="5"/>
        <v>750.10487334589277</v>
      </c>
      <c r="AN55" s="62">
        <f ca="1">AVERAGE(OFFSET($AM$3,0,0,'Données projet'!$E$10+1,1))-AVERAGE(OFFSET($H$3,0,0,'Données projet'!$E$10+1,1))</f>
        <v>227.80096215475777</v>
      </c>
      <c r="AO55" s="62">
        <f t="shared" si="36"/>
        <v>259.52807665663926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2.1437549189839973</v>
      </c>
      <c r="AW55" s="23">
        <f>EXP(-LN(2)/2)*AW54+(1-EXP(-LN(2)/2))/(LN(2)/2)*AQ55*AT55*VLOOKUP('Données projet'!$B$10,Paramètres!$A$1:$I$89,3,0)*0.475*44/12</f>
        <v>1.7093469142346961E-2</v>
      </c>
      <c r="AX55" s="23">
        <f t="shared" si="6"/>
        <v>2.1608483881263441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1.1368683772161603E-13</v>
      </c>
      <c r="BE55" s="14">
        <f>BD55*VLOOKUP('Données projet'!$B$11,Paramètres!$A$1:$I$89,3,0)*VLOOKUP('Données projet'!$B$11,Paramètres!$A$1:$I$89,5,0)</f>
        <v>6.7984728957526396E-14</v>
      </c>
      <c r="BF55" s="14">
        <f t="shared" si="37"/>
        <v>1.0682447123141398E-12</v>
      </c>
      <c r="BG55" s="22">
        <f t="shared" si="7"/>
        <v>1.978932943548152E-12</v>
      </c>
      <c r="BH55" s="62">
        <f t="shared" si="8"/>
        <v>293.3333333333353</v>
      </c>
      <c r="BI55" s="62">
        <f ca="1">AVERAGE(OFFSET($BH$3,0,0,'Données projet'!$E$11+1,1))-AVERAGE(OFFSET($H$3,0,0,'Données projet'!$E$11+1,1))</f>
        <v>149.5086927376081</v>
      </c>
      <c r="BJ55" s="62">
        <f t="shared" si="38"/>
        <v>364.59164590134498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34.488524935631354</v>
      </c>
      <c r="BQ55" s="23">
        <f>EXP(-LN(2)/25)*BQ54+(1-EXP(-LN(2)/25))/(LN(2)/25)*Calculateur!BL55*Calculateur!BN55*VLOOKUP('Données projet'!$B$11,Paramètres!$A$1:$I$89,3,0)*0.475*44/12</f>
        <v>23.880354559904806</v>
      </c>
      <c r="BR55" s="23">
        <f>EXP(-LN(2)/2)*BR54+(1-EXP(-LN(2)/2))/(LN(2)/2)*BL55*BO55*VLOOKUP('Données projet'!$B$11,Paramètres!$A$1:$I$89,3,0)*0.475*44/12</f>
        <v>2.1273137107865471E-2</v>
      </c>
      <c r="BS55" s="24">
        <f t="shared" si="9"/>
        <v>58.390152632644032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160.22474733551678</v>
      </c>
      <c r="T56" s="62">
        <f t="shared" si="34"/>
        <v>272.72162271905523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14.8</v>
      </c>
      <c r="AI56" s="14">
        <f>IF('Données projet'!$A$62&gt;35,AI55+AH56-AQ55,IF(A56&lt;'Données projet'!$A$62,$AF$205^A56,IF(A56='Données projet'!$A$62,'Données projet'!$B$62,AI55+AH56-AQ55)))</f>
        <v>382.40000000000026</v>
      </c>
      <c r="AJ56" s="14">
        <f>AI56*VLOOKUP('Données projet'!$B$10,Paramètres!$A$1:$I$89,3,0)*VLOOKUP('Données projet'!$B$10,Paramètres!$A$1:$I$89,5,0)</f>
        <v>218.73280000000017</v>
      </c>
      <c r="AK56" s="14">
        <f t="shared" si="35"/>
        <v>53.839373533589558</v>
      </c>
      <c r="AL56" s="22">
        <f t="shared" si="4"/>
        <v>474.72986890433532</v>
      </c>
      <c r="AM56" s="62">
        <f t="shared" si="5"/>
        <v>768.06320223766863</v>
      </c>
      <c r="AN56" s="62">
        <f ca="1">AVERAGE(OFFSET($AM$3,0,0,'Données projet'!$E$10+1,1))-AVERAGE(OFFSET($H$3,0,0,'Données projet'!$E$10+1,1))</f>
        <v>227.80096215475777</v>
      </c>
      <c r="AO56" s="62">
        <f t="shared" si="36"/>
        <v>259.52807665663926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2.0851338279892082</v>
      </c>
      <c r="AW56" s="23">
        <f>EXP(-LN(2)/2)*AW55+(1-EXP(-LN(2)/2))/(LN(2)/2)*AQ56*AT56*VLOOKUP('Données projet'!$B$10,Paramètres!$A$1:$I$89,3,0)*0.475*44/12</f>
        <v>1.2086907944556535E-2</v>
      </c>
      <c r="AX56" s="23">
        <f t="shared" si="6"/>
        <v>2.0972207359337647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1.1368683772161603E-13</v>
      </c>
      <c r="BE56" s="14">
        <f>BD56*VLOOKUP('Données projet'!$B$11,Paramètres!$A$1:$I$89,3,0)*VLOOKUP('Données projet'!$B$11,Paramètres!$A$1:$I$89,5,0)</f>
        <v>6.7984728957526396E-14</v>
      </c>
      <c r="BF56" s="14">
        <f t="shared" si="37"/>
        <v>1.0682447123141398E-12</v>
      </c>
      <c r="BG56" s="22">
        <f t="shared" si="7"/>
        <v>1.978932943548152E-12</v>
      </c>
      <c r="BH56" s="62">
        <f t="shared" si="8"/>
        <v>293.3333333333353</v>
      </c>
      <c r="BI56" s="62">
        <f ca="1">AVERAGE(OFFSET($BH$3,0,0,'Données projet'!$E$11+1,1))-AVERAGE(OFFSET($H$3,0,0,'Données projet'!$E$11+1,1))</f>
        <v>149.5086927376081</v>
      </c>
      <c r="BJ56" s="62">
        <f t="shared" si="38"/>
        <v>364.59164590134498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33.812225997566706</v>
      </c>
      <c r="BQ56" s="23">
        <f>EXP(-LN(2)/25)*BQ55+(1-EXP(-LN(2)/25))/(LN(2)/25)*Calculateur!BL56*Calculateur!BN56*VLOOKUP('Données projet'!$B$11,Paramètres!$A$1:$I$89,3,0)*0.475*44/12</f>
        <v>23.227345008650943</v>
      </c>
      <c r="BR56" s="23">
        <f>EXP(-LN(2)/2)*BR55+(1-EXP(-LN(2)/2))/(LN(2)/2)*BL56*BO56*VLOOKUP('Données projet'!$B$11,Paramètres!$A$1:$I$89,3,0)*0.475*44/12</f>
        <v>1.5042379506082854E-2</v>
      </c>
      <c r="BS56" s="24">
        <f t="shared" si="9"/>
        <v>57.054613385723734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160.22474733551678</v>
      </c>
      <c r="T57" s="62">
        <f t="shared" si="34"/>
        <v>272.72162271905523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14.8</v>
      </c>
      <c r="AI57" s="14">
        <f>IF('Données projet'!$A$62&gt;35,AI56+AH57-AQ56,IF(A57&lt;'Données projet'!$A$62,$AF$205^A57,IF(A57='Données projet'!$A$62,'Données projet'!$B$62,AI56+AH57-AQ56)))</f>
        <v>397.20000000000027</v>
      </c>
      <c r="AJ57" s="14">
        <f>AI57*VLOOKUP('Données projet'!$B$10,Paramètres!$A$1:$I$89,3,0)*VLOOKUP('Données projet'!$B$10,Paramètres!$A$1:$I$89,5,0)</f>
        <v>227.19840000000016</v>
      </c>
      <c r="AK57" s="14">
        <f t="shared" si="35"/>
        <v>55.676478702954697</v>
      </c>
      <c r="AL57" s="22">
        <f t="shared" si="4"/>
        <v>492.67374707431298</v>
      </c>
      <c r="AM57" s="62">
        <f t="shared" si="5"/>
        <v>786.0070804076463</v>
      </c>
      <c r="AN57" s="62">
        <f ca="1">AVERAGE(OFFSET($AM$3,0,0,'Données projet'!$E$10+1,1))-AVERAGE(OFFSET($H$3,0,0,'Données projet'!$E$10+1,1))</f>
        <v>227.80096215475777</v>
      </c>
      <c r="AO57" s="62">
        <f t="shared" si="36"/>
        <v>259.52807665663926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2.028115733810421</v>
      </c>
      <c r="AW57" s="23">
        <f>EXP(-LN(2)/2)*AW56+(1-EXP(-LN(2)/2))/(LN(2)/2)*AQ57*AT57*VLOOKUP('Données projet'!$B$10,Paramètres!$A$1:$I$89,3,0)*0.475*44/12</f>
        <v>8.5467345711734803E-3</v>
      </c>
      <c r="AX57" s="23">
        <f t="shared" si="6"/>
        <v>2.0366624683815946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1.1368683772161603E-13</v>
      </c>
      <c r="BE57" s="14">
        <f>BD57*VLOOKUP('Données projet'!$B$11,Paramètres!$A$1:$I$89,3,0)*VLOOKUP('Données projet'!$B$11,Paramètres!$A$1:$I$89,5,0)</f>
        <v>6.7984728957526396E-14</v>
      </c>
      <c r="BF57" s="14">
        <f t="shared" si="37"/>
        <v>1.0682447123141398E-12</v>
      </c>
      <c r="BG57" s="22">
        <f t="shared" si="7"/>
        <v>1.978932943548152E-12</v>
      </c>
      <c r="BH57" s="62">
        <f t="shared" si="8"/>
        <v>293.3333333333353</v>
      </c>
      <c r="BI57" s="62">
        <f ca="1">AVERAGE(OFFSET($BH$3,0,0,'Données projet'!$E$11+1,1))-AVERAGE(OFFSET($H$3,0,0,'Données projet'!$E$11+1,1))</f>
        <v>149.5086927376081</v>
      </c>
      <c r="BJ57" s="62">
        <f t="shared" si="38"/>
        <v>364.59164590134498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33.149188869175887</v>
      </c>
      <c r="BQ57" s="23">
        <f>EXP(-LN(2)/25)*BQ56+(1-EXP(-LN(2)/25))/(LN(2)/25)*Calculateur!BL57*Calculateur!BN57*VLOOKUP('Données projet'!$B$11,Paramètres!$A$1:$I$89,3,0)*0.475*44/12</f>
        <v>22.592192037916394</v>
      </c>
      <c r="BR57" s="23">
        <f>EXP(-LN(2)/2)*BR56+(1-EXP(-LN(2)/2))/(LN(2)/2)*BL57*BO57*VLOOKUP('Données projet'!$B$11,Paramètres!$A$1:$I$89,3,0)*0.475*44/12</f>
        <v>1.0636568553932737E-2</v>
      </c>
      <c r="BS57" s="24">
        <f t="shared" si="9"/>
        <v>55.752017475646213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160.22474733551678</v>
      </c>
      <c r="T58" s="62">
        <f t="shared" si="34"/>
        <v>272.72162271905523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412</v>
      </c>
      <c r="AG58" s="13">
        <f>VLOOKUP(A58,'Données projet'!$A$61:$I$81,9,0)</f>
        <v>14.8</v>
      </c>
      <c r="AH58" s="13">
        <f t="array" ref="AH58">INDEX(AG:AG,MIN(IF(ISNUMBER(AG58:AG254),ROW(AG58:AG254),"")))</f>
        <v>14.8</v>
      </c>
      <c r="AI58" s="14">
        <f>IF('Données projet'!$A$62&gt;35,AI57+AH58-AQ57,IF(A58&lt;'Données projet'!$A$62,$AF$205^A58,IF(A58='Données projet'!$A$62,'Données projet'!$B$62,AI57+AH58-AQ57)))</f>
        <v>412.00000000000028</v>
      </c>
      <c r="AJ58" s="14">
        <f>AI58*VLOOKUP('Données projet'!$B$10,Paramètres!$A$1:$I$89,3,0)*VLOOKUP('Données projet'!$B$10,Paramètres!$A$1:$I$89,5,0)</f>
        <v>235.66400000000016</v>
      </c>
      <c r="AK58" s="14">
        <f t="shared" si="35"/>
        <v>57.505631363240063</v>
      </c>
      <c r="AL58" s="22">
        <f t="shared" si="4"/>
        <v>510.60377462431006</v>
      </c>
      <c r="AM58" s="62">
        <f t="shared" si="5"/>
        <v>803.93710795764332</v>
      </c>
      <c r="AN58" s="62">
        <f ca="1">AVERAGE(OFFSET($AM$3,0,0,'Données projet'!$E$10+1,1))-AVERAGE(OFFSET($H$3,0,0,'Données projet'!$E$10+1,1))</f>
        <v>227.80096215475777</v>
      </c>
      <c r="AO58" s="62">
        <f t="shared" si="36"/>
        <v>259.52807665663926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33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1.9726568024154039</v>
      </c>
      <c r="AW58" s="23">
        <f>EXP(-LN(2)/2)*AW57+(1-EXP(-LN(2)/2))/(LN(2)/2)*AQ58*AT58*VLOOKUP('Données projet'!$B$10,Paramètres!$A$1:$I$89,3,0)*0.475*44/12</f>
        <v>6.0434539722782673E-3</v>
      </c>
      <c r="AX58" s="23">
        <f t="shared" si="6"/>
        <v>1.9787002563876821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1.1368683772161603E-13</v>
      </c>
      <c r="BE58" s="14">
        <f>BD58*VLOOKUP('Données projet'!$B$11,Paramètres!$A$1:$I$89,3,0)*VLOOKUP('Données projet'!$B$11,Paramètres!$A$1:$I$89,5,0)</f>
        <v>6.7984728957526396E-14</v>
      </c>
      <c r="BF58" s="14">
        <f t="shared" si="37"/>
        <v>1.0682447123141398E-12</v>
      </c>
      <c r="BG58" s="22">
        <f t="shared" si="7"/>
        <v>1.978932943548152E-12</v>
      </c>
      <c r="BH58" s="62">
        <f t="shared" si="8"/>
        <v>293.3333333333353</v>
      </c>
      <c r="BI58" s="62">
        <f ca="1">AVERAGE(OFFSET($BH$3,0,0,'Données projet'!$E$11+1,1))-AVERAGE(OFFSET($H$3,0,0,'Données projet'!$E$11+1,1))</f>
        <v>149.5086927376081</v>
      </c>
      <c r="BJ58" s="62">
        <f t="shared" si="38"/>
        <v>364.59164590134498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32.499153494460096</v>
      </c>
      <c r="BQ58" s="23">
        <f>EXP(-LN(2)/25)*BQ57+(1-EXP(-LN(2)/25))/(LN(2)/25)*Calculateur!BL58*Calculateur!BN58*VLOOKUP('Données projet'!$B$11,Paramètres!$A$1:$I$89,3,0)*0.475*44/12</f>
        <v>21.974407358567827</v>
      </c>
      <c r="BR58" s="23">
        <f>EXP(-LN(2)/2)*BR57+(1-EXP(-LN(2)/2))/(LN(2)/2)*BL58*BO58*VLOOKUP('Données projet'!$B$11,Paramètres!$A$1:$I$89,3,0)*0.475*44/12</f>
        <v>7.5211897530414289E-3</v>
      </c>
      <c r="BS58" s="24">
        <f t="shared" si="9"/>
        <v>54.481082042780962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160.22474733551678</v>
      </c>
      <c r="T59" s="62">
        <f t="shared" si="34"/>
        <v>272.72162271905523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10.8</v>
      </c>
      <c r="AI59" s="14">
        <f>IF('Données projet'!$A$62&gt;35,AI58+AH59-AQ58,IF(A59&lt;'Données projet'!$A$62,$AF$205^A59,IF(A59='Données projet'!$A$62,'Données projet'!$B$62,AI58+AH59-AQ58)))</f>
        <v>389.8000000000003</v>
      </c>
      <c r="AJ59" s="14">
        <f>AI59*VLOOKUP('Données projet'!$B$10,Paramètres!$A$1:$I$89,3,0)*VLOOKUP('Données projet'!$B$10,Paramètres!$A$1:$I$89,5,0)</f>
        <v>222.96560000000019</v>
      </c>
      <c r="AK59" s="14">
        <f t="shared" si="35"/>
        <v>54.758941067515757</v>
      </c>
      <c r="AL59" s="22">
        <f t="shared" si="4"/>
        <v>483.70357569259022</v>
      </c>
      <c r="AM59" s="62">
        <f t="shared" si="5"/>
        <v>777.03690902592348</v>
      </c>
      <c r="AN59" s="62">
        <f ca="1">AVERAGE(OFFSET($AM$3,0,0,'Données projet'!$E$10+1,1))-AVERAGE(OFFSET($H$3,0,0,'Données projet'!$E$10+1,1))</f>
        <v>227.80096215475777</v>
      </c>
      <c r="AO59" s="62">
        <f t="shared" si="36"/>
        <v>259.52807665663926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1.9187143984158419</v>
      </c>
      <c r="AW59" s="23">
        <f>EXP(-LN(2)/2)*AW58+(1-EXP(-LN(2)/2))/(LN(2)/2)*AQ59*AT59*VLOOKUP('Données projet'!$B$10,Paramètres!$A$1:$I$89,3,0)*0.475*44/12</f>
        <v>4.2733672855867402E-3</v>
      </c>
      <c r="AX59" s="23">
        <f t="shared" si="6"/>
        <v>1.9229877657014287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1.1368683772161603E-13</v>
      </c>
      <c r="BE59" s="14">
        <f>BD59*VLOOKUP('Données projet'!$B$11,Paramètres!$A$1:$I$89,3,0)*VLOOKUP('Données projet'!$B$11,Paramètres!$A$1:$I$89,5,0)</f>
        <v>6.7984728957526396E-14</v>
      </c>
      <c r="BF59" s="14">
        <f t="shared" si="37"/>
        <v>1.0682447123141398E-12</v>
      </c>
      <c r="BG59" s="22">
        <f t="shared" si="7"/>
        <v>1.978932943548152E-12</v>
      </c>
      <c r="BH59" s="62">
        <f t="shared" si="8"/>
        <v>293.3333333333353</v>
      </c>
      <c r="BI59" s="62">
        <f ca="1">AVERAGE(OFFSET($BH$3,0,0,'Données projet'!$E$11+1,1))-AVERAGE(OFFSET($H$3,0,0,'Données projet'!$E$11+1,1))</f>
        <v>149.5086927376081</v>
      </c>
      <c r="BJ59" s="62">
        <f t="shared" si="38"/>
        <v>364.59164590134498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31.861864916960052</v>
      </c>
      <c r="BQ59" s="23">
        <f>EXP(-LN(2)/25)*BQ58+(1-EXP(-LN(2)/25))/(LN(2)/25)*Calculateur!BL59*Calculateur!BN59*VLOOKUP('Données projet'!$B$11,Paramètres!$A$1:$I$89,3,0)*0.475*44/12</f>
        <v>21.373516033763931</v>
      </c>
      <c r="BR59" s="23">
        <f>EXP(-LN(2)/2)*BR58+(1-EXP(-LN(2)/2))/(LN(2)/2)*BL59*BO59*VLOOKUP('Données projet'!$B$11,Paramètres!$A$1:$I$89,3,0)*0.475*44/12</f>
        <v>5.3182842769663695E-3</v>
      </c>
      <c r="BS59" s="24">
        <f t="shared" si="9"/>
        <v>53.240699235000946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160.22474733551678</v>
      </c>
      <c r="T60" s="62">
        <f t="shared" si="34"/>
        <v>272.72162271905523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10.8</v>
      </c>
      <c r="AI60" s="14">
        <f>IF('Données projet'!$A$62&gt;35,AI59+AH60-AQ59,IF(A60&lt;'Données projet'!$A$62,$AF$205^A60,IF(A60='Données projet'!$A$62,'Données projet'!$B$62,AI59+AH60-AQ59)))</f>
        <v>400.60000000000031</v>
      </c>
      <c r="AJ60" s="14">
        <f>AI60*VLOOKUP('Données projet'!$B$10,Paramètres!$A$1:$I$89,3,0)*VLOOKUP('Données projet'!$B$10,Paramètres!$A$1:$I$89,5,0)</f>
        <v>229.14320000000018</v>
      </c>
      <c r="AK60" s="14">
        <f t="shared" si="35"/>
        <v>56.097381117535406</v>
      </c>
      <c r="AL60" s="22">
        <f t="shared" si="4"/>
        <v>496.79401211304116</v>
      </c>
      <c r="AM60" s="62">
        <f t="shared" si="5"/>
        <v>790.12734544637442</v>
      </c>
      <c r="AN60" s="62">
        <f ca="1">AVERAGE(OFFSET($AM$3,0,0,'Données projet'!$E$10+1,1))-AVERAGE(OFFSET($H$3,0,0,'Données projet'!$E$10+1,1))</f>
        <v>227.80096215475777</v>
      </c>
      <c r="AO60" s="62">
        <f t="shared" si="36"/>
        <v>259.52807665663926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1.8662470522903558</v>
      </c>
      <c r="AW60" s="23">
        <f>EXP(-LN(2)/2)*AW59+(1-EXP(-LN(2)/2))/(LN(2)/2)*AQ60*AT60*VLOOKUP('Données projet'!$B$10,Paramètres!$A$1:$I$89,3,0)*0.475*44/12</f>
        <v>3.0217269861391336E-3</v>
      </c>
      <c r="AX60" s="23">
        <f t="shared" si="6"/>
        <v>1.869268779276495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1.1368683772161603E-13</v>
      </c>
      <c r="BE60" s="14">
        <f>BD60*VLOOKUP('Données projet'!$B$11,Paramètres!$A$1:$I$89,3,0)*VLOOKUP('Données projet'!$B$11,Paramètres!$A$1:$I$89,5,0)</f>
        <v>6.7984728957526396E-14</v>
      </c>
      <c r="BF60" s="14">
        <f t="shared" si="37"/>
        <v>1.0682447123141398E-12</v>
      </c>
      <c r="BG60" s="22">
        <f t="shared" si="7"/>
        <v>1.978932943548152E-12</v>
      </c>
      <c r="BH60" s="62">
        <f t="shared" si="8"/>
        <v>293.3333333333353</v>
      </c>
      <c r="BI60" s="62">
        <f ca="1">AVERAGE(OFFSET($BH$3,0,0,'Données projet'!$E$11+1,1))-AVERAGE(OFFSET($H$3,0,0,'Données projet'!$E$11+1,1))</f>
        <v>149.5086927376081</v>
      </c>
      <c r="BJ60" s="62">
        <f t="shared" si="38"/>
        <v>364.59164590134498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31.237073179757132</v>
      </c>
      <c r="BQ60" s="23">
        <f>EXP(-LN(2)/25)*BQ59+(1-EXP(-LN(2)/25))/(LN(2)/25)*Calculateur!BL60*Calculateur!BN60*VLOOKUP('Données projet'!$B$11,Paramètres!$A$1:$I$89,3,0)*0.475*44/12</f>
        <v>20.789056113836299</v>
      </c>
      <c r="BR60" s="23">
        <f>EXP(-LN(2)/2)*BR59+(1-EXP(-LN(2)/2))/(LN(2)/2)*BL60*BO60*VLOOKUP('Données projet'!$B$11,Paramètres!$A$1:$I$89,3,0)*0.475*44/12</f>
        <v>3.7605948765207149E-3</v>
      </c>
      <c r="BS60" s="24">
        <f t="shared" si="9"/>
        <v>52.029889888469945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160.22474733551678</v>
      </c>
      <c r="T61" s="62">
        <f t="shared" si="34"/>
        <v>272.72162271905523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10.8</v>
      </c>
      <c r="AI61" s="14">
        <f>IF('Données projet'!$A$62&gt;35,AI60+AH61-AQ60,IF(A61&lt;'Données projet'!$A$62,$AF$205^A61,IF(A61='Données projet'!$A$62,'Données projet'!$B$62,AI60+AH61-AQ60)))</f>
        <v>411.40000000000032</v>
      </c>
      <c r="AJ61" s="14">
        <f>AI61*VLOOKUP('Données projet'!$B$10,Paramètres!$A$1:$I$89,3,0)*VLOOKUP('Données projet'!$B$10,Paramètres!$A$1:$I$89,5,0)</f>
        <v>235.32080000000019</v>
      </c>
      <c r="AK61" s="14">
        <f t="shared" si="35"/>
        <v>57.43162706485181</v>
      </c>
      <c r="AL61" s="22">
        <f t="shared" si="4"/>
        <v>509.87714380461722</v>
      </c>
      <c r="AM61" s="62">
        <f t="shared" si="5"/>
        <v>803.21047713795053</v>
      </c>
      <c r="AN61" s="62">
        <f ca="1">AVERAGE(OFFSET($AM$3,0,0,'Données projet'!$E$10+1,1))-AVERAGE(OFFSET($H$3,0,0,'Données projet'!$E$10+1,1))</f>
        <v>227.80096215475777</v>
      </c>
      <c r="AO61" s="62">
        <f t="shared" si="36"/>
        <v>259.52807665663926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1.815214428503809</v>
      </c>
      <c r="AW61" s="23">
        <f>EXP(-LN(2)/2)*AW60+(1-EXP(-LN(2)/2))/(LN(2)/2)*AQ61*AT61*VLOOKUP('Données projet'!$B$10,Paramètres!$A$1:$I$89,3,0)*0.475*44/12</f>
        <v>2.1366836427933701E-3</v>
      </c>
      <c r="AX61" s="23">
        <f t="shared" si="6"/>
        <v>1.8173511121466024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1.1368683772161603E-13</v>
      </c>
      <c r="BE61" s="14">
        <f>BD61*VLOOKUP('Données projet'!$B$11,Paramètres!$A$1:$I$89,3,0)*VLOOKUP('Données projet'!$B$11,Paramètres!$A$1:$I$89,5,0)</f>
        <v>6.7984728957526396E-14</v>
      </c>
      <c r="BF61" s="14">
        <f t="shared" si="37"/>
        <v>1.0682447123141398E-12</v>
      </c>
      <c r="BG61" s="22">
        <f t="shared" si="7"/>
        <v>1.978932943548152E-12</v>
      </c>
      <c r="BH61" s="62">
        <f t="shared" si="8"/>
        <v>293.3333333333353</v>
      </c>
      <c r="BI61" s="62">
        <f ca="1">AVERAGE(OFFSET($BH$3,0,0,'Données projet'!$E$11+1,1))-AVERAGE(OFFSET($H$3,0,0,'Données projet'!$E$11+1,1))</f>
        <v>149.5086927376081</v>
      </c>
      <c r="BJ61" s="62">
        <f t="shared" si="38"/>
        <v>364.59164590134498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30.624533227435432</v>
      </c>
      <c r="BQ61" s="23">
        <f>EXP(-LN(2)/25)*BQ60+(1-EXP(-LN(2)/25))/(LN(2)/25)*Calculateur!BL61*Calculateur!BN61*VLOOKUP('Données projet'!$B$11,Paramètres!$A$1:$I$89,3,0)*0.475*44/12</f>
        <v>20.220578281154499</v>
      </c>
      <c r="BR61" s="23">
        <f>EXP(-LN(2)/2)*BR60+(1-EXP(-LN(2)/2))/(LN(2)/2)*BL61*BO61*VLOOKUP('Données projet'!$B$11,Paramètres!$A$1:$I$89,3,0)*0.475*44/12</f>
        <v>2.6591421384831852E-3</v>
      </c>
      <c r="BS61" s="24">
        <f t="shared" si="9"/>
        <v>50.847770650728414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160.22474733551678</v>
      </c>
      <c r="T62" s="62">
        <f t="shared" si="34"/>
        <v>272.72162271905523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10.8</v>
      </c>
      <c r="AI62" s="14">
        <f>IF('Données projet'!$A$62&gt;35,AI61+AH62-AQ61,IF(A62&lt;'Données projet'!$A$62,$AF$205^A62,IF(A62='Données projet'!$A$62,'Données projet'!$B$62,AI61+AH62-AQ61)))</f>
        <v>422.20000000000033</v>
      </c>
      <c r="AJ62" s="14">
        <f>AI62*VLOOKUP('Données projet'!$B$10,Paramètres!$A$1:$I$89,3,0)*VLOOKUP('Données projet'!$B$10,Paramètres!$A$1:$I$89,5,0)</f>
        <v>241.4984000000002</v>
      </c>
      <c r="AK62" s="14">
        <f t="shared" si="35"/>
        <v>58.76180166920858</v>
      </c>
      <c r="AL62" s="22">
        <f t="shared" si="4"/>
        <v>522.95318457387191</v>
      </c>
      <c r="AM62" s="62">
        <f t="shared" si="5"/>
        <v>816.28651790720528</v>
      </c>
      <c r="AN62" s="62">
        <f ca="1">AVERAGE(OFFSET($AM$3,0,0,'Données projet'!$E$10+1,1))-AVERAGE(OFFSET($H$3,0,0,'Données projet'!$E$10+1,1))</f>
        <v>227.80096215475777</v>
      </c>
      <c r="AO62" s="62">
        <f t="shared" si="36"/>
        <v>259.52807665663926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1.7655772944983943</v>
      </c>
      <c r="AW62" s="23">
        <f>EXP(-LN(2)/2)*AW61+(1-EXP(-LN(2)/2))/(LN(2)/2)*AQ62*AT62*VLOOKUP('Données projet'!$B$10,Paramètres!$A$1:$I$89,3,0)*0.475*44/12</f>
        <v>1.5108634930695668E-3</v>
      </c>
      <c r="AX62" s="23">
        <f t="shared" si="6"/>
        <v>1.7670881579914639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1.1368683772161603E-13</v>
      </c>
      <c r="BE62" s="14">
        <f>BD62*VLOOKUP('Données projet'!$B$11,Paramètres!$A$1:$I$89,3,0)*VLOOKUP('Données projet'!$B$11,Paramètres!$A$1:$I$89,5,0)</f>
        <v>6.7984728957526396E-14</v>
      </c>
      <c r="BF62" s="14">
        <f t="shared" si="37"/>
        <v>1.0682447123141398E-12</v>
      </c>
      <c r="BG62" s="22">
        <f t="shared" si="7"/>
        <v>1.978932943548152E-12</v>
      </c>
      <c r="BH62" s="62">
        <f t="shared" si="8"/>
        <v>293.3333333333353</v>
      </c>
      <c r="BI62" s="62">
        <f ca="1">AVERAGE(OFFSET($BH$3,0,0,'Données projet'!$E$11+1,1))-AVERAGE(OFFSET($H$3,0,0,'Données projet'!$E$11+1,1))</f>
        <v>149.5086927376081</v>
      </c>
      <c r="BJ62" s="62">
        <f t="shared" si="38"/>
        <v>364.59164590134498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30.024004809966282</v>
      </c>
      <c r="BQ62" s="23">
        <f>EXP(-LN(2)/25)*BQ61+(1-EXP(-LN(2)/25))/(LN(2)/25)*Calculateur!BL62*Calculateur!BN62*VLOOKUP('Données projet'!$B$11,Paramètres!$A$1:$I$89,3,0)*0.475*44/12</f>
        <v>19.667645504702332</v>
      </c>
      <c r="BR62" s="23">
        <f>EXP(-LN(2)/2)*BR61+(1-EXP(-LN(2)/2))/(LN(2)/2)*BL62*BO62*VLOOKUP('Données projet'!$B$11,Paramètres!$A$1:$I$89,3,0)*0.475*44/12</f>
        <v>1.8802974382603579E-3</v>
      </c>
      <c r="BS62" s="24">
        <f t="shared" si="9"/>
        <v>49.693530612106876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160.22474733551678</v>
      </c>
      <c r="T63" s="62">
        <f t="shared" si="34"/>
        <v>272.72162271905523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433</v>
      </c>
      <c r="AG63" s="13">
        <f>VLOOKUP(A63,'Données projet'!$A$61:$I$81,9,0)</f>
        <v>10.8</v>
      </c>
      <c r="AH63" s="13">
        <f t="array" ref="AH63">INDEX(AG:AG,MIN(IF(ISNUMBER(AG63:AG259),ROW(AG63:AG259),"")))</f>
        <v>10.8</v>
      </c>
      <c r="AI63" s="14">
        <f>IF('Données projet'!$A$62&gt;35,AI62+AH63-AQ62,IF(A63&lt;'Données projet'!$A$62,$AF$205^A63,IF(A63='Données projet'!$A$62,'Données projet'!$B$62,AI62+AH63-AQ62)))</f>
        <v>433.00000000000034</v>
      </c>
      <c r="AJ63" s="14">
        <f>AI63*VLOOKUP('Données projet'!$B$10,Paramètres!$A$1:$I$89,3,0)*VLOOKUP('Données projet'!$B$10,Paramètres!$A$1:$I$89,5,0)</f>
        <v>247.67600000000022</v>
      </c>
      <c r="AK63" s="14">
        <f t="shared" si="35"/>
        <v>60.088021052066608</v>
      </c>
      <c r="AL63" s="22">
        <f t="shared" si="4"/>
        <v>536.02233666568304</v>
      </c>
      <c r="AM63" s="62">
        <f t="shared" si="5"/>
        <v>829.3556699990163</v>
      </c>
      <c r="AN63" s="62">
        <f ca="1">AVERAGE(OFFSET($AM$3,0,0,'Données projet'!$E$10+1,1))-AVERAGE(OFFSET($H$3,0,0,'Données projet'!$E$10+1,1))</f>
        <v>227.80096215475777</v>
      </c>
      <c r="AO63" s="62">
        <f t="shared" si="36"/>
        <v>259.52807665663926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1.717297490532661</v>
      </c>
      <c r="AW63" s="23">
        <f>EXP(-LN(2)/2)*AW62+(1-EXP(-LN(2)/2))/(LN(2)/2)*AQ63*AT63*VLOOKUP('Données projet'!$B$10,Paramètres!$A$1:$I$89,3,0)*0.475*44/12</f>
        <v>1.068341821396685E-3</v>
      </c>
      <c r="AX63" s="23">
        <f t="shared" si="6"/>
        <v>1.7183658323540576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1.1368683772161603E-13</v>
      </c>
      <c r="BE63" s="14">
        <f>BD63*VLOOKUP('Données projet'!$B$11,Paramètres!$A$1:$I$89,3,0)*VLOOKUP('Données projet'!$B$11,Paramètres!$A$1:$I$89,5,0)</f>
        <v>6.7984728957526396E-14</v>
      </c>
      <c r="BF63" s="14">
        <f t="shared" si="37"/>
        <v>1.0682447123141398E-12</v>
      </c>
      <c r="BG63" s="22">
        <f t="shared" si="7"/>
        <v>1.978932943548152E-12</v>
      </c>
      <c r="BH63" s="62">
        <f t="shared" si="8"/>
        <v>293.3333333333353</v>
      </c>
      <c r="BI63" s="62">
        <f ca="1">AVERAGE(OFFSET($BH$3,0,0,'Données projet'!$E$11+1,1))-AVERAGE(OFFSET($H$3,0,0,'Données projet'!$E$11+1,1))</f>
        <v>149.5086927376081</v>
      </c>
      <c r="BJ63" s="62">
        <f t="shared" si="38"/>
        <v>364.59164590134498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29.435252388477537</v>
      </c>
      <c r="BQ63" s="23">
        <f>EXP(-LN(2)/25)*BQ62+(1-EXP(-LN(2)/25))/(LN(2)/25)*Calculateur!BL63*Calculateur!BN63*VLOOKUP('Données projet'!$B$11,Paramètres!$A$1:$I$89,3,0)*0.475*44/12</f>
        <v>19.129832704099719</v>
      </c>
      <c r="BR63" s="23">
        <f>EXP(-LN(2)/2)*BR62+(1-EXP(-LN(2)/2))/(LN(2)/2)*BL63*BO63*VLOOKUP('Données projet'!$B$11,Paramètres!$A$1:$I$89,3,0)*0.475*44/12</f>
        <v>1.3295710692415928E-3</v>
      </c>
      <c r="BS63" s="24">
        <f t="shared" si="9"/>
        <v>48.566414663646498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160.22474733551678</v>
      </c>
      <c r="T64" s="62">
        <f t="shared" si="34"/>
        <v>272.72162271905523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9</v>
      </c>
      <c r="AI64" s="14">
        <f>IF('Données projet'!$A$62&gt;35,AI63+AH64-AQ63,IF(A64&lt;'Données projet'!$A$62,$AF$205^A64,IF(A64='Données projet'!$A$62,'Données projet'!$B$62,AI63+AH64-AQ63)))</f>
        <v>422.00000000000034</v>
      </c>
      <c r="AJ64" s="14">
        <f>AI64*VLOOKUP('Données projet'!$B$10,Paramètres!$A$1:$I$89,3,0)*VLOOKUP('Données projet'!$B$10,Paramètres!$A$1:$I$89,5,0)</f>
        <v>241.38400000000021</v>
      </c>
      <c r="AK64" s="14">
        <f t="shared" si="35"/>
        <v>58.737205099010502</v>
      </c>
      <c r="AL64" s="22">
        <f t="shared" si="4"/>
        <v>522.71109888077683</v>
      </c>
      <c r="AM64" s="62">
        <f t="shared" si="5"/>
        <v>816.0444322141102</v>
      </c>
      <c r="AN64" s="62">
        <f ca="1">AVERAGE(OFFSET($AM$3,0,0,'Données projet'!$E$10+1,1))-AVERAGE(OFFSET($H$3,0,0,'Données projet'!$E$10+1,1))</f>
        <v>227.80096215475777</v>
      </c>
      <c r="AO64" s="62">
        <f t="shared" si="36"/>
        <v>259.52807665663926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1.6703379003452954</v>
      </c>
      <c r="AW64" s="23">
        <f>EXP(-LN(2)/2)*AW63+(1-EXP(-LN(2)/2))/(LN(2)/2)*AQ64*AT64*VLOOKUP('Données projet'!$B$10,Paramètres!$A$1:$I$89,3,0)*0.475*44/12</f>
        <v>7.5543174653478341E-4</v>
      </c>
      <c r="AX64" s="23">
        <f t="shared" si="6"/>
        <v>1.6710933320918302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1.1368683772161603E-13</v>
      </c>
      <c r="BE64" s="14">
        <f>BD64*VLOOKUP('Données projet'!$B$11,Paramètres!$A$1:$I$89,3,0)*VLOOKUP('Données projet'!$B$11,Paramètres!$A$1:$I$89,5,0)</f>
        <v>6.7984728957526396E-14</v>
      </c>
      <c r="BF64" s="14">
        <f t="shared" si="37"/>
        <v>1.0682447123141398E-12</v>
      </c>
      <c r="BG64" s="22">
        <f t="shared" si="7"/>
        <v>1.978932943548152E-12</v>
      </c>
      <c r="BH64" s="62">
        <f t="shared" si="8"/>
        <v>293.3333333333353</v>
      </c>
      <c r="BI64" s="62">
        <f ca="1">AVERAGE(OFFSET($BH$3,0,0,'Données projet'!$E$11+1,1))-AVERAGE(OFFSET($H$3,0,0,'Données projet'!$E$11+1,1))</f>
        <v>149.5086927376081</v>
      </c>
      <c r="BJ64" s="62">
        <f t="shared" si="38"/>
        <v>364.59164590134498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28.858045042870664</v>
      </c>
      <c r="BQ64" s="23">
        <f>EXP(-LN(2)/25)*BQ63+(1-EXP(-LN(2)/25))/(LN(2)/25)*Calculateur!BL64*Calculateur!BN64*VLOOKUP('Données projet'!$B$11,Paramètres!$A$1:$I$89,3,0)*0.475*44/12</f>
        <v>18.606726422811931</v>
      </c>
      <c r="BR64" s="23">
        <f>EXP(-LN(2)/2)*BR63+(1-EXP(-LN(2)/2))/(LN(2)/2)*BL64*BO64*VLOOKUP('Données projet'!$B$11,Paramètres!$A$1:$I$89,3,0)*0.475*44/12</f>
        <v>9.4014871913017904E-4</v>
      </c>
      <c r="BS64" s="24">
        <f t="shared" si="9"/>
        <v>47.465711614401727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160.22474733551678</v>
      </c>
      <c r="T65" s="62">
        <f t="shared" si="34"/>
        <v>272.72162271905523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9</v>
      </c>
      <c r="AI65" s="14">
        <f>IF('Données projet'!$A$62&gt;35,AI64+AH65-AQ64,IF(A65&lt;'Données projet'!$A$62,$AF$205^A65,IF(A65='Données projet'!$A$62,'Données projet'!$B$62,AI64+AH65-AQ64)))</f>
        <v>431.00000000000034</v>
      </c>
      <c r="AJ65" s="14">
        <f>AI65*VLOOKUP('Données projet'!$B$10,Paramètres!$A$1:$I$89,3,0)*VLOOKUP('Données projet'!$B$10,Paramètres!$A$1:$I$89,5,0)</f>
        <v>246.53200000000021</v>
      </c>
      <c r="AK65" s="14">
        <f t="shared" si="35"/>
        <v>59.842718175490958</v>
      </c>
      <c r="AL65" s="22">
        <f t="shared" si="4"/>
        <v>533.60263415564714</v>
      </c>
      <c r="AM65" s="62">
        <f t="shared" si="5"/>
        <v>826.9359674889804</v>
      </c>
      <c r="AN65" s="62">
        <f ca="1">AVERAGE(OFFSET($AM$3,0,0,'Données projet'!$E$10+1,1))-AVERAGE(OFFSET($H$3,0,0,'Données projet'!$E$10+1,1))</f>
        <v>227.80096215475777</v>
      </c>
      <c r="AO65" s="62">
        <f t="shared" si="36"/>
        <v>259.52807665663926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1.6246624226211006</v>
      </c>
      <c r="AW65" s="23">
        <f>EXP(-LN(2)/2)*AW64+(1-EXP(-LN(2)/2))/(LN(2)/2)*AQ65*AT65*VLOOKUP('Données projet'!$B$10,Paramètres!$A$1:$I$89,3,0)*0.475*44/12</f>
        <v>5.3417091069834252E-4</v>
      </c>
      <c r="AX65" s="23">
        <f t="shared" si="6"/>
        <v>1.6251965935317989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1.1368683772161603E-13</v>
      </c>
      <c r="BE65" s="14">
        <f>BD65*VLOOKUP('Données projet'!$B$11,Paramètres!$A$1:$I$89,3,0)*VLOOKUP('Données projet'!$B$11,Paramètres!$A$1:$I$89,5,0)</f>
        <v>6.7984728957526396E-14</v>
      </c>
      <c r="BF65" s="14">
        <f t="shared" si="37"/>
        <v>1.0682447123141398E-12</v>
      </c>
      <c r="BG65" s="22">
        <f t="shared" si="7"/>
        <v>1.978932943548152E-12</v>
      </c>
      <c r="BH65" s="62">
        <f t="shared" si="8"/>
        <v>293.3333333333353</v>
      </c>
      <c r="BI65" s="62">
        <f ca="1">AVERAGE(OFFSET($BH$3,0,0,'Données projet'!$E$11+1,1))-AVERAGE(OFFSET($H$3,0,0,'Données projet'!$E$11+1,1))</f>
        <v>149.5086927376081</v>
      </c>
      <c r="BJ65" s="62">
        <f t="shared" si="38"/>
        <v>364.59164590134498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28.292156381249427</v>
      </c>
      <c r="BQ65" s="23">
        <f>EXP(-LN(2)/25)*BQ64+(1-EXP(-LN(2)/25))/(LN(2)/25)*Calculateur!BL65*Calculateur!BN65*VLOOKUP('Données projet'!$B$11,Paramètres!$A$1:$I$89,3,0)*0.475*44/12</f>
        <v>18.097924510294924</v>
      </c>
      <c r="BR65" s="23">
        <f>EXP(-LN(2)/2)*BR64+(1-EXP(-LN(2)/2))/(LN(2)/2)*BL65*BO65*VLOOKUP('Données projet'!$B$11,Paramètres!$A$1:$I$89,3,0)*0.475*44/12</f>
        <v>6.6478553462079651E-4</v>
      </c>
      <c r="BS65" s="24">
        <f t="shared" si="9"/>
        <v>46.390745677078968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160.22474733551678</v>
      </c>
      <c r="T66" s="62">
        <f t="shared" si="34"/>
        <v>272.72162271905523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9</v>
      </c>
      <c r="AI66" s="14">
        <f>IF('Données projet'!$A$62&gt;35,AI65+AH66-AQ65,IF(A66&lt;'Données projet'!$A$62,$AF$205^A66,IF(A66='Données projet'!$A$62,'Données projet'!$B$62,AI65+AH66-AQ65)))</f>
        <v>440.00000000000034</v>
      </c>
      <c r="AJ66" s="14">
        <f>AI66*VLOOKUP('Données projet'!$B$10,Paramètres!$A$1:$I$89,3,0)*VLOOKUP('Données projet'!$B$10,Paramètres!$A$1:$I$89,5,0)</f>
        <v>251.68000000000023</v>
      </c>
      <c r="AK66" s="14">
        <f t="shared" si="35"/>
        <v>60.945547219474861</v>
      </c>
      <c r="AL66" s="22">
        <f t="shared" si="4"/>
        <v>544.48949474058588</v>
      </c>
      <c r="AM66" s="62">
        <f t="shared" si="5"/>
        <v>837.82282807391925</v>
      </c>
      <c r="AN66" s="62">
        <f ca="1">AVERAGE(OFFSET($AM$3,0,0,'Données projet'!$E$10+1,1))-AVERAGE(OFFSET($H$3,0,0,'Données projet'!$E$10+1,1))</f>
        <v>227.80096215475777</v>
      </c>
      <c r="AO66" s="62">
        <f t="shared" si="36"/>
        <v>259.52807665663926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1.580235943237243</v>
      </c>
      <c r="AW66" s="23">
        <f>EXP(-LN(2)/2)*AW65+(1-EXP(-LN(2)/2))/(LN(2)/2)*AQ66*AT66*VLOOKUP('Données projet'!$B$10,Paramètres!$A$1:$I$89,3,0)*0.475*44/12</f>
        <v>3.7771587326739171E-4</v>
      </c>
      <c r="AX66" s="23">
        <f t="shared" si="6"/>
        <v>1.5806136591105104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1.1368683772161603E-13</v>
      </c>
      <c r="BE66" s="14">
        <f>BD66*VLOOKUP('Données projet'!$B$11,Paramètres!$A$1:$I$89,3,0)*VLOOKUP('Données projet'!$B$11,Paramètres!$A$1:$I$89,5,0)</f>
        <v>6.7984728957526396E-14</v>
      </c>
      <c r="BF66" s="14">
        <f t="shared" si="37"/>
        <v>1.0682447123141398E-12</v>
      </c>
      <c r="BG66" s="22">
        <f t="shared" si="7"/>
        <v>1.978932943548152E-12</v>
      </c>
      <c r="BH66" s="62">
        <f t="shared" si="8"/>
        <v>293.3333333333353</v>
      </c>
      <c r="BI66" s="62">
        <f ca="1">AVERAGE(OFFSET($BH$3,0,0,'Données projet'!$E$11+1,1))-AVERAGE(OFFSET($H$3,0,0,'Données projet'!$E$11+1,1))</f>
        <v>149.5086927376081</v>
      </c>
      <c r="BJ66" s="62">
        <f t="shared" si="38"/>
        <v>364.59164590134498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27.737364451124581</v>
      </c>
      <c r="BQ66" s="23">
        <f>EXP(-LN(2)/25)*BQ65+(1-EXP(-LN(2)/25))/(LN(2)/25)*Calculateur!BL66*Calculateur!BN66*VLOOKUP('Données projet'!$B$11,Paramètres!$A$1:$I$89,3,0)*0.475*44/12</f>
        <v>17.603035812832424</v>
      </c>
      <c r="BR66" s="23">
        <f>EXP(-LN(2)/2)*BR65+(1-EXP(-LN(2)/2))/(LN(2)/2)*BL66*BO66*VLOOKUP('Données projet'!$B$11,Paramètres!$A$1:$I$89,3,0)*0.475*44/12</f>
        <v>4.7007435956508963E-4</v>
      </c>
      <c r="BS66" s="24">
        <f t="shared" si="9"/>
        <v>45.34087033831657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160.22474733551678</v>
      </c>
      <c r="T67" s="62">
        <f t="shared" si="34"/>
        <v>272.72162271905523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9</v>
      </c>
      <c r="AI67" s="14">
        <f>IF('Données projet'!$A$62&gt;35,AI66+AH67-AQ66,IF(A67&lt;'Données projet'!$A$62,$AF$205^A67,IF(A67='Données projet'!$A$62,'Données projet'!$B$62,AI66+AH67-AQ66)))</f>
        <v>449.00000000000034</v>
      </c>
      <c r="AJ67" s="14">
        <f>AI67*VLOOKUP('Données projet'!$B$10,Paramètres!$A$1:$I$89,3,0)*VLOOKUP('Données projet'!$B$10,Paramètres!$A$1:$I$89,5,0)</f>
        <v>256.8280000000002</v>
      </c>
      <c r="AK67" s="14">
        <f t="shared" si="35"/>
        <v>62.045753457776321</v>
      </c>
      <c r="AL67" s="22">
        <f t="shared" si="4"/>
        <v>555.37178727229411</v>
      </c>
      <c r="AM67" s="62">
        <f t="shared" si="5"/>
        <v>848.70512060562737</v>
      </c>
      <c r="AN67" s="62">
        <f ca="1">AVERAGE(OFFSET($AM$3,0,0,'Données projet'!$E$10+1,1))-AVERAGE(OFFSET($H$3,0,0,'Données projet'!$E$10+1,1))</f>
        <v>227.80096215475777</v>
      </c>
      <c r="AO67" s="62">
        <f t="shared" si="36"/>
        <v>259.52807665663926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1.5370243082684241</v>
      </c>
      <c r="AW67" s="23">
        <f>EXP(-LN(2)/2)*AW66+(1-EXP(-LN(2)/2))/(LN(2)/2)*AQ67*AT67*VLOOKUP('Données projet'!$B$10,Paramètres!$A$1:$I$89,3,0)*0.475*44/12</f>
        <v>2.6708545534917126E-4</v>
      </c>
      <c r="AX67" s="23">
        <f t="shared" si="6"/>
        <v>1.5372913937237733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1.1368683772161603E-13</v>
      </c>
      <c r="BE67" s="14">
        <f>BD67*VLOOKUP('Données projet'!$B$11,Paramètres!$A$1:$I$89,3,0)*VLOOKUP('Données projet'!$B$11,Paramètres!$A$1:$I$89,5,0)</f>
        <v>6.7984728957526396E-14</v>
      </c>
      <c r="BF67" s="14">
        <f t="shared" si="37"/>
        <v>1.0682447123141398E-12</v>
      </c>
      <c r="BG67" s="22">
        <f t="shared" si="7"/>
        <v>1.978932943548152E-12</v>
      </c>
      <c r="BH67" s="62">
        <f t="shared" si="8"/>
        <v>293.3333333333353</v>
      </c>
      <c r="BI67" s="62">
        <f ca="1">AVERAGE(OFFSET($BH$3,0,0,'Données projet'!$E$11+1,1))-AVERAGE(OFFSET($H$3,0,0,'Données projet'!$E$11+1,1))</f>
        <v>149.5086927376081</v>
      </c>
      <c r="BJ67" s="62">
        <f t="shared" si="38"/>
        <v>364.59164590134498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27.193451652359816</v>
      </c>
      <c r="BQ67" s="23">
        <f>EXP(-LN(2)/25)*BQ66+(1-EXP(-LN(2)/25))/(LN(2)/25)*Calculateur!BL67*Calculateur!BN67*VLOOKUP('Données projet'!$B$11,Paramètres!$A$1:$I$89,3,0)*0.475*44/12</f>
        <v>17.121679872827102</v>
      </c>
      <c r="BR67" s="23">
        <f>EXP(-LN(2)/2)*BR66+(1-EXP(-LN(2)/2))/(LN(2)/2)*BL67*BO67*VLOOKUP('Données projet'!$B$11,Paramètres!$A$1:$I$89,3,0)*0.475*44/12</f>
        <v>3.3239276731039831E-4</v>
      </c>
      <c r="BS67" s="24">
        <f t="shared" si="9"/>
        <v>44.315463917954226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160.22474733551678</v>
      </c>
      <c r="T68" s="62">
        <f t="shared" si="34"/>
        <v>272.72162271905523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458</v>
      </c>
      <c r="AG68" s="13">
        <f>VLOOKUP(A68,'Données projet'!$A$61:$I$81,9,0)</f>
        <v>9</v>
      </c>
      <c r="AH68" s="13">
        <f t="array" ref="AH68">INDEX(AG:AG,MIN(IF(ISNUMBER(AG68:AG264),ROW(AG68:AG264),"")))</f>
        <v>9</v>
      </c>
      <c r="AI68" s="14">
        <f>IF('Données projet'!$A$62&gt;35,AI67+AH68-AQ67,IF(A68&lt;'Données projet'!$A$62,$AF$205^A68,IF(A68='Données projet'!$A$62,'Données projet'!$B$62,AI67+AH68-AQ67)))</f>
        <v>458.00000000000034</v>
      </c>
      <c r="AJ68" s="14">
        <f>AI68*VLOOKUP('Données projet'!$B$10,Paramètres!$A$1:$I$89,3,0)*VLOOKUP('Données projet'!$B$10,Paramètres!$A$1:$I$89,5,0)</f>
        <v>261.97600000000023</v>
      </c>
      <c r="AK68" s="14">
        <f t="shared" si="35"/>
        <v>63.143395522335666</v>
      </c>
      <c r="AL68" s="22">
        <f t="shared" ref="AL68:AL131" si="58">(AJ68+AK68)*0.475*44/12</f>
        <v>566.24961386806831</v>
      </c>
      <c r="AM68" s="62">
        <f t="shared" ref="AM68:AM131" si="59">AL68+(AD68+AE68)*44/12</f>
        <v>859.58294720140157</v>
      </c>
      <c r="AN68" s="62">
        <f ca="1">AVERAGE(OFFSET($AM$3,0,0,'Données projet'!$E$10+1,1))-AVERAGE(OFFSET($H$3,0,0,'Données projet'!$E$10+1,1))</f>
        <v>227.80096215475777</v>
      </c>
      <c r="AO68" s="62">
        <f t="shared" si="36"/>
        <v>259.52807665663926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458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1.4949942977302286</v>
      </c>
      <c r="AW68" s="23">
        <f>EXP(-LN(2)/2)*AW67+(1-EXP(-LN(2)/2))/(LN(2)/2)*AQ68*AT68*VLOOKUP('Données projet'!$B$10,Paramètres!$A$1:$I$89,3,0)*0.475*44/12</f>
        <v>1.8885793663369585E-4</v>
      </c>
      <c r="AX68" s="23">
        <f t="shared" ref="AX68:AX131" si="60">SUM(AU68:AW68)</f>
        <v>1.4951831556668622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1.1368683772161603E-13</v>
      </c>
      <c r="BE68" s="14">
        <f>BD68*VLOOKUP('Données projet'!$B$11,Paramètres!$A$1:$I$89,3,0)*VLOOKUP('Données projet'!$B$11,Paramètres!$A$1:$I$89,5,0)</f>
        <v>6.7984728957526396E-14</v>
      </c>
      <c r="BF68" s="14">
        <f t="shared" si="37"/>
        <v>1.0682447123141398E-12</v>
      </c>
      <c r="BG68" s="22">
        <f t="shared" ref="BG68:BG131" si="61">(BE68+BF68)*0.475*44/12</f>
        <v>1.978932943548152E-12</v>
      </c>
      <c r="BH68" s="62">
        <f t="shared" ref="BH68:BH131" si="62">BG68+(AY68+AZ68)*44/12</f>
        <v>293.3333333333353</v>
      </c>
      <c r="BI68" s="62">
        <f ca="1">AVERAGE(OFFSET($BH$3,0,0,'Données projet'!$E$11+1,1))-AVERAGE(OFFSET($H$3,0,0,'Données projet'!$E$11+1,1))</f>
        <v>149.5086927376081</v>
      </c>
      <c r="BJ68" s="62">
        <f t="shared" si="38"/>
        <v>364.59164590134498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26.660204651824781</v>
      </c>
      <c r="BQ68" s="23">
        <f>EXP(-LN(2)/25)*BQ67+(1-EXP(-LN(2)/25))/(LN(2)/25)*Calculateur!BL68*Calculateur!BN68*VLOOKUP('Données projet'!$B$11,Paramètres!$A$1:$I$89,3,0)*0.475*44/12</f>
        <v>16.653486636314632</v>
      </c>
      <c r="BR68" s="23">
        <f>EXP(-LN(2)/2)*BR67+(1-EXP(-LN(2)/2))/(LN(2)/2)*BL68*BO68*VLOOKUP('Données projet'!$B$11,Paramètres!$A$1:$I$89,3,0)*0.475*44/12</f>
        <v>2.3503717978254484E-4</v>
      </c>
      <c r="BS68" s="24">
        <f t="shared" ref="BS68:BS131" si="63">SUM(BP68:BR68)</f>
        <v>43.313926325319194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160.22474733551678</v>
      </c>
      <c r="T69" s="62">
        <f t="shared" ref="T69:T132" si="88">$T$3</f>
        <v>272.72162271905523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3.4106051316484809E-13</v>
      </c>
      <c r="AJ69" s="14">
        <f>AI69*VLOOKUP('Données projet'!$B$10,Paramètres!$A$1:$I$89,3,0)*VLOOKUP('Données projet'!$B$10,Paramètres!$A$1:$I$89,5,0)</f>
        <v>1.9508661353029313E-13</v>
      </c>
      <c r="AK69" s="14">
        <f t="shared" ref="AK69:AK132" si="89">EXP(-1.0587+0.8836*LN(AJ69)+0.284)</f>
        <v>2.711421636700695E-12</v>
      </c>
      <c r="AL69" s="22">
        <f t="shared" si="58"/>
        <v>5.0621685358189711E-12</v>
      </c>
      <c r="AM69" s="62">
        <f t="shared" si="59"/>
        <v>293.33333333333837</v>
      </c>
      <c r="AN69" s="62">
        <f ca="1">AVERAGE(OFFSET($AM$3,0,0,'Données projet'!$E$10+1,1))-AVERAGE(OFFSET($H$3,0,0,'Données projet'!$E$10+1,1))</f>
        <v>227.80096215475777</v>
      </c>
      <c r="AO69" s="62">
        <f t="shared" ref="AO69:AO132" si="90">$AO$3</f>
        <v>259.52807665663926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1.4541136000404622</v>
      </c>
      <c r="AW69" s="23">
        <f>EXP(-LN(2)/2)*AW68+(1-EXP(-LN(2)/2))/(LN(2)/2)*AQ69*AT69*VLOOKUP('Données projet'!$B$10,Paramètres!$A$1:$I$89,3,0)*0.475*44/12</f>
        <v>1.3354272767458563E-4</v>
      </c>
      <c r="AX69" s="23">
        <f t="shared" si="60"/>
        <v>1.4542471427681367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1.1368683772161603E-13</v>
      </c>
      <c r="BE69" s="14">
        <f>BD69*VLOOKUP('Données projet'!$B$11,Paramètres!$A$1:$I$89,3,0)*VLOOKUP('Données projet'!$B$11,Paramètres!$A$1:$I$89,5,0)</f>
        <v>6.7984728957526396E-14</v>
      </c>
      <c r="BF69" s="14">
        <f t="shared" ref="BF69:BF132" si="91">EXP(-1.0587+0.8836*LN(BE69)+0.284)</f>
        <v>1.0682447123141398E-12</v>
      </c>
      <c r="BG69" s="22">
        <f t="shared" si="61"/>
        <v>1.978932943548152E-12</v>
      </c>
      <c r="BH69" s="62">
        <f t="shared" si="62"/>
        <v>293.3333333333353</v>
      </c>
      <c r="BI69" s="62">
        <f ca="1">AVERAGE(OFFSET($BH$3,0,0,'Données projet'!$E$11+1,1))-AVERAGE(OFFSET($H$3,0,0,'Données projet'!$E$11+1,1))</f>
        <v>149.5086927376081</v>
      </c>
      <c r="BJ69" s="62">
        <f t="shared" ref="BJ69:BJ132" si="92">$BJ$3</f>
        <v>364.59164590134498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26.137414299721684</v>
      </c>
      <c r="BQ69" s="23">
        <f>EXP(-LN(2)/25)*BQ68+(1-EXP(-LN(2)/25))/(LN(2)/25)*Calculateur!BL69*Calculateur!BN69*VLOOKUP('Données projet'!$B$11,Paramètres!$A$1:$I$89,3,0)*0.475*44/12</f>
        <v>16.198096168475807</v>
      </c>
      <c r="BR69" s="23">
        <f>EXP(-LN(2)/2)*BR68+(1-EXP(-LN(2)/2))/(LN(2)/2)*BL69*BO69*VLOOKUP('Données projet'!$B$11,Paramètres!$A$1:$I$89,3,0)*0.475*44/12</f>
        <v>1.6619638365519918E-4</v>
      </c>
      <c r="BS69" s="24">
        <f t="shared" si="63"/>
        <v>42.335676664581143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160.22474733551678</v>
      </c>
      <c r="T70" s="62">
        <f t="shared" si="88"/>
        <v>272.72162271905523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3.4106051316484809E-13</v>
      </c>
      <c r="AJ70" s="14">
        <f>AI70*VLOOKUP('Données projet'!$B$10,Paramètres!$A$1:$I$89,3,0)*VLOOKUP('Données projet'!$B$10,Paramètres!$A$1:$I$89,5,0)</f>
        <v>1.9508661353029313E-13</v>
      </c>
      <c r="AK70" s="14">
        <f t="shared" si="89"/>
        <v>2.711421636700695E-12</v>
      </c>
      <c r="AL70" s="22">
        <f t="shared" si="58"/>
        <v>5.0621685358189711E-12</v>
      </c>
      <c r="AM70" s="62">
        <f t="shared" si="59"/>
        <v>293.33333333333837</v>
      </c>
      <c r="AN70" s="62">
        <f ca="1">AVERAGE(OFFSET($AM$3,0,0,'Données projet'!$E$10+1,1))-AVERAGE(OFFSET($H$3,0,0,'Données projet'!$E$10+1,1))</f>
        <v>227.80096215475777</v>
      </c>
      <c r="AO70" s="62">
        <f t="shared" si="90"/>
        <v>259.52807665663926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1.414350787178845</v>
      </c>
      <c r="AW70" s="23">
        <f>EXP(-LN(2)/2)*AW69+(1-EXP(-LN(2)/2))/(LN(2)/2)*AQ70*AT70*VLOOKUP('Données projet'!$B$10,Paramètres!$A$1:$I$89,3,0)*0.475*44/12</f>
        <v>9.4428968316847926E-5</v>
      </c>
      <c r="AX70" s="23">
        <f t="shared" si="60"/>
        <v>1.4144452161471619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1.1368683772161603E-13</v>
      </c>
      <c r="BE70" s="14">
        <f>BD70*VLOOKUP('Données projet'!$B$11,Paramètres!$A$1:$I$89,3,0)*VLOOKUP('Données projet'!$B$11,Paramètres!$A$1:$I$89,5,0)</f>
        <v>6.7984728957526396E-14</v>
      </c>
      <c r="BF70" s="14">
        <f t="shared" si="91"/>
        <v>1.0682447123141398E-12</v>
      </c>
      <c r="BG70" s="22">
        <f t="shared" si="61"/>
        <v>1.978932943548152E-12</v>
      </c>
      <c r="BH70" s="62">
        <f t="shared" si="62"/>
        <v>293.3333333333353</v>
      </c>
      <c r="BI70" s="62">
        <f ca="1">AVERAGE(OFFSET($BH$3,0,0,'Données projet'!$E$11+1,1))-AVERAGE(OFFSET($H$3,0,0,'Données projet'!$E$11+1,1))</f>
        <v>149.5086927376081</v>
      </c>
      <c r="BJ70" s="62">
        <f t="shared" si="92"/>
        <v>364.59164590134498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25.624875547552698</v>
      </c>
      <c r="BQ70" s="23">
        <f>EXP(-LN(2)/25)*BQ69+(1-EXP(-LN(2)/25))/(LN(2)/25)*Calculateur!BL70*Calculateur!BN70*VLOOKUP('Données projet'!$B$11,Paramètres!$A$1:$I$89,3,0)*0.475*44/12</f>
        <v>15.75515837692798</v>
      </c>
      <c r="BR70" s="23">
        <f>EXP(-LN(2)/2)*BR69+(1-EXP(-LN(2)/2))/(LN(2)/2)*BL70*BO70*VLOOKUP('Données projet'!$B$11,Paramètres!$A$1:$I$89,3,0)*0.475*44/12</f>
        <v>1.1751858989127243E-4</v>
      </c>
      <c r="BS70" s="24">
        <f t="shared" si="63"/>
        <v>41.380151443070567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160.22474733551678</v>
      </c>
      <c r="T71" s="62">
        <f t="shared" si="88"/>
        <v>272.72162271905523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3.4106051316484809E-13</v>
      </c>
      <c r="AJ71" s="14">
        <f>AI71*VLOOKUP('Données projet'!$B$10,Paramètres!$A$1:$I$89,3,0)*VLOOKUP('Données projet'!$B$10,Paramètres!$A$1:$I$89,5,0)</f>
        <v>1.9508661353029313E-13</v>
      </c>
      <c r="AK71" s="14">
        <f t="shared" si="89"/>
        <v>2.711421636700695E-12</v>
      </c>
      <c r="AL71" s="22">
        <f t="shared" si="58"/>
        <v>5.0621685358189711E-12</v>
      </c>
      <c r="AM71" s="62">
        <f t="shared" si="59"/>
        <v>293.33333333333837</v>
      </c>
      <c r="AN71" s="62">
        <f ca="1">AVERAGE(OFFSET($AM$3,0,0,'Données projet'!$E$10+1,1))-AVERAGE(OFFSET($H$3,0,0,'Données projet'!$E$10+1,1))</f>
        <v>227.80096215475777</v>
      </c>
      <c r="AO71" s="62">
        <f t="shared" si="90"/>
        <v>259.52807665663926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1.3756752905259642</v>
      </c>
      <c r="AW71" s="23">
        <f>EXP(-LN(2)/2)*AW70+(1-EXP(-LN(2)/2))/(LN(2)/2)*AQ71*AT71*VLOOKUP('Données projet'!$B$10,Paramètres!$A$1:$I$89,3,0)*0.475*44/12</f>
        <v>6.6771363837292815E-5</v>
      </c>
      <c r="AX71" s="23">
        <f t="shared" si="60"/>
        <v>1.3757420618898015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1.1368683772161603E-13</v>
      </c>
      <c r="BE71" s="14">
        <f>BD71*VLOOKUP('Données projet'!$B$11,Paramètres!$A$1:$I$89,3,0)*VLOOKUP('Données projet'!$B$11,Paramètres!$A$1:$I$89,5,0)</f>
        <v>6.7984728957526396E-14</v>
      </c>
      <c r="BF71" s="14">
        <f t="shared" si="91"/>
        <v>1.0682447123141398E-12</v>
      </c>
      <c r="BG71" s="22">
        <f t="shared" si="61"/>
        <v>1.978932943548152E-12</v>
      </c>
      <c r="BH71" s="62">
        <f t="shared" si="62"/>
        <v>293.3333333333353</v>
      </c>
      <c r="BI71" s="62">
        <f ca="1">AVERAGE(OFFSET($BH$3,0,0,'Données projet'!$E$11+1,1))-AVERAGE(OFFSET($H$3,0,0,'Données projet'!$E$11+1,1))</f>
        <v>149.5086927376081</v>
      </c>
      <c r="BJ71" s="62">
        <f t="shared" si="92"/>
        <v>364.59164590134498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25.122387367695975</v>
      </c>
      <c r="BQ71" s="23">
        <f>EXP(-LN(2)/25)*BQ70+(1-EXP(-LN(2)/25))/(LN(2)/25)*Calculateur!BL71*Calculateur!BN71*VLOOKUP('Données projet'!$B$11,Paramètres!$A$1:$I$89,3,0)*0.475*44/12</f>
        <v>15.324332742583115</v>
      </c>
      <c r="BR71" s="23">
        <f>EXP(-LN(2)/2)*BR70+(1-EXP(-LN(2)/2))/(LN(2)/2)*BL71*BO71*VLOOKUP('Données projet'!$B$11,Paramètres!$A$1:$I$89,3,0)*0.475*44/12</f>
        <v>8.3098191827599605E-5</v>
      </c>
      <c r="BS71" s="24">
        <f t="shared" si="63"/>
        <v>40.446803208470918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160.22474733551678</v>
      </c>
      <c r="T72" s="62">
        <f t="shared" si="88"/>
        <v>272.72162271905523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3.4106051316484809E-13</v>
      </c>
      <c r="AJ72" s="14">
        <f>AI72*VLOOKUP('Données projet'!$B$10,Paramètres!$A$1:$I$89,3,0)*VLOOKUP('Données projet'!$B$10,Paramètres!$A$1:$I$89,5,0)</f>
        <v>1.9508661353029313E-13</v>
      </c>
      <c r="AK72" s="14">
        <f t="shared" si="89"/>
        <v>2.711421636700695E-12</v>
      </c>
      <c r="AL72" s="22">
        <f t="shared" si="58"/>
        <v>5.0621685358189711E-12</v>
      </c>
      <c r="AM72" s="62">
        <f t="shared" si="59"/>
        <v>293.33333333333837</v>
      </c>
      <c r="AN72" s="62">
        <f ca="1">AVERAGE(OFFSET($AM$3,0,0,'Données projet'!$E$10+1,1))-AVERAGE(OFFSET($H$3,0,0,'Données projet'!$E$10+1,1))</f>
        <v>227.80096215475777</v>
      </c>
      <c r="AO72" s="62">
        <f t="shared" si="90"/>
        <v>259.52807665663926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1.3380573773629123</v>
      </c>
      <c r="AW72" s="23">
        <f>EXP(-LN(2)/2)*AW71+(1-EXP(-LN(2)/2))/(LN(2)/2)*AQ72*AT72*VLOOKUP('Données projet'!$B$10,Paramètres!$A$1:$I$89,3,0)*0.475*44/12</f>
        <v>4.7214484158423963E-5</v>
      </c>
      <c r="AX72" s="23">
        <f t="shared" si="60"/>
        <v>1.3381045918470706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1.1368683772161603E-13</v>
      </c>
      <c r="BE72" s="14">
        <f>BD72*VLOOKUP('Données projet'!$B$11,Paramètres!$A$1:$I$89,3,0)*VLOOKUP('Données projet'!$B$11,Paramètres!$A$1:$I$89,5,0)</f>
        <v>6.7984728957526396E-14</v>
      </c>
      <c r="BF72" s="14">
        <f t="shared" si="91"/>
        <v>1.0682447123141398E-12</v>
      </c>
      <c r="BG72" s="22">
        <f t="shared" si="61"/>
        <v>1.978932943548152E-12</v>
      </c>
      <c r="BH72" s="62">
        <f t="shared" si="62"/>
        <v>293.3333333333353</v>
      </c>
      <c r="BI72" s="62">
        <f ca="1">AVERAGE(OFFSET($BH$3,0,0,'Données projet'!$E$11+1,1))-AVERAGE(OFFSET($H$3,0,0,'Données projet'!$E$11+1,1))</f>
        <v>149.5086927376081</v>
      </c>
      <c r="BJ72" s="62">
        <f t="shared" si="92"/>
        <v>364.59164590134498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24.629752674558716</v>
      </c>
      <c r="BQ72" s="23">
        <f>EXP(-LN(2)/25)*BQ71+(1-EXP(-LN(2)/25))/(LN(2)/25)*Calculateur!BL72*Calculateur!BN72*VLOOKUP('Données projet'!$B$11,Paramètres!$A$1:$I$89,3,0)*0.475*44/12</f>
        <v>14.905288057865546</v>
      </c>
      <c r="BR72" s="23">
        <f>EXP(-LN(2)/2)*BR71+(1-EXP(-LN(2)/2))/(LN(2)/2)*BL72*BO72*VLOOKUP('Données projet'!$B$11,Paramètres!$A$1:$I$89,3,0)*0.475*44/12</f>
        <v>5.8759294945636231E-5</v>
      </c>
      <c r="BS72" s="24">
        <f t="shared" si="63"/>
        <v>39.535099491719208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160.22474733551678</v>
      </c>
      <c r="T73" s="62">
        <f t="shared" si="88"/>
        <v>272.72162271905523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3.4106051316484809E-13</v>
      </c>
      <c r="AJ73" s="14">
        <f>AI73*VLOOKUP('Données projet'!$B$10,Paramètres!$A$1:$I$89,3,0)*VLOOKUP('Données projet'!$B$10,Paramètres!$A$1:$I$89,5,0)</f>
        <v>1.9508661353029313E-13</v>
      </c>
      <c r="AK73" s="14">
        <f t="shared" si="89"/>
        <v>2.711421636700695E-12</v>
      </c>
      <c r="AL73" s="22">
        <f t="shared" si="58"/>
        <v>5.0621685358189711E-12</v>
      </c>
      <c r="AM73" s="62">
        <f t="shared" si="59"/>
        <v>293.33333333333837</v>
      </c>
      <c r="AN73" s="62">
        <f ca="1">AVERAGE(OFFSET($AM$3,0,0,'Données projet'!$E$10+1,1))-AVERAGE(OFFSET($H$3,0,0,'Données projet'!$E$10+1,1))</f>
        <v>227.80096215475777</v>
      </c>
      <c r="AO73" s="62">
        <f t="shared" si="90"/>
        <v>259.52807665663926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1.3014681280135441</v>
      </c>
      <c r="AW73" s="23">
        <f>EXP(-LN(2)/2)*AW72+(1-EXP(-LN(2)/2))/(LN(2)/2)*AQ73*AT73*VLOOKUP('Données projet'!$B$10,Paramètres!$A$1:$I$89,3,0)*0.475*44/12</f>
        <v>3.3385681918646407E-5</v>
      </c>
      <c r="AX73" s="23">
        <f t="shared" si="60"/>
        <v>1.3015015136954626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1.1368683772161603E-13</v>
      </c>
      <c r="BE73" s="14">
        <f>BD73*VLOOKUP('Données projet'!$B$11,Paramètres!$A$1:$I$89,3,0)*VLOOKUP('Données projet'!$B$11,Paramètres!$A$1:$I$89,5,0)</f>
        <v>6.7984728957526396E-14</v>
      </c>
      <c r="BF73" s="14">
        <f t="shared" si="91"/>
        <v>1.0682447123141398E-12</v>
      </c>
      <c r="BG73" s="22">
        <f t="shared" si="61"/>
        <v>1.978932943548152E-12</v>
      </c>
      <c r="BH73" s="62">
        <f t="shared" si="62"/>
        <v>293.3333333333353</v>
      </c>
      <c r="BI73" s="62">
        <f ca="1">AVERAGE(OFFSET($BH$3,0,0,'Données projet'!$E$11+1,1))-AVERAGE(OFFSET($H$3,0,0,'Données projet'!$E$11+1,1))</f>
        <v>149.5086927376081</v>
      </c>
      <c r="BJ73" s="62">
        <f t="shared" si="92"/>
        <v>364.59164590134498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24.146778247276387</v>
      </c>
      <c r="BQ73" s="23">
        <f>EXP(-LN(2)/25)*BQ72+(1-EXP(-LN(2)/25))/(LN(2)/25)*Calculateur!BL73*Calculateur!BN73*VLOOKUP('Données projet'!$B$11,Paramètres!$A$1:$I$89,3,0)*0.475*44/12</f>
        <v>14.49770217208818</v>
      </c>
      <c r="BR73" s="23">
        <f>EXP(-LN(2)/2)*BR72+(1-EXP(-LN(2)/2))/(LN(2)/2)*BL73*BO73*VLOOKUP('Données projet'!$B$11,Paramètres!$A$1:$I$89,3,0)*0.475*44/12</f>
        <v>4.1549095913799809E-5</v>
      </c>
      <c r="BS73" s="24">
        <f t="shared" si="63"/>
        <v>38.644521968460481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160.22474733551678</v>
      </c>
      <c r="T74" s="62">
        <f t="shared" si="88"/>
        <v>272.72162271905523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3.4106051316484809E-13</v>
      </c>
      <c r="AJ74" s="14">
        <f>AI74*VLOOKUP('Données projet'!$B$10,Paramètres!$A$1:$I$89,3,0)*VLOOKUP('Données projet'!$B$10,Paramètres!$A$1:$I$89,5,0)</f>
        <v>1.9508661353029313E-13</v>
      </c>
      <c r="AK74" s="14">
        <f t="shared" si="89"/>
        <v>2.711421636700695E-12</v>
      </c>
      <c r="AL74" s="22">
        <f t="shared" si="58"/>
        <v>5.0621685358189711E-12</v>
      </c>
      <c r="AM74" s="62">
        <f t="shared" si="59"/>
        <v>293.33333333333837</v>
      </c>
      <c r="AN74" s="62">
        <f ca="1">AVERAGE(OFFSET($AM$3,0,0,'Données projet'!$E$10+1,1))-AVERAGE(OFFSET($H$3,0,0,'Données projet'!$E$10+1,1))</f>
        <v>227.80096215475777</v>
      </c>
      <c r="AO74" s="62">
        <f t="shared" si="90"/>
        <v>259.52807665663926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1.2658794136117795</v>
      </c>
      <c r="AW74" s="23">
        <f>EXP(-LN(2)/2)*AW73+(1-EXP(-LN(2)/2))/(LN(2)/2)*AQ74*AT74*VLOOKUP('Données projet'!$B$10,Paramètres!$A$1:$I$89,3,0)*0.475*44/12</f>
        <v>2.3607242079211982E-5</v>
      </c>
      <c r="AX74" s="23">
        <f t="shared" si="60"/>
        <v>1.2659030208538586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1.1368683772161603E-13</v>
      </c>
      <c r="BE74" s="14">
        <f>BD74*VLOOKUP('Données projet'!$B$11,Paramètres!$A$1:$I$89,3,0)*VLOOKUP('Données projet'!$B$11,Paramètres!$A$1:$I$89,5,0)</f>
        <v>6.7984728957526396E-14</v>
      </c>
      <c r="BF74" s="14">
        <f t="shared" si="91"/>
        <v>1.0682447123141398E-12</v>
      </c>
      <c r="BG74" s="22">
        <f t="shared" si="61"/>
        <v>1.978932943548152E-12</v>
      </c>
      <c r="BH74" s="62">
        <f t="shared" si="62"/>
        <v>293.3333333333353</v>
      </c>
      <c r="BI74" s="62">
        <f ca="1">AVERAGE(OFFSET($BH$3,0,0,'Données projet'!$E$11+1,1))-AVERAGE(OFFSET($H$3,0,0,'Données projet'!$E$11+1,1))</f>
        <v>149.5086927376081</v>
      </c>
      <c r="BJ74" s="62">
        <f t="shared" si="92"/>
        <v>364.59164590134498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23.673274653927752</v>
      </c>
      <c r="BQ74" s="23">
        <f>EXP(-LN(2)/25)*BQ73+(1-EXP(-LN(2)/25))/(LN(2)/25)*Calculateur!BL74*Calculateur!BN74*VLOOKUP('Données projet'!$B$11,Paramètres!$A$1:$I$89,3,0)*0.475*44/12</f>
        <v>14.101261743791406</v>
      </c>
      <c r="BR74" s="23">
        <f>EXP(-LN(2)/2)*BR73+(1-EXP(-LN(2)/2))/(LN(2)/2)*BL74*BO74*VLOOKUP('Données projet'!$B$11,Paramètres!$A$1:$I$89,3,0)*0.475*44/12</f>
        <v>2.9379647472818119E-5</v>
      </c>
      <c r="BS74" s="24">
        <f t="shared" si="63"/>
        <v>37.774565777366632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160.22474733551678</v>
      </c>
      <c r="T75" s="62">
        <f t="shared" si="88"/>
        <v>272.72162271905523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3.4106051316484809E-13</v>
      </c>
      <c r="AJ75" s="14">
        <f>AI75*VLOOKUP('Données projet'!$B$10,Paramètres!$A$1:$I$89,3,0)*VLOOKUP('Données projet'!$B$10,Paramètres!$A$1:$I$89,5,0)</f>
        <v>1.9508661353029313E-13</v>
      </c>
      <c r="AK75" s="14">
        <f t="shared" si="89"/>
        <v>2.711421636700695E-12</v>
      </c>
      <c r="AL75" s="22">
        <f t="shared" si="58"/>
        <v>5.0621685358189711E-12</v>
      </c>
      <c r="AM75" s="62">
        <f t="shared" si="59"/>
        <v>293.33333333333837</v>
      </c>
      <c r="AN75" s="62">
        <f ca="1">AVERAGE(OFFSET($AM$3,0,0,'Données projet'!$E$10+1,1))-AVERAGE(OFFSET($H$3,0,0,'Données projet'!$E$10+1,1))</f>
        <v>227.80096215475777</v>
      </c>
      <c r="AO75" s="62">
        <f t="shared" si="90"/>
        <v>259.52807665663926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1.2312638744768603</v>
      </c>
      <c r="AW75" s="23">
        <f>EXP(-LN(2)/2)*AW74+(1-EXP(-LN(2)/2))/(LN(2)/2)*AQ75*AT75*VLOOKUP('Données projet'!$B$10,Paramètres!$A$1:$I$89,3,0)*0.475*44/12</f>
        <v>1.6692840959323204E-5</v>
      </c>
      <c r="AX75" s="23">
        <f t="shared" si="60"/>
        <v>1.2312805673178195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1.1368683772161603E-13</v>
      </c>
      <c r="BE75" s="14">
        <f>BD75*VLOOKUP('Données projet'!$B$11,Paramètres!$A$1:$I$89,3,0)*VLOOKUP('Données projet'!$B$11,Paramètres!$A$1:$I$89,5,0)</f>
        <v>6.7984728957526396E-14</v>
      </c>
      <c r="BF75" s="14">
        <f t="shared" si="91"/>
        <v>1.0682447123141398E-12</v>
      </c>
      <c r="BG75" s="22">
        <f t="shared" si="61"/>
        <v>1.978932943548152E-12</v>
      </c>
      <c r="BH75" s="62">
        <f t="shared" si="62"/>
        <v>293.3333333333353</v>
      </c>
      <c r="BI75" s="62">
        <f ca="1">AVERAGE(OFFSET($BH$3,0,0,'Données projet'!$E$11+1,1))-AVERAGE(OFFSET($H$3,0,0,'Données projet'!$E$11+1,1))</f>
        <v>149.5086927376081</v>
      </c>
      <c r="BJ75" s="62">
        <f t="shared" si="92"/>
        <v>364.59164590134498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23.209056177236008</v>
      </c>
      <c r="BQ75" s="23">
        <f>EXP(-LN(2)/25)*BQ74+(1-EXP(-LN(2)/25))/(LN(2)/25)*Calculateur!BL75*Calculateur!BN75*VLOOKUP('Données projet'!$B$11,Paramètres!$A$1:$I$89,3,0)*0.475*44/12</f>
        <v>13.715661999854303</v>
      </c>
      <c r="BR75" s="23">
        <f>EXP(-LN(2)/2)*BR74+(1-EXP(-LN(2)/2))/(LN(2)/2)*BL75*BO75*VLOOKUP('Données projet'!$B$11,Paramètres!$A$1:$I$89,3,0)*0.475*44/12</f>
        <v>2.0774547956899908E-5</v>
      </c>
      <c r="BS75" s="24">
        <f t="shared" si="63"/>
        <v>36.924738951638268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160.22474733551678</v>
      </c>
      <c r="T76" s="62">
        <f t="shared" si="88"/>
        <v>272.72162271905523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3.4106051316484809E-13</v>
      </c>
      <c r="AJ76" s="14">
        <f>AI76*VLOOKUP('Données projet'!$B$10,Paramètres!$A$1:$I$89,3,0)*VLOOKUP('Données projet'!$B$10,Paramètres!$A$1:$I$89,5,0)</f>
        <v>1.9508661353029313E-13</v>
      </c>
      <c r="AK76" s="14">
        <f t="shared" si="89"/>
        <v>2.711421636700695E-12</v>
      </c>
      <c r="AL76" s="22">
        <f t="shared" si="58"/>
        <v>5.0621685358189711E-12</v>
      </c>
      <c r="AM76" s="62">
        <f t="shared" si="59"/>
        <v>293.33333333333837</v>
      </c>
      <c r="AN76" s="62">
        <f ca="1">AVERAGE(OFFSET($AM$3,0,0,'Données projet'!$E$10+1,1))-AVERAGE(OFFSET($H$3,0,0,'Données projet'!$E$10+1,1))</f>
        <v>227.80096215475777</v>
      </c>
      <c r="AO76" s="62">
        <f t="shared" si="90"/>
        <v>259.52807665663926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1.1975948990799374</v>
      </c>
      <c r="AW76" s="23">
        <f>EXP(-LN(2)/2)*AW75+(1-EXP(-LN(2)/2))/(LN(2)/2)*AQ76*AT76*VLOOKUP('Données projet'!$B$10,Paramètres!$A$1:$I$89,3,0)*0.475*44/12</f>
        <v>1.1803621039605991E-5</v>
      </c>
      <c r="AX76" s="23">
        <f t="shared" si="60"/>
        <v>1.1976067027009771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1.1368683772161603E-13</v>
      </c>
      <c r="BE76" s="14">
        <f>BD76*VLOOKUP('Données projet'!$B$11,Paramètres!$A$1:$I$89,3,0)*VLOOKUP('Données projet'!$B$11,Paramètres!$A$1:$I$89,5,0)</f>
        <v>6.7984728957526396E-14</v>
      </c>
      <c r="BF76" s="14">
        <f t="shared" si="91"/>
        <v>1.0682447123141398E-12</v>
      </c>
      <c r="BG76" s="22">
        <f t="shared" si="61"/>
        <v>1.978932943548152E-12</v>
      </c>
      <c r="BH76" s="62">
        <f t="shared" si="62"/>
        <v>293.3333333333353</v>
      </c>
      <c r="BI76" s="62">
        <f ca="1">AVERAGE(OFFSET($BH$3,0,0,'Données projet'!$E$11+1,1))-AVERAGE(OFFSET($H$3,0,0,'Données projet'!$E$11+1,1))</f>
        <v>149.5086927376081</v>
      </c>
      <c r="BJ76" s="62">
        <f t="shared" si="92"/>
        <v>364.59164590134498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22.753940741726876</v>
      </c>
      <c r="BQ76" s="23">
        <f>EXP(-LN(2)/25)*BQ75+(1-EXP(-LN(2)/25))/(LN(2)/25)*Calculateur!BL76*Calculateur!BN76*VLOOKUP('Données projet'!$B$11,Paramètres!$A$1:$I$89,3,0)*0.475*44/12</f>
        <v>13.340606501192971</v>
      </c>
      <c r="BR76" s="23">
        <f>EXP(-LN(2)/2)*BR75+(1-EXP(-LN(2)/2))/(LN(2)/2)*BL76*BO76*VLOOKUP('Données projet'!$B$11,Paramètres!$A$1:$I$89,3,0)*0.475*44/12</f>
        <v>1.4689823736409063E-5</v>
      </c>
      <c r="BS76" s="24">
        <f t="shared" si="63"/>
        <v>36.094561932743581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160.22474733551678</v>
      </c>
      <c r="T77" s="62">
        <f t="shared" si="88"/>
        <v>272.72162271905523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3.4106051316484809E-13</v>
      </c>
      <c r="AJ77" s="14">
        <f>AI77*VLOOKUP('Données projet'!$B$10,Paramètres!$A$1:$I$89,3,0)*VLOOKUP('Données projet'!$B$10,Paramètres!$A$1:$I$89,5,0)</f>
        <v>1.9508661353029313E-13</v>
      </c>
      <c r="AK77" s="14">
        <f t="shared" si="89"/>
        <v>2.711421636700695E-12</v>
      </c>
      <c r="AL77" s="22">
        <f t="shared" si="58"/>
        <v>5.0621685358189711E-12</v>
      </c>
      <c r="AM77" s="62">
        <f t="shared" si="59"/>
        <v>293.33333333333837</v>
      </c>
      <c r="AN77" s="62">
        <f ca="1">AVERAGE(OFFSET($AM$3,0,0,'Données projet'!$E$10+1,1))-AVERAGE(OFFSET($H$3,0,0,'Données projet'!$E$10+1,1))</f>
        <v>227.80096215475777</v>
      </c>
      <c r="AO77" s="62">
        <f t="shared" si="90"/>
        <v>259.52807665663926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1.164846603585818</v>
      </c>
      <c r="AW77" s="23">
        <f>EXP(-LN(2)/2)*AW76+(1-EXP(-LN(2)/2))/(LN(2)/2)*AQ77*AT77*VLOOKUP('Données projet'!$B$10,Paramètres!$A$1:$I$89,3,0)*0.475*44/12</f>
        <v>8.3464204796616019E-6</v>
      </c>
      <c r="AX77" s="23">
        <f t="shared" si="60"/>
        <v>1.1648549500062977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1.1368683772161603E-13</v>
      </c>
      <c r="BE77" s="14">
        <f>BD77*VLOOKUP('Données projet'!$B$11,Paramètres!$A$1:$I$89,3,0)*VLOOKUP('Données projet'!$B$11,Paramètres!$A$1:$I$89,5,0)</f>
        <v>6.7984728957526396E-14</v>
      </c>
      <c r="BF77" s="14">
        <f t="shared" si="91"/>
        <v>1.0682447123141398E-12</v>
      </c>
      <c r="BG77" s="22">
        <f t="shared" si="61"/>
        <v>1.978932943548152E-12</v>
      </c>
      <c r="BH77" s="62">
        <f t="shared" si="62"/>
        <v>293.3333333333353</v>
      </c>
      <c r="BI77" s="62">
        <f ca="1">AVERAGE(OFFSET($BH$3,0,0,'Données projet'!$E$11+1,1))-AVERAGE(OFFSET($H$3,0,0,'Données projet'!$E$11+1,1))</f>
        <v>149.5086927376081</v>
      </c>
      <c r="BJ77" s="62">
        <f t="shared" si="92"/>
        <v>364.59164590134498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22.307749842315072</v>
      </c>
      <c r="BQ77" s="23">
        <f>EXP(-LN(2)/25)*BQ76+(1-EXP(-LN(2)/25))/(LN(2)/25)*Calculateur!BL77*Calculateur!BN77*VLOOKUP('Données projet'!$B$11,Paramètres!$A$1:$I$89,3,0)*0.475*44/12</f>
        <v>12.975806914865844</v>
      </c>
      <c r="BR77" s="23">
        <f>EXP(-LN(2)/2)*BR76+(1-EXP(-LN(2)/2))/(LN(2)/2)*BL77*BO77*VLOOKUP('Données projet'!$B$11,Paramètres!$A$1:$I$89,3,0)*0.475*44/12</f>
        <v>1.0387273978449956E-5</v>
      </c>
      <c r="BS77" s="24">
        <f t="shared" si="63"/>
        <v>35.283567144454899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160.22474733551678</v>
      </c>
      <c r="T78" s="62">
        <f t="shared" si="88"/>
        <v>272.72162271905523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3.4106051316484809E-13</v>
      </c>
      <c r="AJ78" s="14">
        <f>AI78*VLOOKUP('Données projet'!$B$10,Paramètres!$A$1:$I$89,3,0)*VLOOKUP('Données projet'!$B$10,Paramètres!$A$1:$I$89,5,0)</f>
        <v>1.9508661353029313E-13</v>
      </c>
      <c r="AK78" s="14">
        <f t="shared" si="89"/>
        <v>2.711421636700695E-12</v>
      </c>
      <c r="AL78" s="22">
        <f t="shared" si="58"/>
        <v>5.0621685358189711E-12</v>
      </c>
      <c r="AM78" s="62">
        <f t="shared" si="59"/>
        <v>293.33333333333837</v>
      </c>
      <c r="AN78" s="62">
        <f ca="1">AVERAGE(OFFSET($AM$3,0,0,'Données projet'!$E$10+1,1))-AVERAGE(OFFSET($H$3,0,0,'Données projet'!$E$10+1,1))</f>
        <v>227.80096215475777</v>
      </c>
      <c r="AO78" s="62">
        <f t="shared" si="90"/>
        <v>259.52807665663926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1.1329938119541432</v>
      </c>
      <c r="AW78" s="23">
        <f>EXP(-LN(2)/2)*AW77+(1-EXP(-LN(2)/2))/(LN(2)/2)*AQ78*AT78*VLOOKUP('Données projet'!$B$10,Paramètres!$A$1:$I$89,3,0)*0.475*44/12</f>
        <v>5.9018105198029954E-6</v>
      </c>
      <c r="AX78" s="23">
        <f t="shared" si="60"/>
        <v>1.132999713764663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1.1368683772161603E-13</v>
      </c>
      <c r="BE78" s="14">
        <f>BD78*VLOOKUP('Données projet'!$B$11,Paramètres!$A$1:$I$89,3,0)*VLOOKUP('Données projet'!$B$11,Paramètres!$A$1:$I$89,5,0)</f>
        <v>6.7984728957526396E-14</v>
      </c>
      <c r="BF78" s="14">
        <f t="shared" si="91"/>
        <v>1.0682447123141398E-12</v>
      </c>
      <c r="BG78" s="22">
        <f t="shared" si="61"/>
        <v>1.978932943548152E-12</v>
      </c>
      <c r="BH78" s="62">
        <f t="shared" si="62"/>
        <v>293.3333333333353</v>
      </c>
      <c r="BI78" s="62">
        <f ca="1">AVERAGE(OFFSET($BH$3,0,0,'Données projet'!$E$11+1,1))-AVERAGE(OFFSET($H$3,0,0,'Données projet'!$E$11+1,1))</f>
        <v>149.5086927376081</v>
      </c>
      <c r="BJ78" s="62">
        <f t="shared" si="92"/>
        <v>364.59164590134498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21.870308474291157</v>
      </c>
      <c r="BQ78" s="23">
        <f>EXP(-LN(2)/25)*BQ77+(1-EXP(-LN(2)/25))/(LN(2)/25)*Calculateur!BL78*Calculateur!BN78*VLOOKUP('Données projet'!$B$11,Paramètres!$A$1:$I$89,3,0)*0.475*44/12</f>
        <v>12.620982792410809</v>
      </c>
      <c r="BR78" s="23">
        <f>EXP(-LN(2)/2)*BR77+(1-EXP(-LN(2)/2))/(LN(2)/2)*BL78*BO78*VLOOKUP('Données projet'!$B$11,Paramètres!$A$1:$I$89,3,0)*0.475*44/12</f>
        <v>7.3449118682045322E-6</v>
      </c>
      <c r="BS78" s="24">
        <f t="shared" si="63"/>
        <v>34.491298611613836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160.22474733551678</v>
      </c>
      <c r="T79" s="62">
        <f t="shared" si="88"/>
        <v>272.72162271905523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3.4106051316484809E-13</v>
      </c>
      <c r="AJ79" s="14">
        <f>AI79*VLOOKUP('Données projet'!$B$10,Paramètres!$A$1:$I$89,3,0)*VLOOKUP('Données projet'!$B$10,Paramètres!$A$1:$I$89,5,0)</f>
        <v>1.9508661353029313E-13</v>
      </c>
      <c r="AK79" s="14">
        <f t="shared" si="89"/>
        <v>2.711421636700695E-12</v>
      </c>
      <c r="AL79" s="22">
        <f t="shared" si="58"/>
        <v>5.0621685358189711E-12</v>
      </c>
      <c r="AM79" s="62">
        <f t="shared" si="59"/>
        <v>293.33333333333837</v>
      </c>
      <c r="AN79" s="62">
        <f ca="1">AVERAGE(OFFSET($AM$3,0,0,'Données projet'!$E$10+1,1))-AVERAGE(OFFSET($H$3,0,0,'Données projet'!$E$10+1,1))</f>
        <v>227.80096215475777</v>
      </c>
      <c r="AO79" s="62">
        <f t="shared" si="90"/>
        <v>259.52807665663926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1.1020120365847021</v>
      </c>
      <c r="AW79" s="23">
        <f>EXP(-LN(2)/2)*AW78+(1-EXP(-LN(2)/2))/(LN(2)/2)*AQ79*AT79*VLOOKUP('Données projet'!$B$10,Paramètres!$A$1:$I$89,3,0)*0.475*44/12</f>
        <v>4.1732102398308009E-6</v>
      </c>
      <c r="AX79" s="23">
        <f t="shared" si="60"/>
        <v>1.102016209794942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1.1368683772161603E-13</v>
      </c>
      <c r="BE79" s="14">
        <f>BD79*VLOOKUP('Données projet'!$B$11,Paramètres!$A$1:$I$89,3,0)*VLOOKUP('Données projet'!$B$11,Paramètres!$A$1:$I$89,5,0)</f>
        <v>6.7984728957526396E-14</v>
      </c>
      <c r="BF79" s="14">
        <f t="shared" si="91"/>
        <v>1.0682447123141398E-12</v>
      </c>
      <c r="BG79" s="22">
        <f t="shared" si="61"/>
        <v>1.978932943548152E-12</v>
      </c>
      <c r="BH79" s="62">
        <f t="shared" si="62"/>
        <v>293.3333333333353</v>
      </c>
      <c r="BI79" s="62">
        <f ca="1">AVERAGE(OFFSET($BH$3,0,0,'Données projet'!$E$11+1,1))-AVERAGE(OFFSET($H$3,0,0,'Données projet'!$E$11+1,1))</f>
        <v>149.5086927376081</v>
      </c>
      <c r="BJ79" s="62">
        <f t="shared" si="92"/>
        <v>364.59164590134498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21.441445064681304</v>
      </c>
      <c r="BQ79" s="23">
        <f>EXP(-LN(2)/25)*BQ78+(1-EXP(-LN(2)/25))/(LN(2)/25)*Calculateur!BL79*Calculateur!BN79*VLOOKUP('Données projet'!$B$11,Paramètres!$A$1:$I$89,3,0)*0.475*44/12</f>
        <v>12.275861354243697</v>
      </c>
      <c r="BR79" s="23">
        <f>EXP(-LN(2)/2)*BR78+(1-EXP(-LN(2)/2))/(LN(2)/2)*BL79*BO79*VLOOKUP('Données projet'!$B$11,Paramètres!$A$1:$I$89,3,0)*0.475*44/12</f>
        <v>5.1936369892249787E-6</v>
      </c>
      <c r="BS79" s="24">
        <f t="shared" si="63"/>
        <v>33.717311612561986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160.22474733551678</v>
      </c>
      <c r="T80" s="62">
        <f t="shared" si="88"/>
        <v>272.72162271905523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3.4106051316484809E-13</v>
      </c>
      <c r="AJ80" s="14">
        <f>AI80*VLOOKUP('Données projet'!$B$10,Paramètres!$A$1:$I$89,3,0)*VLOOKUP('Données projet'!$B$10,Paramètres!$A$1:$I$89,5,0)</f>
        <v>1.9508661353029313E-13</v>
      </c>
      <c r="AK80" s="14">
        <f t="shared" si="89"/>
        <v>2.711421636700695E-12</v>
      </c>
      <c r="AL80" s="22">
        <f t="shared" si="58"/>
        <v>5.0621685358189711E-12</v>
      </c>
      <c r="AM80" s="62">
        <f t="shared" si="59"/>
        <v>293.33333333333837</v>
      </c>
      <c r="AN80" s="62">
        <f ca="1">AVERAGE(OFFSET($AM$3,0,0,'Données projet'!$E$10+1,1))-AVERAGE(OFFSET($H$3,0,0,'Données projet'!$E$10+1,1))</f>
        <v>227.80096215475777</v>
      </c>
      <c r="AO80" s="62">
        <f t="shared" si="90"/>
        <v>259.52807665663926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1.0718774594919991</v>
      </c>
      <c r="AW80" s="23">
        <f>EXP(-LN(2)/2)*AW79+(1-EXP(-LN(2)/2))/(LN(2)/2)*AQ80*AT80*VLOOKUP('Données projet'!$B$10,Paramètres!$A$1:$I$89,3,0)*0.475*44/12</f>
        <v>2.9509052599014977E-6</v>
      </c>
      <c r="AX80" s="23">
        <f t="shared" si="60"/>
        <v>1.071880410397259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1.1368683772161603E-13</v>
      </c>
      <c r="BE80" s="14">
        <f>BD80*VLOOKUP('Données projet'!$B$11,Paramètres!$A$1:$I$89,3,0)*VLOOKUP('Données projet'!$B$11,Paramètres!$A$1:$I$89,5,0)</f>
        <v>6.7984728957526396E-14</v>
      </c>
      <c r="BF80" s="14">
        <f t="shared" si="91"/>
        <v>1.0682447123141398E-12</v>
      </c>
      <c r="BG80" s="22">
        <f t="shared" si="61"/>
        <v>1.978932943548152E-12</v>
      </c>
      <c r="BH80" s="62">
        <f t="shared" si="62"/>
        <v>293.3333333333353</v>
      </c>
      <c r="BI80" s="62">
        <f ca="1">AVERAGE(OFFSET($BH$3,0,0,'Données projet'!$E$11+1,1))-AVERAGE(OFFSET($H$3,0,0,'Données projet'!$E$11+1,1))</f>
        <v>149.5086927376081</v>
      </c>
      <c r="BJ80" s="62">
        <f t="shared" si="92"/>
        <v>364.59164590134498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21.020991404953048</v>
      </c>
      <c r="BQ80" s="23">
        <f>EXP(-LN(2)/25)*BQ79+(1-EXP(-LN(2)/25))/(LN(2)/25)*Calculateur!BL80*Calculateur!BN80*VLOOKUP('Données projet'!$B$11,Paramètres!$A$1:$I$89,3,0)*0.475*44/12</f>
        <v>11.940177279952412</v>
      </c>
      <c r="BR80" s="23">
        <f>EXP(-LN(2)/2)*BR79+(1-EXP(-LN(2)/2))/(LN(2)/2)*BL80*BO80*VLOOKUP('Données projet'!$B$11,Paramètres!$A$1:$I$89,3,0)*0.475*44/12</f>
        <v>3.6724559341022665E-6</v>
      </c>
      <c r="BS80" s="24">
        <f t="shared" si="63"/>
        <v>32.961172357361392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160.22474733551678</v>
      </c>
      <c r="T81" s="62">
        <f t="shared" si="88"/>
        <v>272.72162271905523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3.4106051316484809E-13</v>
      </c>
      <c r="AJ81" s="14">
        <f>AI81*VLOOKUP('Données projet'!$B$10,Paramètres!$A$1:$I$89,3,0)*VLOOKUP('Données projet'!$B$10,Paramètres!$A$1:$I$89,5,0)</f>
        <v>1.9508661353029313E-13</v>
      </c>
      <c r="AK81" s="14">
        <f t="shared" si="89"/>
        <v>2.711421636700695E-12</v>
      </c>
      <c r="AL81" s="22">
        <f t="shared" si="58"/>
        <v>5.0621685358189711E-12</v>
      </c>
      <c r="AM81" s="62">
        <f t="shared" si="59"/>
        <v>293.33333333333837</v>
      </c>
      <c r="AN81" s="62">
        <f ca="1">AVERAGE(OFFSET($AM$3,0,0,'Données projet'!$E$10+1,1))-AVERAGE(OFFSET($H$3,0,0,'Données projet'!$E$10+1,1))</f>
        <v>227.80096215475777</v>
      </c>
      <c r="AO81" s="62">
        <f t="shared" si="90"/>
        <v>259.52807665663926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1.0425669139946045</v>
      </c>
      <c r="AW81" s="23">
        <f>EXP(-LN(2)/2)*AW80+(1-EXP(-LN(2)/2))/(LN(2)/2)*AQ81*AT81*VLOOKUP('Données projet'!$B$10,Paramètres!$A$1:$I$89,3,0)*0.475*44/12</f>
        <v>2.0866051199154005E-6</v>
      </c>
      <c r="AX81" s="23">
        <f t="shared" si="60"/>
        <v>1.0425690005997246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1.1368683772161603E-13</v>
      </c>
      <c r="BE81" s="14">
        <f>BD81*VLOOKUP('Données projet'!$B$11,Paramètres!$A$1:$I$89,3,0)*VLOOKUP('Données projet'!$B$11,Paramètres!$A$1:$I$89,5,0)</f>
        <v>6.7984728957526396E-14</v>
      </c>
      <c r="BF81" s="14">
        <f t="shared" si="91"/>
        <v>1.0682447123141398E-12</v>
      </c>
      <c r="BG81" s="22">
        <f t="shared" si="61"/>
        <v>1.978932943548152E-12</v>
      </c>
      <c r="BH81" s="62">
        <f t="shared" si="62"/>
        <v>293.3333333333353</v>
      </c>
      <c r="BI81" s="62">
        <f ca="1">AVERAGE(OFFSET($BH$3,0,0,'Données projet'!$E$11+1,1))-AVERAGE(OFFSET($H$3,0,0,'Données projet'!$E$11+1,1))</f>
        <v>149.5086927376081</v>
      </c>
      <c r="BJ81" s="62">
        <f t="shared" si="92"/>
        <v>364.59164590134498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20.608782585040654</v>
      </c>
      <c r="BQ81" s="23">
        <f>EXP(-LN(2)/25)*BQ80+(1-EXP(-LN(2)/25))/(LN(2)/25)*Calculateur!BL81*Calculateur!BN81*VLOOKUP('Données projet'!$B$11,Paramètres!$A$1:$I$89,3,0)*0.475*44/12</f>
        <v>11.61367250432548</v>
      </c>
      <c r="BR81" s="23">
        <f>EXP(-LN(2)/2)*BR80+(1-EXP(-LN(2)/2))/(LN(2)/2)*BL81*BO81*VLOOKUP('Données projet'!$B$11,Paramètres!$A$1:$I$89,3,0)*0.475*44/12</f>
        <v>2.5968184946124898E-6</v>
      </c>
      <c r="BS81" s="24">
        <f t="shared" si="63"/>
        <v>32.222457686184633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160.22474733551678</v>
      </c>
      <c r="T82" s="62">
        <f t="shared" si="88"/>
        <v>272.72162271905523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3.4106051316484809E-13</v>
      </c>
      <c r="AJ82" s="14">
        <f>AI82*VLOOKUP('Données projet'!$B$10,Paramètres!$A$1:$I$89,3,0)*VLOOKUP('Données projet'!$B$10,Paramètres!$A$1:$I$89,5,0)</f>
        <v>1.9508661353029313E-13</v>
      </c>
      <c r="AK82" s="14">
        <f t="shared" si="89"/>
        <v>2.711421636700695E-12</v>
      </c>
      <c r="AL82" s="22">
        <f t="shared" si="58"/>
        <v>5.0621685358189711E-12</v>
      </c>
      <c r="AM82" s="62">
        <f t="shared" si="59"/>
        <v>293.33333333333837</v>
      </c>
      <c r="AN82" s="62">
        <f ca="1">AVERAGE(OFFSET($AM$3,0,0,'Données projet'!$E$10+1,1))-AVERAGE(OFFSET($H$3,0,0,'Données projet'!$E$10+1,1))</f>
        <v>227.80096215475777</v>
      </c>
      <c r="AO82" s="62">
        <f t="shared" si="90"/>
        <v>259.52807665663926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1.0140578669052109</v>
      </c>
      <c r="AW82" s="23">
        <f>EXP(-LN(2)/2)*AW81+(1-EXP(-LN(2)/2))/(LN(2)/2)*AQ82*AT82*VLOOKUP('Données projet'!$B$10,Paramètres!$A$1:$I$89,3,0)*0.475*44/12</f>
        <v>1.4754526299507489E-6</v>
      </c>
      <c r="AX82" s="23">
        <f t="shared" si="60"/>
        <v>1.0140593423578408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1.1368683772161603E-13</v>
      </c>
      <c r="BE82" s="14">
        <f>BD82*VLOOKUP('Données projet'!$B$11,Paramètres!$A$1:$I$89,3,0)*VLOOKUP('Données projet'!$B$11,Paramètres!$A$1:$I$89,5,0)</f>
        <v>6.7984728957526396E-14</v>
      </c>
      <c r="BF82" s="14">
        <f t="shared" si="91"/>
        <v>1.0682447123141398E-12</v>
      </c>
      <c r="BG82" s="22">
        <f t="shared" si="61"/>
        <v>1.978932943548152E-12</v>
      </c>
      <c r="BH82" s="62">
        <f t="shared" si="62"/>
        <v>293.3333333333353</v>
      </c>
      <c r="BI82" s="62">
        <f ca="1">AVERAGE(OFFSET($BH$3,0,0,'Données projet'!$E$11+1,1))-AVERAGE(OFFSET($H$3,0,0,'Données projet'!$E$11+1,1))</f>
        <v>149.5086927376081</v>
      </c>
      <c r="BJ82" s="62">
        <f t="shared" si="92"/>
        <v>364.59164590134498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20.204656928664189</v>
      </c>
      <c r="BQ82" s="23">
        <f>EXP(-LN(2)/25)*BQ81+(1-EXP(-LN(2)/25))/(LN(2)/25)*Calculateur!BL82*Calculateur!BN82*VLOOKUP('Données projet'!$B$11,Paramètres!$A$1:$I$89,3,0)*0.475*44/12</f>
        <v>11.296096018958206</v>
      </c>
      <c r="BR82" s="23">
        <f>EXP(-LN(2)/2)*BR81+(1-EXP(-LN(2)/2))/(LN(2)/2)*BL82*BO82*VLOOKUP('Données projet'!$B$11,Paramètres!$A$1:$I$89,3,0)*0.475*44/12</f>
        <v>1.8362279670511337E-6</v>
      </c>
      <c r="BS82" s="24">
        <f t="shared" si="63"/>
        <v>31.500754783850361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160.22474733551678</v>
      </c>
      <c r="T83" s="62">
        <f t="shared" si="88"/>
        <v>272.72162271905523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3.4106051316484809E-13</v>
      </c>
      <c r="AJ83" s="14">
        <f>AI83*VLOOKUP('Données projet'!$B$10,Paramètres!$A$1:$I$89,3,0)*VLOOKUP('Données projet'!$B$10,Paramètres!$A$1:$I$89,5,0)</f>
        <v>1.9508661353029313E-13</v>
      </c>
      <c r="AK83" s="14">
        <f t="shared" si="89"/>
        <v>2.711421636700695E-12</v>
      </c>
      <c r="AL83" s="22">
        <f t="shared" si="58"/>
        <v>5.0621685358189711E-12</v>
      </c>
      <c r="AM83" s="62">
        <f t="shared" si="59"/>
        <v>293.33333333333837</v>
      </c>
      <c r="AN83" s="62">
        <f ca="1">AVERAGE(OFFSET($AM$3,0,0,'Données projet'!$E$10+1,1))-AVERAGE(OFFSET($H$3,0,0,'Données projet'!$E$10+1,1))</f>
        <v>227.80096215475777</v>
      </c>
      <c r="AO83" s="62">
        <f t="shared" si="90"/>
        <v>259.52807665663926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0.98632840120770238</v>
      </c>
      <c r="AW83" s="23">
        <f>EXP(-LN(2)/2)*AW82+(1-EXP(-LN(2)/2))/(LN(2)/2)*AQ83*AT83*VLOOKUP('Données projet'!$B$10,Paramètres!$A$1:$I$89,3,0)*0.475*44/12</f>
        <v>1.0433025599577002E-6</v>
      </c>
      <c r="AX83" s="23">
        <f t="shared" si="60"/>
        <v>0.98632944451026239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1.1368683772161603E-13</v>
      </c>
      <c r="BE83" s="14">
        <f>BD83*VLOOKUP('Données projet'!$B$11,Paramètres!$A$1:$I$89,3,0)*VLOOKUP('Données projet'!$B$11,Paramètres!$A$1:$I$89,5,0)</f>
        <v>6.7984728957526396E-14</v>
      </c>
      <c r="BF83" s="14">
        <f t="shared" si="91"/>
        <v>1.0682447123141398E-12</v>
      </c>
      <c r="BG83" s="22">
        <f t="shared" si="61"/>
        <v>1.978932943548152E-12</v>
      </c>
      <c r="BH83" s="62">
        <f t="shared" si="62"/>
        <v>293.3333333333353</v>
      </c>
      <c r="BI83" s="62">
        <f ca="1">AVERAGE(OFFSET($BH$3,0,0,'Données projet'!$E$11+1,1))-AVERAGE(OFFSET($H$3,0,0,'Données projet'!$E$11+1,1))</f>
        <v>149.5086927376081</v>
      </c>
      <c r="BJ83" s="62">
        <f t="shared" si="92"/>
        <v>364.59164590134498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19.808455929916953</v>
      </c>
      <c r="BQ83" s="23">
        <f>EXP(-LN(2)/25)*BQ82+(1-EXP(-LN(2)/25))/(LN(2)/25)*Calculateur!BL83*Calculateur!BN83*VLOOKUP('Données projet'!$B$11,Paramètres!$A$1:$I$89,3,0)*0.475*44/12</f>
        <v>10.987203679283922</v>
      </c>
      <c r="BR83" s="23">
        <f>EXP(-LN(2)/2)*BR82+(1-EXP(-LN(2)/2))/(LN(2)/2)*BL83*BO83*VLOOKUP('Données projet'!$B$11,Paramètres!$A$1:$I$89,3,0)*0.475*44/12</f>
        <v>1.2984092473062451E-6</v>
      </c>
      <c r="BS83" s="24">
        <f t="shared" si="63"/>
        <v>30.795660907610124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160.22474733551678</v>
      </c>
      <c r="T84" s="62">
        <f t="shared" si="88"/>
        <v>272.72162271905523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3.4106051316484809E-13</v>
      </c>
      <c r="AJ84" s="14">
        <f>AI84*VLOOKUP('Données projet'!$B$10,Paramètres!$A$1:$I$89,3,0)*VLOOKUP('Données projet'!$B$10,Paramètres!$A$1:$I$89,5,0)</f>
        <v>1.9508661353029313E-13</v>
      </c>
      <c r="AK84" s="14">
        <f t="shared" si="89"/>
        <v>2.711421636700695E-12</v>
      </c>
      <c r="AL84" s="22">
        <f t="shared" si="58"/>
        <v>5.0621685358189711E-12</v>
      </c>
      <c r="AM84" s="62">
        <f t="shared" si="59"/>
        <v>293.33333333333837</v>
      </c>
      <c r="AN84" s="62">
        <f ca="1">AVERAGE(OFFSET($AM$3,0,0,'Données projet'!$E$10+1,1))-AVERAGE(OFFSET($H$3,0,0,'Données projet'!$E$10+1,1))</f>
        <v>227.80096215475777</v>
      </c>
      <c r="AO84" s="62">
        <f t="shared" si="90"/>
        <v>259.52807665663926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0.9593571992079214</v>
      </c>
      <c r="AW84" s="23">
        <f>EXP(-LN(2)/2)*AW83+(1-EXP(-LN(2)/2))/(LN(2)/2)*AQ84*AT84*VLOOKUP('Données projet'!$B$10,Paramètres!$A$1:$I$89,3,0)*0.475*44/12</f>
        <v>7.3772631497537443E-7</v>
      </c>
      <c r="AX84" s="23">
        <f t="shared" si="60"/>
        <v>0.95935793693423632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1.1368683772161603E-13</v>
      </c>
      <c r="BE84" s="14">
        <f>BD84*VLOOKUP('Données projet'!$B$11,Paramètres!$A$1:$I$89,3,0)*VLOOKUP('Données projet'!$B$11,Paramètres!$A$1:$I$89,5,0)</f>
        <v>6.7984728957526396E-14</v>
      </c>
      <c r="BF84" s="14">
        <f t="shared" si="91"/>
        <v>1.0682447123141398E-12</v>
      </c>
      <c r="BG84" s="22">
        <f t="shared" si="61"/>
        <v>1.978932943548152E-12</v>
      </c>
      <c r="BH84" s="62">
        <f t="shared" si="62"/>
        <v>293.3333333333353</v>
      </c>
      <c r="BI84" s="62">
        <f ca="1">AVERAGE(OFFSET($BH$3,0,0,'Données projet'!$E$11+1,1))-AVERAGE(OFFSET($H$3,0,0,'Données projet'!$E$11+1,1))</f>
        <v>149.5086927376081</v>
      </c>
      <c r="BJ84" s="62">
        <f t="shared" si="92"/>
        <v>364.59164590134498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19.420024191096402</v>
      </c>
      <c r="BQ84" s="23">
        <f>EXP(-LN(2)/25)*BQ83+(1-EXP(-LN(2)/25))/(LN(2)/25)*Calculateur!BL84*Calculateur!BN84*VLOOKUP('Données projet'!$B$11,Paramètres!$A$1:$I$89,3,0)*0.475*44/12</f>
        <v>10.686758016881974</v>
      </c>
      <c r="BR84" s="23">
        <f>EXP(-LN(2)/2)*BR83+(1-EXP(-LN(2)/2))/(LN(2)/2)*BL84*BO84*VLOOKUP('Données projet'!$B$11,Paramètres!$A$1:$I$89,3,0)*0.475*44/12</f>
        <v>9.1811398352556695E-7</v>
      </c>
      <c r="BS84" s="24">
        <f t="shared" si="63"/>
        <v>30.10678312609236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160.22474733551678</v>
      </c>
      <c r="T85" s="62">
        <f t="shared" si="88"/>
        <v>272.72162271905523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3.4106051316484809E-13</v>
      </c>
      <c r="AJ85" s="14">
        <f>AI85*VLOOKUP('Données projet'!$B$10,Paramètres!$A$1:$I$89,3,0)*VLOOKUP('Données projet'!$B$10,Paramètres!$A$1:$I$89,5,0)</f>
        <v>1.9508661353029313E-13</v>
      </c>
      <c r="AK85" s="14">
        <f t="shared" si="89"/>
        <v>2.711421636700695E-12</v>
      </c>
      <c r="AL85" s="22">
        <f t="shared" si="58"/>
        <v>5.0621685358189711E-12</v>
      </c>
      <c r="AM85" s="62">
        <f t="shared" si="59"/>
        <v>293.33333333333837</v>
      </c>
      <c r="AN85" s="62">
        <f ca="1">AVERAGE(OFFSET($AM$3,0,0,'Données projet'!$E$10+1,1))-AVERAGE(OFFSET($H$3,0,0,'Données projet'!$E$10+1,1))</f>
        <v>227.80096215475777</v>
      </c>
      <c r="AO85" s="62">
        <f t="shared" si="90"/>
        <v>259.52807665663926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0.93312352614517835</v>
      </c>
      <c r="AW85" s="23">
        <f>EXP(-LN(2)/2)*AW84+(1-EXP(-LN(2)/2))/(LN(2)/2)*AQ85*AT85*VLOOKUP('Données projet'!$B$10,Paramètres!$A$1:$I$89,3,0)*0.475*44/12</f>
        <v>5.2165127997885012E-7</v>
      </c>
      <c r="AX85" s="23">
        <f t="shared" si="60"/>
        <v>0.9331240477964583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1.1368683772161603E-13</v>
      </c>
      <c r="BE85" s="14">
        <f>BD85*VLOOKUP('Données projet'!$B$11,Paramètres!$A$1:$I$89,3,0)*VLOOKUP('Données projet'!$B$11,Paramètres!$A$1:$I$89,5,0)</f>
        <v>6.7984728957526396E-14</v>
      </c>
      <c r="BF85" s="14">
        <f t="shared" si="91"/>
        <v>1.0682447123141398E-12</v>
      </c>
      <c r="BG85" s="22">
        <f t="shared" si="61"/>
        <v>1.978932943548152E-12</v>
      </c>
      <c r="BH85" s="62">
        <f t="shared" si="62"/>
        <v>293.3333333333353</v>
      </c>
      <c r="BI85" s="62">
        <f ca="1">AVERAGE(OFFSET($BH$3,0,0,'Données projet'!$E$11+1,1))-AVERAGE(OFFSET($H$3,0,0,'Données projet'!$E$11+1,1))</f>
        <v>149.5086927376081</v>
      </c>
      <c r="BJ85" s="62">
        <f t="shared" si="92"/>
        <v>364.59164590134498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19.039209361754157</v>
      </c>
      <c r="BQ85" s="23">
        <f>EXP(-LN(2)/25)*BQ84+(1-EXP(-LN(2)/25))/(LN(2)/25)*Calculateur!BL85*Calculateur!BN85*VLOOKUP('Données projet'!$B$11,Paramètres!$A$1:$I$89,3,0)*0.475*44/12</f>
        <v>10.394528056918157</v>
      </c>
      <c r="BR85" s="23">
        <f>EXP(-LN(2)/2)*BR84+(1-EXP(-LN(2)/2))/(LN(2)/2)*BL85*BO85*VLOOKUP('Données projet'!$B$11,Paramètres!$A$1:$I$89,3,0)*0.475*44/12</f>
        <v>6.4920462365312265E-7</v>
      </c>
      <c r="BS85" s="24">
        <f t="shared" si="63"/>
        <v>29.433738067876938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160.22474733551678</v>
      </c>
      <c r="T86" s="62">
        <f t="shared" si="88"/>
        <v>272.72162271905523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3.4106051316484809E-13</v>
      </c>
      <c r="AJ86" s="14">
        <f>AI86*VLOOKUP('Données projet'!$B$10,Paramètres!$A$1:$I$89,3,0)*VLOOKUP('Données projet'!$B$10,Paramètres!$A$1:$I$89,5,0)</f>
        <v>1.9508661353029313E-13</v>
      </c>
      <c r="AK86" s="14">
        <f t="shared" si="89"/>
        <v>2.711421636700695E-12</v>
      </c>
      <c r="AL86" s="22">
        <f t="shared" si="58"/>
        <v>5.0621685358189711E-12</v>
      </c>
      <c r="AM86" s="62">
        <f t="shared" si="59"/>
        <v>293.33333333333837</v>
      </c>
      <c r="AN86" s="62">
        <f ca="1">AVERAGE(OFFSET($AM$3,0,0,'Données projet'!$E$10+1,1))-AVERAGE(OFFSET($H$3,0,0,'Données projet'!$E$10+1,1))</f>
        <v>227.80096215475777</v>
      </c>
      <c r="AO86" s="62">
        <f t="shared" si="90"/>
        <v>259.52807665663926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0.90760721425190494</v>
      </c>
      <c r="AW86" s="23">
        <f>EXP(-LN(2)/2)*AW85+(1-EXP(-LN(2)/2))/(LN(2)/2)*AQ86*AT86*VLOOKUP('Données projet'!$B$10,Paramètres!$A$1:$I$89,3,0)*0.475*44/12</f>
        <v>3.6886315748768721E-7</v>
      </c>
      <c r="AX86" s="23">
        <f t="shared" si="60"/>
        <v>0.9076075831150624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1.1368683772161603E-13</v>
      </c>
      <c r="BE86" s="14">
        <f>BD86*VLOOKUP('Données projet'!$B$11,Paramètres!$A$1:$I$89,3,0)*VLOOKUP('Données projet'!$B$11,Paramètres!$A$1:$I$89,5,0)</f>
        <v>6.7984728957526396E-14</v>
      </c>
      <c r="BF86" s="14">
        <f t="shared" si="91"/>
        <v>1.0682447123141398E-12</v>
      </c>
      <c r="BG86" s="22">
        <f t="shared" si="61"/>
        <v>1.978932943548152E-12</v>
      </c>
      <c r="BH86" s="62">
        <f t="shared" si="62"/>
        <v>293.3333333333353</v>
      </c>
      <c r="BI86" s="62">
        <f ca="1">AVERAGE(OFFSET($BH$3,0,0,'Données projet'!$E$11+1,1))-AVERAGE(OFFSET($H$3,0,0,'Données projet'!$E$11+1,1))</f>
        <v>149.5086927376081</v>
      </c>
      <c r="BJ86" s="62">
        <f t="shared" si="92"/>
        <v>364.59164590134498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18.665862078941203</v>
      </c>
      <c r="BQ86" s="23">
        <f>EXP(-LN(2)/25)*BQ85+(1-EXP(-LN(2)/25))/(LN(2)/25)*Calculateur!BL86*Calculateur!BN86*VLOOKUP('Données projet'!$B$11,Paramètres!$A$1:$I$89,3,0)*0.475*44/12</f>
        <v>10.110289140577256</v>
      </c>
      <c r="BR86" s="23">
        <f>EXP(-LN(2)/2)*BR85+(1-EXP(-LN(2)/2))/(LN(2)/2)*BL86*BO86*VLOOKUP('Données projet'!$B$11,Paramètres!$A$1:$I$89,3,0)*0.475*44/12</f>
        <v>4.5905699176278358E-7</v>
      </c>
      <c r="BS86" s="24">
        <f t="shared" si="63"/>
        <v>28.776151678575452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160.22474733551678</v>
      </c>
      <c r="T87" s="62">
        <f t="shared" si="88"/>
        <v>272.72162271905523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3.4106051316484809E-13</v>
      </c>
      <c r="AJ87" s="14">
        <f>AI87*VLOOKUP('Données projet'!$B$10,Paramètres!$A$1:$I$89,3,0)*VLOOKUP('Données projet'!$B$10,Paramètres!$A$1:$I$89,5,0)</f>
        <v>1.9508661353029313E-13</v>
      </c>
      <c r="AK87" s="14">
        <f t="shared" si="89"/>
        <v>2.711421636700695E-12</v>
      </c>
      <c r="AL87" s="22">
        <f t="shared" si="58"/>
        <v>5.0621685358189711E-12</v>
      </c>
      <c r="AM87" s="62">
        <f t="shared" si="59"/>
        <v>293.33333333333837</v>
      </c>
      <c r="AN87" s="62">
        <f ca="1">AVERAGE(OFFSET($AM$3,0,0,'Données projet'!$E$10+1,1))-AVERAGE(OFFSET($H$3,0,0,'Données projet'!$E$10+1,1))</f>
        <v>227.80096215475777</v>
      </c>
      <c r="AO87" s="62">
        <f t="shared" si="90"/>
        <v>259.52807665663926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0.88278864724919759</v>
      </c>
      <c r="AW87" s="23">
        <f>EXP(-LN(2)/2)*AW86+(1-EXP(-LN(2)/2))/(LN(2)/2)*AQ87*AT87*VLOOKUP('Données projet'!$B$10,Paramètres!$A$1:$I$89,3,0)*0.475*44/12</f>
        <v>2.6082563998942506E-7</v>
      </c>
      <c r="AX87" s="23">
        <f t="shared" si="60"/>
        <v>0.88278890807483756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1.1368683772161603E-13</v>
      </c>
      <c r="BE87" s="14">
        <f>BD87*VLOOKUP('Données projet'!$B$11,Paramètres!$A$1:$I$89,3,0)*VLOOKUP('Données projet'!$B$11,Paramètres!$A$1:$I$89,5,0)</f>
        <v>6.7984728957526396E-14</v>
      </c>
      <c r="BF87" s="14">
        <f t="shared" si="91"/>
        <v>1.0682447123141398E-12</v>
      </c>
      <c r="BG87" s="22">
        <f t="shared" si="61"/>
        <v>1.978932943548152E-12</v>
      </c>
      <c r="BH87" s="62">
        <f t="shared" si="62"/>
        <v>293.3333333333353</v>
      </c>
      <c r="BI87" s="62">
        <f ca="1">AVERAGE(OFFSET($BH$3,0,0,'Données projet'!$E$11+1,1))-AVERAGE(OFFSET($H$3,0,0,'Données projet'!$E$11+1,1))</f>
        <v>149.5086927376081</v>
      </c>
      <c r="BJ87" s="62">
        <f t="shared" si="92"/>
        <v>364.59164590134498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18.299835908624853</v>
      </c>
      <c r="BQ87" s="23">
        <f>EXP(-LN(2)/25)*BQ86+(1-EXP(-LN(2)/25))/(LN(2)/25)*Calculateur!BL87*Calculateur!BN87*VLOOKUP('Données projet'!$B$11,Paramètres!$A$1:$I$89,3,0)*0.475*44/12</f>
        <v>9.833822752351173</v>
      </c>
      <c r="BR87" s="23">
        <f>EXP(-LN(2)/2)*BR86+(1-EXP(-LN(2)/2))/(LN(2)/2)*BL87*BO87*VLOOKUP('Données projet'!$B$11,Paramètres!$A$1:$I$89,3,0)*0.475*44/12</f>
        <v>3.2460231182656138E-7</v>
      </c>
      <c r="BS87" s="24">
        <f t="shared" si="63"/>
        <v>28.133658985578336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160.22474733551678</v>
      </c>
      <c r="T88" s="62">
        <f t="shared" si="88"/>
        <v>272.72162271905523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3.4106051316484809E-13</v>
      </c>
      <c r="AJ88" s="14">
        <f>AI88*VLOOKUP('Données projet'!$B$10,Paramètres!$A$1:$I$89,3,0)*VLOOKUP('Données projet'!$B$10,Paramètres!$A$1:$I$89,5,0)</f>
        <v>1.9508661353029313E-13</v>
      </c>
      <c r="AK88" s="14">
        <f t="shared" si="89"/>
        <v>2.711421636700695E-12</v>
      </c>
      <c r="AL88" s="22">
        <f t="shared" si="58"/>
        <v>5.0621685358189711E-12</v>
      </c>
      <c r="AM88" s="62">
        <f t="shared" si="59"/>
        <v>293.33333333333837</v>
      </c>
      <c r="AN88" s="62">
        <f ca="1">AVERAGE(OFFSET($AM$3,0,0,'Données projet'!$E$10+1,1))-AVERAGE(OFFSET($H$3,0,0,'Données projet'!$E$10+1,1))</f>
        <v>227.80096215475777</v>
      </c>
      <c r="AO88" s="62">
        <f t="shared" si="90"/>
        <v>259.52807665663926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0.85864874526633095</v>
      </c>
      <c r="AW88" s="23">
        <f>EXP(-LN(2)/2)*AW87+(1-EXP(-LN(2)/2))/(LN(2)/2)*AQ88*AT88*VLOOKUP('Données projet'!$B$10,Paramètres!$A$1:$I$89,3,0)*0.475*44/12</f>
        <v>1.8443157874384361E-7</v>
      </c>
      <c r="AX88" s="23">
        <f t="shared" si="60"/>
        <v>0.85864892969790974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1.1368683772161603E-13</v>
      </c>
      <c r="BE88" s="14">
        <f>BD88*VLOOKUP('Données projet'!$B$11,Paramètres!$A$1:$I$89,3,0)*VLOOKUP('Données projet'!$B$11,Paramètres!$A$1:$I$89,5,0)</f>
        <v>6.7984728957526396E-14</v>
      </c>
      <c r="BF88" s="14">
        <f t="shared" si="91"/>
        <v>1.0682447123141398E-12</v>
      </c>
      <c r="BG88" s="22">
        <f t="shared" si="61"/>
        <v>1.978932943548152E-12</v>
      </c>
      <c r="BH88" s="62">
        <f t="shared" si="62"/>
        <v>293.3333333333353</v>
      </c>
      <c r="BI88" s="62">
        <f ca="1">AVERAGE(OFFSET($BH$3,0,0,'Données projet'!$E$11+1,1))-AVERAGE(OFFSET($H$3,0,0,'Données projet'!$E$11+1,1))</f>
        <v>149.5086927376081</v>
      </c>
      <c r="BJ88" s="62">
        <f t="shared" si="92"/>
        <v>364.59164590134498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17.940987288254487</v>
      </c>
      <c r="BQ88" s="23">
        <f>EXP(-LN(2)/25)*BQ87+(1-EXP(-LN(2)/25))/(LN(2)/25)*Calculateur!BL88*Calculateur!BN88*VLOOKUP('Données projet'!$B$11,Paramètres!$A$1:$I$89,3,0)*0.475*44/12</f>
        <v>9.5649163520498668</v>
      </c>
      <c r="BR88" s="23">
        <f>EXP(-LN(2)/2)*BR87+(1-EXP(-LN(2)/2))/(LN(2)/2)*BL88*BO88*VLOOKUP('Données projet'!$B$11,Paramètres!$A$1:$I$89,3,0)*0.475*44/12</f>
        <v>2.2952849588139182E-7</v>
      </c>
      <c r="BS88" s="24">
        <f t="shared" si="63"/>
        <v>27.505903869832849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160.22474733551678</v>
      </c>
      <c r="T89" s="62">
        <f t="shared" si="88"/>
        <v>272.72162271905523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3.4106051316484809E-13</v>
      </c>
      <c r="AJ89" s="14">
        <f>AI89*VLOOKUP('Données projet'!$B$10,Paramètres!$A$1:$I$89,3,0)*VLOOKUP('Données projet'!$B$10,Paramètres!$A$1:$I$89,5,0)</f>
        <v>1.9508661353029313E-13</v>
      </c>
      <c r="AK89" s="14">
        <f t="shared" si="89"/>
        <v>2.711421636700695E-12</v>
      </c>
      <c r="AL89" s="22">
        <f t="shared" si="58"/>
        <v>5.0621685358189711E-12</v>
      </c>
      <c r="AM89" s="62">
        <f t="shared" si="59"/>
        <v>293.33333333333837</v>
      </c>
      <c r="AN89" s="62">
        <f ca="1">AVERAGE(OFFSET($AM$3,0,0,'Données projet'!$E$10+1,1))-AVERAGE(OFFSET($H$3,0,0,'Données projet'!$E$10+1,1))</f>
        <v>227.80096215475777</v>
      </c>
      <c r="AO89" s="62">
        <f t="shared" si="90"/>
        <v>259.52807665663926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0.83516895017264803</v>
      </c>
      <c r="AW89" s="23">
        <f>EXP(-LN(2)/2)*AW88+(1-EXP(-LN(2)/2))/(LN(2)/2)*AQ89*AT89*VLOOKUP('Données projet'!$B$10,Paramètres!$A$1:$I$89,3,0)*0.475*44/12</f>
        <v>1.3041281999471253E-7</v>
      </c>
      <c r="AX89" s="23">
        <f t="shared" si="60"/>
        <v>0.83516908058546802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1.1368683772161603E-13</v>
      </c>
      <c r="BE89" s="14">
        <f>BD89*VLOOKUP('Données projet'!$B$11,Paramètres!$A$1:$I$89,3,0)*VLOOKUP('Données projet'!$B$11,Paramètres!$A$1:$I$89,5,0)</f>
        <v>6.7984728957526396E-14</v>
      </c>
      <c r="BF89" s="14">
        <f t="shared" si="91"/>
        <v>1.0682447123141398E-12</v>
      </c>
      <c r="BG89" s="22">
        <f t="shared" si="61"/>
        <v>1.978932943548152E-12</v>
      </c>
      <c r="BH89" s="62">
        <f t="shared" si="62"/>
        <v>293.3333333333353</v>
      </c>
      <c r="BI89" s="62">
        <f ca="1">AVERAGE(OFFSET($BH$3,0,0,'Données projet'!$E$11+1,1))-AVERAGE(OFFSET($H$3,0,0,'Données projet'!$E$11+1,1))</f>
        <v>149.5086927376081</v>
      </c>
      <c r="BJ89" s="62">
        <f t="shared" si="92"/>
        <v>364.59164590134498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17.589175470453537</v>
      </c>
      <c r="BQ89" s="23">
        <f>EXP(-LN(2)/25)*BQ88+(1-EXP(-LN(2)/25))/(LN(2)/25)*Calculateur!BL89*Calculateur!BN89*VLOOKUP('Données projet'!$B$11,Paramètres!$A$1:$I$89,3,0)*0.475*44/12</f>
        <v>9.3033632114059728</v>
      </c>
      <c r="BR89" s="23">
        <f>EXP(-LN(2)/2)*BR88+(1-EXP(-LN(2)/2))/(LN(2)/2)*BL89*BO89*VLOOKUP('Données projet'!$B$11,Paramètres!$A$1:$I$89,3,0)*0.475*44/12</f>
        <v>1.6230115591328072E-7</v>
      </c>
      <c r="BS89" s="24">
        <f t="shared" si="63"/>
        <v>26.892538844160665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160.22474733551678</v>
      </c>
      <c r="T90" s="62">
        <f t="shared" si="88"/>
        <v>272.72162271905523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3.4106051316484809E-13</v>
      </c>
      <c r="AJ90" s="14">
        <f>AI90*VLOOKUP('Données projet'!$B$10,Paramètres!$A$1:$I$89,3,0)*VLOOKUP('Données projet'!$B$10,Paramètres!$A$1:$I$89,5,0)</f>
        <v>1.9508661353029313E-13</v>
      </c>
      <c r="AK90" s="14">
        <f t="shared" si="89"/>
        <v>2.711421636700695E-12</v>
      </c>
      <c r="AL90" s="22">
        <f t="shared" si="58"/>
        <v>5.0621685358189711E-12</v>
      </c>
      <c r="AM90" s="62">
        <f t="shared" si="59"/>
        <v>293.33333333333837</v>
      </c>
      <c r="AN90" s="62">
        <f ca="1">AVERAGE(OFFSET($AM$3,0,0,'Données projet'!$E$10+1,1))-AVERAGE(OFFSET($H$3,0,0,'Données projet'!$E$10+1,1))</f>
        <v>227.80096215475777</v>
      </c>
      <c r="AO90" s="62">
        <f t="shared" si="90"/>
        <v>259.52807665663926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0.81233121131055064</v>
      </c>
      <c r="AW90" s="23">
        <f>EXP(-LN(2)/2)*AW89+(1-EXP(-LN(2)/2))/(LN(2)/2)*AQ90*AT90*VLOOKUP('Données projet'!$B$10,Paramètres!$A$1:$I$89,3,0)*0.475*44/12</f>
        <v>9.2215789371921803E-8</v>
      </c>
      <c r="AX90" s="23">
        <f t="shared" si="60"/>
        <v>0.81233130352633998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1.1368683772161603E-13</v>
      </c>
      <c r="BE90" s="14">
        <f>BD90*VLOOKUP('Données projet'!$B$11,Paramètres!$A$1:$I$89,3,0)*VLOOKUP('Données projet'!$B$11,Paramètres!$A$1:$I$89,5,0)</f>
        <v>6.7984728957526396E-14</v>
      </c>
      <c r="BF90" s="14">
        <f t="shared" si="91"/>
        <v>1.0682447123141398E-12</v>
      </c>
      <c r="BG90" s="22">
        <f t="shared" si="61"/>
        <v>1.978932943548152E-12</v>
      </c>
      <c r="BH90" s="62">
        <f t="shared" si="62"/>
        <v>293.3333333333353</v>
      </c>
      <c r="BI90" s="62">
        <f ca="1">AVERAGE(OFFSET($BH$3,0,0,'Données projet'!$E$11+1,1))-AVERAGE(OFFSET($H$3,0,0,'Données projet'!$E$11+1,1))</f>
        <v>149.5086927376081</v>
      </c>
      <c r="BJ90" s="62">
        <f t="shared" si="92"/>
        <v>364.59164590134498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17.244262467815645</v>
      </c>
      <c r="BQ90" s="23">
        <f>EXP(-LN(2)/25)*BQ89+(1-EXP(-LN(2)/25))/(LN(2)/25)*Calculateur!BL90*Calculateur!BN90*VLOOKUP('Données projet'!$B$11,Paramètres!$A$1:$I$89,3,0)*0.475*44/12</f>
        <v>9.0489622551474689</v>
      </c>
      <c r="BR90" s="23">
        <f>EXP(-LN(2)/2)*BR89+(1-EXP(-LN(2)/2))/(LN(2)/2)*BL90*BO90*VLOOKUP('Données projet'!$B$11,Paramètres!$A$1:$I$89,3,0)*0.475*44/12</f>
        <v>1.1476424794069594E-7</v>
      </c>
      <c r="BS90" s="24">
        <f t="shared" si="63"/>
        <v>26.293224837727362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160.22474733551678</v>
      </c>
      <c r="T91" s="62">
        <f t="shared" si="88"/>
        <v>272.72162271905523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3.4106051316484809E-13</v>
      </c>
      <c r="AJ91" s="14">
        <f>AI91*VLOOKUP('Données projet'!$B$10,Paramètres!$A$1:$I$89,3,0)*VLOOKUP('Données projet'!$B$10,Paramètres!$A$1:$I$89,5,0)</f>
        <v>1.9508661353029313E-13</v>
      </c>
      <c r="AK91" s="14">
        <f t="shared" si="89"/>
        <v>2.711421636700695E-12</v>
      </c>
      <c r="AL91" s="22">
        <f t="shared" si="58"/>
        <v>5.0621685358189711E-12</v>
      </c>
      <c r="AM91" s="62">
        <f t="shared" si="59"/>
        <v>293.33333333333837</v>
      </c>
      <c r="AN91" s="62">
        <f ca="1">AVERAGE(OFFSET($AM$3,0,0,'Données projet'!$E$10+1,1))-AVERAGE(OFFSET($H$3,0,0,'Données projet'!$E$10+1,1))</f>
        <v>227.80096215475777</v>
      </c>
      <c r="AO91" s="62">
        <f t="shared" si="90"/>
        <v>259.52807665663926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0.79011797161862185</v>
      </c>
      <c r="AW91" s="23">
        <f>EXP(-LN(2)/2)*AW90+(1-EXP(-LN(2)/2))/(LN(2)/2)*AQ91*AT91*VLOOKUP('Données projet'!$B$10,Paramètres!$A$1:$I$89,3,0)*0.475*44/12</f>
        <v>6.5206409997356265E-8</v>
      </c>
      <c r="AX91" s="23">
        <f t="shared" si="60"/>
        <v>0.7901180368250319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1.1368683772161603E-13</v>
      </c>
      <c r="BE91" s="14">
        <f>BD91*VLOOKUP('Données projet'!$B$11,Paramètres!$A$1:$I$89,3,0)*VLOOKUP('Données projet'!$B$11,Paramètres!$A$1:$I$89,5,0)</f>
        <v>6.7984728957526396E-14</v>
      </c>
      <c r="BF91" s="14">
        <f t="shared" si="91"/>
        <v>1.0682447123141398E-12</v>
      </c>
      <c r="BG91" s="22">
        <f t="shared" si="61"/>
        <v>1.978932943548152E-12</v>
      </c>
      <c r="BH91" s="62">
        <f t="shared" si="62"/>
        <v>293.3333333333353</v>
      </c>
      <c r="BI91" s="62">
        <f ca="1">AVERAGE(OFFSET($BH$3,0,0,'Données projet'!$E$11+1,1))-AVERAGE(OFFSET($H$3,0,0,'Données projet'!$E$11+1,1))</f>
        <v>149.5086927376081</v>
      </c>
      <c r="BJ91" s="62">
        <f t="shared" si="92"/>
        <v>364.59164590134498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16.906112998783325</v>
      </c>
      <c r="BQ91" s="23">
        <f>EXP(-LN(2)/25)*BQ90+(1-EXP(-LN(2)/25))/(LN(2)/25)*Calculateur!BL91*Calculateur!BN91*VLOOKUP('Données projet'!$B$11,Paramètres!$A$1:$I$89,3,0)*0.475*44/12</f>
        <v>8.8015179064162172</v>
      </c>
      <c r="BR91" s="23">
        <f>EXP(-LN(2)/2)*BR90+(1-EXP(-LN(2)/2))/(LN(2)/2)*BL91*BO91*VLOOKUP('Données projet'!$B$11,Paramètres!$A$1:$I$89,3,0)*0.475*44/12</f>
        <v>8.1150577956640371E-8</v>
      </c>
      <c r="BS91" s="24">
        <f t="shared" si="63"/>
        <v>25.707630986350122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160.22474733551678</v>
      </c>
      <c r="T92" s="62">
        <f t="shared" si="88"/>
        <v>272.72162271905523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3.4106051316484809E-13</v>
      </c>
      <c r="AJ92" s="14">
        <f>AI92*VLOOKUP('Données projet'!$B$10,Paramètres!$A$1:$I$89,3,0)*VLOOKUP('Données projet'!$B$10,Paramètres!$A$1:$I$89,5,0)</f>
        <v>1.9508661353029313E-13</v>
      </c>
      <c r="AK92" s="14">
        <f t="shared" si="89"/>
        <v>2.711421636700695E-12</v>
      </c>
      <c r="AL92" s="22">
        <f t="shared" si="58"/>
        <v>5.0621685358189711E-12</v>
      </c>
      <c r="AM92" s="62">
        <f t="shared" si="59"/>
        <v>293.33333333333837</v>
      </c>
      <c r="AN92" s="62">
        <f ca="1">AVERAGE(OFFSET($AM$3,0,0,'Données projet'!$E$10+1,1))-AVERAGE(OFFSET($H$3,0,0,'Données projet'!$E$10+1,1))</f>
        <v>227.80096215475777</v>
      </c>
      <c r="AO92" s="62">
        <f t="shared" si="90"/>
        <v>259.52807665663926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0.76851215413421237</v>
      </c>
      <c r="AW92" s="23">
        <f>EXP(-LN(2)/2)*AW91+(1-EXP(-LN(2)/2))/(LN(2)/2)*AQ92*AT92*VLOOKUP('Données projet'!$B$10,Paramètres!$A$1:$I$89,3,0)*0.475*44/12</f>
        <v>4.6107894685960902E-8</v>
      </c>
      <c r="AX92" s="23">
        <f t="shared" si="60"/>
        <v>0.76851220024210709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1.1368683772161603E-13</v>
      </c>
      <c r="BE92" s="14">
        <f>BD92*VLOOKUP('Données projet'!$B$11,Paramètres!$A$1:$I$89,3,0)*VLOOKUP('Données projet'!$B$11,Paramètres!$A$1:$I$89,5,0)</f>
        <v>6.7984728957526396E-14</v>
      </c>
      <c r="BF92" s="14">
        <f t="shared" si="91"/>
        <v>1.0682447123141398E-12</v>
      </c>
      <c r="BG92" s="22">
        <f t="shared" si="61"/>
        <v>1.978932943548152E-12</v>
      </c>
      <c r="BH92" s="62">
        <f t="shared" si="62"/>
        <v>293.3333333333353</v>
      </c>
      <c r="BI92" s="62">
        <f ca="1">AVERAGE(OFFSET($BH$3,0,0,'Données projet'!$E$11+1,1))-AVERAGE(OFFSET($H$3,0,0,'Données projet'!$E$11+1,1))</f>
        <v>149.5086927376081</v>
      </c>
      <c r="BJ92" s="62">
        <f t="shared" si="92"/>
        <v>364.59164590134498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16.574594434587915</v>
      </c>
      <c r="BQ92" s="23">
        <f>EXP(-LN(2)/25)*BQ91+(1-EXP(-LN(2)/25))/(LN(2)/25)*Calculateur!BL92*Calculateur!BN92*VLOOKUP('Données projet'!$B$11,Paramètres!$A$1:$I$89,3,0)*0.475*44/12</f>
        <v>8.5608399364135543</v>
      </c>
      <c r="BR92" s="23">
        <f>EXP(-LN(2)/2)*BR91+(1-EXP(-LN(2)/2))/(LN(2)/2)*BL92*BO92*VLOOKUP('Données projet'!$B$11,Paramètres!$A$1:$I$89,3,0)*0.475*44/12</f>
        <v>5.7382123970347974E-8</v>
      </c>
      <c r="BS92" s="24">
        <f t="shared" si="63"/>
        <v>25.135434428383594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160.22474733551678</v>
      </c>
      <c r="T93" s="62">
        <f t="shared" si="88"/>
        <v>272.72162271905523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3.4106051316484809E-13</v>
      </c>
      <c r="AJ93" s="14">
        <f>AI93*VLOOKUP('Données projet'!$B$10,Paramètres!$A$1:$I$89,3,0)*VLOOKUP('Données projet'!$B$10,Paramètres!$A$1:$I$89,5,0)</f>
        <v>1.9508661353029313E-13</v>
      </c>
      <c r="AK93" s="14">
        <f t="shared" si="89"/>
        <v>2.711421636700695E-12</v>
      </c>
      <c r="AL93" s="22">
        <f t="shared" si="58"/>
        <v>5.0621685358189711E-12</v>
      </c>
      <c r="AM93" s="62">
        <f t="shared" si="59"/>
        <v>293.33333333333837</v>
      </c>
      <c r="AN93" s="62">
        <f ca="1">AVERAGE(OFFSET($AM$3,0,0,'Données projet'!$E$10+1,1))-AVERAGE(OFFSET($H$3,0,0,'Données projet'!$E$10+1,1))</f>
        <v>227.80096215475777</v>
      </c>
      <c r="AO93" s="62">
        <f t="shared" si="90"/>
        <v>259.52807665663926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0.74749714886511465</v>
      </c>
      <c r="AW93" s="23">
        <f>EXP(-LN(2)/2)*AW92+(1-EXP(-LN(2)/2))/(LN(2)/2)*AQ93*AT93*VLOOKUP('Données projet'!$B$10,Paramètres!$A$1:$I$89,3,0)*0.475*44/12</f>
        <v>3.2603204998678132E-8</v>
      </c>
      <c r="AX93" s="23">
        <f t="shared" si="60"/>
        <v>0.74749718146831967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1.1368683772161603E-13</v>
      </c>
      <c r="BE93" s="14">
        <f>BD93*VLOOKUP('Données projet'!$B$11,Paramètres!$A$1:$I$89,3,0)*VLOOKUP('Données projet'!$B$11,Paramètres!$A$1:$I$89,5,0)</f>
        <v>6.7984728957526396E-14</v>
      </c>
      <c r="BF93" s="14">
        <f t="shared" si="91"/>
        <v>1.0682447123141398E-12</v>
      </c>
      <c r="BG93" s="22">
        <f t="shared" si="61"/>
        <v>1.978932943548152E-12</v>
      </c>
      <c r="BH93" s="62">
        <f t="shared" si="62"/>
        <v>293.3333333333353</v>
      </c>
      <c r="BI93" s="62">
        <f ca="1">AVERAGE(OFFSET($BH$3,0,0,'Données projet'!$E$11+1,1))-AVERAGE(OFFSET($H$3,0,0,'Données projet'!$E$11+1,1))</f>
        <v>149.5086927376081</v>
      </c>
      <c r="BJ93" s="62">
        <f t="shared" si="92"/>
        <v>364.59164590134498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16.249576747230019</v>
      </c>
      <c r="BQ93" s="23">
        <f>EXP(-LN(2)/25)*BQ92+(1-EXP(-LN(2)/25))/(LN(2)/25)*Calculateur!BL93*Calculateur!BN93*VLOOKUP('Données projet'!$B$11,Paramètres!$A$1:$I$89,3,0)*0.475*44/12</f>
        <v>8.3267433181573196</v>
      </c>
      <c r="BR93" s="23">
        <f>EXP(-LN(2)/2)*BR92+(1-EXP(-LN(2)/2))/(LN(2)/2)*BL93*BO93*VLOOKUP('Données projet'!$B$11,Paramètres!$A$1:$I$89,3,0)*0.475*44/12</f>
        <v>4.0575288978320192E-8</v>
      </c>
      <c r="BS93" s="24">
        <f t="shared" si="63"/>
        <v>24.57632010596263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160.22474733551678</v>
      </c>
      <c r="T94" s="62">
        <f t="shared" si="88"/>
        <v>272.72162271905523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3.4106051316484809E-13</v>
      </c>
      <c r="AJ94" s="14">
        <f>AI94*VLOOKUP('Données projet'!$B$10,Paramètres!$A$1:$I$89,3,0)*VLOOKUP('Données projet'!$B$10,Paramètres!$A$1:$I$89,5,0)</f>
        <v>1.9508661353029313E-13</v>
      </c>
      <c r="AK94" s="14">
        <f t="shared" si="89"/>
        <v>2.711421636700695E-12</v>
      </c>
      <c r="AL94" s="22">
        <f t="shared" si="58"/>
        <v>5.0621685358189711E-12</v>
      </c>
      <c r="AM94" s="62">
        <f t="shared" si="59"/>
        <v>293.33333333333837</v>
      </c>
      <c r="AN94" s="62">
        <f ca="1">AVERAGE(OFFSET($AM$3,0,0,'Données projet'!$E$10+1,1))-AVERAGE(OFFSET($H$3,0,0,'Données projet'!$E$10+1,1))</f>
        <v>227.80096215475777</v>
      </c>
      <c r="AO94" s="62">
        <f t="shared" si="90"/>
        <v>259.52807665663926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0.72705680002023143</v>
      </c>
      <c r="AW94" s="23">
        <f>EXP(-LN(2)/2)*AW93+(1-EXP(-LN(2)/2))/(LN(2)/2)*AQ94*AT94*VLOOKUP('Données projet'!$B$10,Paramètres!$A$1:$I$89,3,0)*0.475*44/12</f>
        <v>2.3053947342980451E-8</v>
      </c>
      <c r="AX94" s="23">
        <f t="shared" si="60"/>
        <v>0.72705682307417874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1.1368683772161603E-13</v>
      </c>
      <c r="BE94" s="14">
        <f>BD94*VLOOKUP('Données projet'!$B$11,Paramètres!$A$1:$I$89,3,0)*VLOOKUP('Données projet'!$B$11,Paramètres!$A$1:$I$89,5,0)</f>
        <v>6.7984728957526396E-14</v>
      </c>
      <c r="BF94" s="14">
        <f t="shared" si="91"/>
        <v>1.0682447123141398E-12</v>
      </c>
      <c r="BG94" s="22">
        <f t="shared" si="61"/>
        <v>1.978932943548152E-12</v>
      </c>
      <c r="BH94" s="62">
        <f t="shared" si="62"/>
        <v>293.3333333333353</v>
      </c>
      <c r="BI94" s="62">
        <f ca="1">AVERAGE(OFFSET($BH$3,0,0,'Données projet'!$E$11+1,1))-AVERAGE(OFFSET($H$3,0,0,'Données projet'!$E$11+1,1))</f>
        <v>149.5086927376081</v>
      </c>
      <c r="BJ94" s="62">
        <f t="shared" si="92"/>
        <v>364.59164590134498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15.930932458479999</v>
      </c>
      <c r="BQ94" s="23">
        <f>EXP(-LN(2)/25)*BQ93+(1-EXP(-LN(2)/25))/(LN(2)/25)*Calculateur!BL94*Calculateur!BN94*VLOOKUP('Données projet'!$B$11,Paramètres!$A$1:$I$89,3,0)*0.475*44/12</f>
        <v>8.0990480842379071</v>
      </c>
      <c r="BR94" s="23">
        <f>EXP(-LN(2)/2)*BR93+(1-EXP(-LN(2)/2))/(LN(2)/2)*BL94*BO94*VLOOKUP('Données projet'!$B$11,Paramètres!$A$1:$I$89,3,0)*0.475*44/12</f>
        <v>2.869106198517399E-8</v>
      </c>
      <c r="BS94" s="24">
        <f t="shared" si="63"/>
        <v>24.02998057140897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160.22474733551678</v>
      </c>
      <c r="T95" s="62">
        <f t="shared" si="88"/>
        <v>272.72162271905523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3.4106051316484809E-13</v>
      </c>
      <c r="AJ95" s="14">
        <f>AI95*VLOOKUP('Données projet'!$B$10,Paramètres!$A$1:$I$89,3,0)*VLOOKUP('Données projet'!$B$10,Paramètres!$A$1:$I$89,5,0)</f>
        <v>1.9508661353029313E-13</v>
      </c>
      <c r="AK95" s="14">
        <f t="shared" si="89"/>
        <v>2.711421636700695E-12</v>
      </c>
      <c r="AL95" s="22">
        <f t="shared" si="58"/>
        <v>5.0621685358189711E-12</v>
      </c>
      <c r="AM95" s="62">
        <f t="shared" si="59"/>
        <v>293.33333333333837</v>
      </c>
      <c r="AN95" s="62">
        <f ca="1">AVERAGE(OFFSET($AM$3,0,0,'Données projet'!$E$10+1,1))-AVERAGE(OFFSET($H$3,0,0,'Données projet'!$E$10+1,1))</f>
        <v>227.80096215475777</v>
      </c>
      <c r="AO95" s="62">
        <f t="shared" si="90"/>
        <v>259.52807665663926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0.70717539358942283</v>
      </c>
      <c r="AW95" s="23">
        <f>EXP(-LN(2)/2)*AW94+(1-EXP(-LN(2)/2))/(LN(2)/2)*AQ95*AT95*VLOOKUP('Données projet'!$B$10,Paramètres!$A$1:$I$89,3,0)*0.475*44/12</f>
        <v>1.6301602499339066E-8</v>
      </c>
      <c r="AX95" s="23">
        <f t="shared" si="60"/>
        <v>0.70717540989102534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1.1368683772161603E-13</v>
      </c>
      <c r="BE95" s="14">
        <f>BD95*VLOOKUP('Données projet'!$B$11,Paramètres!$A$1:$I$89,3,0)*VLOOKUP('Données projet'!$B$11,Paramètres!$A$1:$I$89,5,0)</f>
        <v>6.7984728957526396E-14</v>
      </c>
      <c r="BF95" s="14">
        <f t="shared" si="91"/>
        <v>1.0682447123141398E-12</v>
      </c>
      <c r="BG95" s="22">
        <f t="shared" si="61"/>
        <v>1.978932943548152E-12</v>
      </c>
      <c r="BH95" s="62">
        <f t="shared" si="62"/>
        <v>293.3333333333353</v>
      </c>
      <c r="BI95" s="62">
        <f ca="1">AVERAGE(OFFSET($BH$3,0,0,'Données projet'!$E$11+1,1))-AVERAGE(OFFSET($H$3,0,0,'Données projet'!$E$11+1,1))</f>
        <v>149.5086927376081</v>
      </c>
      <c r="BJ95" s="62">
        <f t="shared" si="92"/>
        <v>364.59164590134498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15.618536589878541</v>
      </c>
      <c r="BQ95" s="23">
        <f>EXP(-LN(2)/25)*BQ94+(1-EXP(-LN(2)/25))/(LN(2)/25)*Calculateur!BL95*Calculateur!BN95*VLOOKUP('Données projet'!$B$11,Paramètres!$A$1:$I$89,3,0)*0.475*44/12</f>
        <v>7.8775791884639936</v>
      </c>
      <c r="BR95" s="23">
        <f>EXP(-LN(2)/2)*BR94+(1-EXP(-LN(2)/2))/(LN(2)/2)*BL95*BO95*VLOOKUP('Données projet'!$B$11,Paramètres!$A$1:$I$89,3,0)*0.475*44/12</f>
        <v>2.0287644489160099E-8</v>
      </c>
      <c r="BS95" s="24">
        <f t="shared" si="63"/>
        <v>23.496115798630179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160.22474733551678</v>
      </c>
      <c r="T96" s="62">
        <f t="shared" si="88"/>
        <v>272.72162271905523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3.4106051316484809E-13</v>
      </c>
      <c r="AJ96" s="14">
        <f>AI96*VLOOKUP('Données projet'!$B$10,Paramètres!$A$1:$I$89,3,0)*VLOOKUP('Données projet'!$B$10,Paramètres!$A$1:$I$89,5,0)</f>
        <v>1.9508661353029313E-13</v>
      </c>
      <c r="AK96" s="14">
        <f t="shared" si="89"/>
        <v>2.711421636700695E-12</v>
      </c>
      <c r="AL96" s="22">
        <f t="shared" si="58"/>
        <v>5.0621685358189711E-12</v>
      </c>
      <c r="AM96" s="62">
        <f t="shared" si="59"/>
        <v>293.33333333333837</v>
      </c>
      <c r="AN96" s="62">
        <f ca="1">AVERAGE(OFFSET($AM$3,0,0,'Données projet'!$E$10+1,1))-AVERAGE(OFFSET($H$3,0,0,'Données projet'!$E$10+1,1))</f>
        <v>227.80096215475777</v>
      </c>
      <c r="AO96" s="62">
        <f t="shared" si="90"/>
        <v>259.52807665663926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0.68783764526298241</v>
      </c>
      <c r="AW96" s="23">
        <f>EXP(-LN(2)/2)*AW95+(1-EXP(-LN(2)/2))/(LN(2)/2)*AQ96*AT96*VLOOKUP('Données projet'!$B$10,Paramètres!$A$1:$I$89,3,0)*0.475*44/12</f>
        <v>1.1526973671490225E-8</v>
      </c>
      <c r="AX96" s="23">
        <f t="shared" si="60"/>
        <v>0.68783765678995612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1.1368683772161603E-13</v>
      </c>
      <c r="BE96" s="14">
        <f>BD96*VLOOKUP('Données projet'!$B$11,Paramètres!$A$1:$I$89,3,0)*VLOOKUP('Données projet'!$B$11,Paramètres!$A$1:$I$89,5,0)</f>
        <v>6.7984728957526396E-14</v>
      </c>
      <c r="BF96" s="14">
        <f t="shared" si="91"/>
        <v>1.0682447123141398E-12</v>
      </c>
      <c r="BG96" s="22">
        <f t="shared" si="61"/>
        <v>1.978932943548152E-12</v>
      </c>
      <c r="BH96" s="62">
        <f t="shared" si="62"/>
        <v>293.3333333333353</v>
      </c>
      <c r="BI96" s="62">
        <f ca="1">AVERAGE(OFFSET($BH$3,0,0,'Données projet'!$E$11+1,1))-AVERAGE(OFFSET($H$3,0,0,'Données projet'!$E$11+1,1))</f>
        <v>149.5086927376081</v>
      </c>
      <c r="BJ96" s="62">
        <f t="shared" si="92"/>
        <v>364.59164590134498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15.312266613717693</v>
      </c>
      <c r="BQ96" s="23">
        <f>EXP(-LN(2)/25)*BQ95+(1-EXP(-LN(2)/25))/(LN(2)/25)*Calculateur!BL96*Calculateur!BN96*VLOOKUP('Données projet'!$B$11,Paramètres!$A$1:$I$89,3,0)*0.475*44/12</f>
        <v>7.6621663712915611</v>
      </c>
      <c r="BR96" s="23">
        <f>EXP(-LN(2)/2)*BR95+(1-EXP(-LN(2)/2))/(LN(2)/2)*BL96*BO96*VLOOKUP('Données projet'!$B$11,Paramètres!$A$1:$I$89,3,0)*0.475*44/12</f>
        <v>1.4345530992586999E-8</v>
      </c>
      <c r="BS96" s="24">
        <f t="shared" si="63"/>
        <v>22.974432999354786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160.22474733551678</v>
      </c>
      <c r="T97" s="62">
        <f t="shared" si="88"/>
        <v>272.72162271905523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3.4106051316484809E-13</v>
      </c>
      <c r="AJ97" s="14">
        <f>AI97*VLOOKUP('Données projet'!$B$10,Paramètres!$A$1:$I$89,3,0)*VLOOKUP('Données projet'!$B$10,Paramètres!$A$1:$I$89,5,0)</f>
        <v>1.9508661353029313E-13</v>
      </c>
      <c r="AK97" s="14">
        <f t="shared" si="89"/>
        <v>2.711421636700695E-12</v>
      </c>
      <c r="AL97" s="22">
        <f t="shared" si="58"/>
        <v>5.0621685358189711E-12</v>
      </c>
      <c r="AM97" s="62">
        <f t="shared" si="59"/>
        <v>293.33333333333837</v>
      </c>
      <c r="AN97" s="62">
        <f ca="1">AVERAGE(OFFSET($AM$3,0,0,'Données projet'!$E$10+1,1))-AVERAGE(OFFSET($H$3,0,0,'Données projet'!$E$10+1,1))</f>
        <v>227.80096215475777</v>
      </c>
      <c r="AO97" s="62">
        <f t="shared" si="90"/>
        <v>259.52807665663926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0.66902868868145648</v>
      </c>
      <c r="AW97" s="23">
        <f>EXP(-LN(2)/2)*AW96+(1-EXP(-LN(2)/2))/(LN(2)/2)*AQ97*AT97*VLOOKUP('Données projet'!$B$10,Paramètres!$A$1:$I$89,3,0)*0.475*44/12</f>
        <v>8.1508012496695331E-9</v>
      </c>
      <c r="AX97" s="23">
        <f t="shared" si="60"/>
        <v>0.66902869683225774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1.1368683772161603E-13</v>
      </c>
      <c r="BE97" s="14">
        <f>BD97*VLOOKUP('Données projet'!$B$11,Paramètres!$A$1:$I$89,3,0)*VLOOKUP('Données projet'!$B$11,Paramètres!$A$1:$I$89,5,0)</f>
        <v>6.7984728957526396E-14</v>
      </c>
      <c r="BF97" s="14">
        <f t="shared" si="91"/>
        <v>1.0682447123141398E-12</v>
      </c>
      <c r="BG97" s="22">
        <f t="shared" si="61"/>
        <v>1.978932943548152E-12</v>
      </c>
      <c r="BH97" s="62">
        <f t="shared" si="62"/>
        <v>293.3333333333353</v>
      </c>
      <c r="BI97" s="62">
        <f ca="1">AVERAGE(OFFSET($BH$3,0,0,'Données projet'!$E$11+1,1))-AVERAGE(OFFSET($H$3,0,0,'Données projet'!$E$11+1,1))</f>
        <v>149.5086927376081</v>
      </c>
      <c r="BJ97" s="62">
        <f t="shared" si="92"/>
        <v>364.59164590134498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15.012002404983118</v>
      </c>
      <c r="BQ97" s="23">
        <f>EXP(-LN(2)/25)*BQ96+(1-EXP(-LN(2)/25))/(LN(2)/25)*Calculateur!BL97*Calculateur!BN97*VLOOKUP('Données projet'!$B$11,Paramètres!$A$1:$I$89,3,0)*0.475*44/12</f>
        <v>7.4526440289327756</v>
      </c>
      <c r="BR97" s="23">
        <f>EXP(-LN(2)/2)*BR96+(1-EXP(-LN(2)/2))/(LN(2)/2)*BL97*BO97*VLOOKUP('Données projet'!$B$11,Paramètres!$A$1:$I$89,3,0)*0.475*44/12</f>
        <v>1.0143822244580051E-8</v>
      </c>
      <c r="BS97" s="24">
        <f t="shared" si="63"/>
        <v>22.464646444059717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160.22474733551678</v>
      </c>
      <c r="T98" s="62">
        <f t="shared" si="88"/>
        <v>272.72162271905523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3.4106051316484809E-13</v>
      </c>
      <c r="AJ98" s="14">
        <f>AI98*VLOOKUP('Données projet'!$B$10,Paramètres!$A$1:$I$89,3,0)*VLOOKUP('Données projet'!$B$10,Paramètres!$A$1:$I$89,5,0)</f>
        <v>1.9508661353029313E-13</v>
      </c>
      <c r="AK98" s="14">
        <f t="shared" si="89"/>
        <v>2.711421636700695E-12</v>
      </c>
      <c r="AL98" s="22">
        <f t="shared" si="58"/>
        <v>5.0621685358189711E-12</v>
      </c>
      <c r="AM98" s="62">
        <f t="shared" si="59"/>
        <v>293.33333333333837</v>
      </c>
      <c r="AN98" s="62">
        <f ca="1">AVERAGE(OFFSET($AM$3,0,0,'Données projet'!$E$10+1,1))-AVERAGE(OFFSET($H$3,0,0,'Données projet'!$E$10+1,1))</f>
        <v>227.80096215475777</v>
      </c>
      <c r="AO98" s="62">
        <f t="shared" si="90"/>
        <v>259.52807665663926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0.65073406400677236</v>
      </c>
      <c r="AW98" s="23">
        <f>EXP(-LN(2)/2)*AW97+(1-EXP(-LN(2)/2))/(LN(2)/2)*AQ98*AT98*VLOOKUP('Données projet'!$B$10,Paramètres!$A$1:$I$89,3,0)*0.475*44/12</f>
        <v>5.7634868357451127E-9</v>
      </c>
      <c r="AX98" s="23">
        <f t="shared" si="60"/>
        <v>0.65073406977025916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1.1368683772161603E-13</v>
      </c>
      <c r="BE98" s="14">
        <f>BD98*VLOOKUP('Données projet'!$B$11,Paramètres!$A$1:$I$89,3,0)*VLOOKUP('Données projet'!$B$11,Paramètres!$A$1:$I$89,5,0)</f>
        <v>6.7984728957526396E-14</v>
      </c>
      <c r="BF98" s="14">
        <f t="shared" si="91"/>
        <v>1.0682447123141398E-12</v>
      </c>
      <c r="BG98" s="22">
        <f t="shared" si="61"/>
        <v>1.978932943548152E-12</v>
      </c>
      <c r="BH98" s="62">
        <f t="shared" si="62"/>
        <v>293.3333333333353</v>
      </c>
      <c r="BI98" s="62">
        <f ca="1">AVERAGE(OFFSET($BH$3,0,0,'Données projet'!$E$11+1,1))-AVERAGE(OFFSET($H$3,0,0,'Données projet'!$E$11+1,1))</f>
        <v>149.5086927376081</v>
      </c>
      <c r="BJ98" s="62">
        <f t="shared" si="92"/>
        <v>364.59164590134498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14.717626194238745</v>
      </c>
      <c r="BQ98" s="23">
        <f>EXP(-LN(2)/25)*BQ97+(1-EXP(-LN(2)/25))/(LN(2)/25)*Calculateur!BL98*Calculateur!BN98*VLOOKUP('Données projet'!$B$11,Paramètres!$A$1:$I$89,3,0)*0.475*44/12</f>
        <v>7.2488510860440929</v>
      </c>
      <c r="BR98" s="23">
        <f>EXP(-LN(2)/2)*BR97+(1-EXP(-LN(2)/2))/(LN(2)/2)*BL98*BO98*VLOOKUP('Données projet'!$B$11,Paramètres!$A$1:$I$89,3,0)*0.475*44/12</f>
        <v>7.1727654962935001E-9</v>
      </c>
      <c r="BS98" s="24">
        <f t="shared" si="63"/>
        <v>21.966477287455604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160.22474733551678</v>
      </c>
      <c r="T99" s="62">
        <f t="shared" si="88"/>
        <v>272.72162271905523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3.4106051316484809E-13</v>
      </c>
      <c r="AJ99" s="14">
        <f>AI99*VLOOKUP('Données projet'!$B$10,Paramètres!$A$1:$I$89,3,0)*VLOOKUP('Données projet'!$B$10,Paramètres!$A$1:$I$89,5,0)</f>
        <v>1.9508661353029313E-13</v>
      </c>
      <c r="AK99" s="14">
        <f t="shared" si="89"/>
        <v>2.711421636700695E-12</v>
      </c>
      <c r="AL99" s="22">
        <f t="shared" si="58"/>
        <v>5.0621685358189711E-12</v>
      </c>
      <c r="AM99" s="62">
        <f t="shared" si="59"/>
        <v>293.33333333333837</v>
      </c>
      <c r="AN99" s="62">
        <f ca="1">AVERAGE(OFFSET($AM$3,0,0,'Données projet'!$E$10+1,1))-AVERAGE(OFFSET($H$3,0,0,'Données projet'!$E$10+1,1))</f>
        <v>227.80096215475777</v>
      </c>
      <c r="AO99" s="62">
        <f t="shared" si="90"/>
        <v>259.52807665663926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0.63293970680589007</v>
      </c>
      <c r="AW99" s="23">
        <f>EXP(-LN(2)/2)*AW98+(1-EXP(-LN(2)/2))/(LN(2)/2)*AQ99*AT99*VLOOKUP('Données projet'!$B$10,Paramètres!$A$1:$I$89,3,0)*0.475*44/12</f>
        <v>4.0754006248347665E-9</v>
      </c>
      <c r="AX99" s="23">
        <f t="shared" si="60"/>
        <v>0.63293971088129064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1.1368683772161603E-13</v>
      </c>
      <c r="BE99" s="14">
        <f>BD99*VLOOKUP('Données projet'!$B$11,Paramètres!$A$1:$I$89,3,0)*VLOOKUP('Données projet'!$B$11,Paramètres!$A$1:$I$89,5,0)</f>
        <v>6.7984728957526396E-14</v>
      </c>
      <c r="BF99" s="14">
        <f t="shared" si="91"/>
        <v>1.0682447123141398E-12</v>
      </c>
      <c r="BG99" s="22">
        <f t="shared" si="61"/>
        <v>1.978932943548152E-12</v>
      </c>
      <c r="BH99" s="62">
        <f t="shared" si="62"/>
        <v>293.3333333333353</v>
      </c>
      <c r="BI99" s="62">
        <f ca="1">AVERAGE(OFFSET($BH$3,0,0,'Données projet'!$E$11+1,1))-AVERAGE(OFFSET($H$3,0,0,'Données projet'!$E$11+1,1))</f>
        <v>149.5086927376081</v>
      </c>
      <c r="BJ99" s="62">
        <f t="shared" si="92"/>
        <v>364.59164590134498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14.429022521435311</v>
      </c>
      <c r="BQ99" s="23">
        <f>EXP(-LN(2)/25)*BQ98+(1-EXP(-LN(2)/25))/(LN(2)/25)*Calculateur!BL99*Calculateur!BN99*VLOOKUP('Données projet'!$B$11,Paramètres!$A$1:$I$89,3,0)*0.475*44/12</f>
        <v>7.0506308718957058</v>
      </c>
      <c r="BR99" s="23">
        <f>EXP(-LN(2)/2)*BR98+(1-EXP(-LN(2)/2))/(LN(2)/2)*BL99*BO99*VLOOKUP('Données projet'!$B$11,Paramètres!$A$1:$I$89,3,0)*0.475*44/12</f>
        <v>5.0719111222900265E-9</v>
      </c>
      <c r="BS99" s="24">
        <f t="shared" si="63"/>
        <v>21.479653398402927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160.22474733551678</v>
      </c>
      <c r="T100" s="62">
        <f t="shared" si="88"/>
        <v>272.72162271905523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3.4106051316484809E-13</v>
      </c>
      <c r="AJ100" s="14">
        <f>AI100*VLOOKUP('Données projet'!$B$10,Paramètres!$A$1:$I$89,3,0)*VLOOKUP('Données projet'!$B$10,Paramètres!$A$1:$I$89,5,0)</f>
        <v>1.9508661353029313E-13</v>
      </c>
      <c r="AK100" s="14">
        <f t="shared" si="89"/>
        <v>2.711421636700695E-12</v>
      </c>
      <c r="AL100" s="22">
        <f t="shared" si="58"/>
        <v>5.0621685358189711E-12</v>
      </c>
      <c r="AM100" s="62">
        <f t="shared" si="59"/>
        <v>293.33333333333837</v>
      </c>
      <c r="AN100" s="62">
        <f ca="1">AVERAGE(OFFSET($AM$3,0,0,'Données projet'!$E$10+1,1))-AVERAGE(OFFSET($H$3,0,0,'Données projet'!$E$10+1,1))</f>
        <v>227.80096215475777</v>
      </c>
      <c r="AO100" s="62">
        <f t="shared" si="90"/>
        <v>259.52807665663926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0.61563193723843046</v>
      </c>
      <c r="AW100" s="23">
        <f>EXP(-LN(2)/2)*AW99+(1-EXP(-LN(2)/2))/(LN(2)/2)*AQ100*AT100*VLOOKUP('Données projet'!$B$10,Paramètres!$A$1:$I$89,3,0)*0.475*44/12</f>
        <v>2.8817434178725563E-9</v>
      </c>
      <c r="AX100" s="23">
        <f t="shared" si="60"/>
        <v>0.61563194012017386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1.1368683772161603E-13</v>
      </c>
      <c r="BE100" s="14">
        <f>BD100*VLOOKUP('Données projet'!$B$11,Paramètres!$A$1:$I$89,3,0)*VLOOKUP('Données projet'!$B$11,Paramètres!$A$1:$I$89,5,0)</f>
        <v>6.7984728957526396E-14</v>
      </c>
      <c r="BF100" s="14">
        <f t="shared" si="91"/>
        <v>1.0682447123141398E-12</v>
      </c>
      <c r="BG100" s="22">
        <f t="shared" si="61"/>
        <v>1.978932943548152E-12</v>
      </c>
      <c r="BH100" s="62">
        <f t="shared" si="62"/>
        <v>293.3333333333353</v>
      </c>
      <c r="BI100" s="62">
        <f ca="1">AVERAGE(OFFSET($BH$3,0,0,'Données projet'!$E$11+1,1))-AVERAGE(OFFSET($H$3,0,0,'Données projet'!$E$11+1,1))</f>
        <v>149.5086927376081</v>
      </c>
      <c r="BJ100" s="62">
        <f t="shared" si="92"/>
        <v>364.59164590134498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14.146078190624692</v>
      </c>
      <c r="BQ100" s="23">
        <f>EXP(-LN(2)/25)*BQ99+(1-EXP(-LN(2)/25))/(LN(2)/25)*Calculateur!BL100*Calculateur!BN100*VLOOKUP('Données projet'!$B$11,Paramètres!$A$1:$I$89,3,0)*0.475*44/12</f>
        <v>6.8578309999271543</v>
      </c>
      <c r="BR100" s="23">
        <f>EXP(-LN(2)/2)*BR99+(1-EXP(-LN(2)/2))/(LN(2)/2)*BL100*BO100*VLOOKUP('Données projet'!$B$11,Paramètres!$A$1:$I$89,3,0)*0.475*44/12</f>
        <v>3.5863827481467509E-9</v>
      </c>
      <c r="BS100" s="24">
        <f t="shared" si="63"/>
        <v>21.003909194138227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160.22474733551678</v>
      </c>
      <c r="T101" s="62">
        <f t="shared" si="88"/>
        <v>272.72162271905523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3.4106051316484809E-13</v>
      </c>
      <c r="AJ101" s="14">
        <f>AI101*VLOOKUP('Données projet'!$B$10,Paramètres!$A$1:$I$89,3,0)*VLOOKUP('Données projet'!$B$10,Paramètres!$A$1:$I$89,5,0)</f>
        <v>1.9508661353029313E-13</v>
      </c>
      <c r="AK101" s="14">
        <f t="shared" si="89"/>
        <v>2.711421636700695E-12</v>
      </c>
      <c r="AL101" s="22">
        <f t="shared" si="58"/>
        <v>5.0621685358189711E-12</v>
      </c>
      <c r="AM101" s="62">
        <f t="shared" si="59"/>
        <v>293.33333333333837</v>
      </c>
      <c r="AN101" s="62">
        <f ca="1">AVERAGE(OFFSET($AM$3,0,0,'Données projet'!$E$10+1,1))-AVERAGE(OFFSET($H$3,0,0,'Données projet'!$E$10+1,1))</f>
        <v>227.80096215475777</v>
      </c>
      <c r="AO101" s="62">
        <f t="shared" si="90"/>
        <v>259.52807665663926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0.59879744953996905</v>
      </c>
      <c r="AW101" s="23">
        <f>EXP(-LN(2)/2)*AW100+(1-EXP(-LN(2)/2))/(LN(2)/2)*AQ101*AT101*VLOOKUP('Données projet'!$B$10,Paramètres!$A$1:$I$89,3,0)*0.475*44/12</f>
        <v>2.0377003124173833E-9</v>
      </c>
      <c r="AX101" s="23">
        <f t="shared" si="60"/>
        <v>0.59879745157766939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1.1368683772161603E-13</v>
      </c>
      <c r="BE101" s="14">
        <f>BD101*VLOOKUP('Données projet'!$B$11,Paramètres!$A$1:$I$89,3,0)*VLOOKUP('Données projet'!$B$11,Paramètres!$A$1:$I$89,5,0)</f>
        <v>6.7984728957526396E-14</v>
      </c>
      <c r="BF101" s="14">
        <f t="shared" si="91"/>
        <v>1.0682447123141398E-12</v>
      </c>
      <c r="BG101" s="22">
        <f t="shared" si="61"/>
        <v>1.978932943548152E-12</v>
      </c>
      <c r="BH101" s="62">
        <f t="shared" si="62"/>
        <v>293.3333333333353</v>
      </c>
      <c r="BI101" s="62">
        <f ca="1">AVERAGE(OFFSET($BH$3,0,0,'Données projet'!$E$11+1,1))-AVERAGE(OFFSET($H$3,0,0,'Données projet'!$E$11+1,1))</f>
        <v>149.5086927376081</v>
      </c>
      <c r="BJ101" s="62">
        <f t="shared" si="92"/>
        <v>364.59164590134498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13.868682225562269</v>
      </c>
      <c r="BQ101" s="23">
        <f>EXP(-LN(2)/25)*BQ100+(1-EXP(-LN(2)/25))/(LN(2)/25)*Calculateur!BL101*Calculateur!BN101*VLOOKUP('Données projet'!$B$11,Paramètres!$A$1:$I$89,3,0)*0.475*44/12</f>
        <v>6.6703032505964881</v>
      </c>
      <c r="BR101" s="23">
        <f>EXP(-LN(2)/2)*BR100+(1-EXP(-LN(2)/2))/(LN(2)/2)*BL101*BO101*VLOOKUP('Données projet'!$B$11,Paramètres!$A$1:$I$89,3,0)*0.475*44/12</f>
        <v>2.5359555611450137E-9</v>
      </c>
      <c r="BS101" s="24">
        <f t="shared" si="63"/>
        <v>20.538985478694713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160.22474733551678</v>
      </c>
      <c r="T102" s="62">
        <f t="shared" si="88"/>
        <v>272.72162271905523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3.4106051316484809E-13</v>
      </c>
      <c r="AJ102" s="14">
        <f>AI102*VLOOKUP('Données projet'!$B$10,Paramètres!$A$1:$I$89,3,0)*VLOOKUP('Données projet'!$B$10,Paramètres!$A$1:$I$89,5,0)</f>
        <v>1.9508661353029313E-13</v>
      </c>
      <c r="AK102" s="14">
        <f t="shared" si="89"/>
        <v>2.711421636700695E-12</v>
      </c>
      <c r="AL102" s="22">
        <f t="shared" si="58"/>
        <v>5.0621685358189711E-12</v>
      </c>
      <c r="AM102" s="62">
        <f t="shared" si="59"/>
        <v>293.33333333333837</v>
      </c>
      <c r="AN102" s="62">
        <f ca="1">AVERAGE(OFFSET($AM$3,0,0,'Données projet'!$E$10+1,1))-AVERAGE(OFFSET($H$3,0,0,'Données projet'!$E$10+1,1))</f>
        <v>227.80096215475777</v>
      </c>
      <c r="AO102" s="62">
        <f t="shared" si="90"/>
        <v>259.52807665663926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0.58242330179290924</v>
      </c>
      <c r="AW102" s="23">
        <f>EXP(-LN(2)/2)*AW101+(1-EXP(-LN(2)/2))/(LN(2)/2)*AQ102*AT102*VLOOKUP('Données projet'!$B$10,Paramètres!$A$1:$I$89,3,0)*0.475*44/12</f>
        <v>1.4408717089362782E-9</v>
      </c>
      <c r="AX102" s="23">
        <f t="shared" si="60"/>
        <v>0.582423303233781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1.1368683772161603E-13</v>
      </c>
      <c r="BE102" s="14">
        <f>BD102*VLOOKUP('Données projet'!$B$11,Paramètres!$A$1:$I$89,3,0)*VLOOKUP('Données projet'!$B$11,Paramètres!$A$1:$I$89,5,0)</f>
        <v>6.7984728957526396E-14</v>
      </c>
      <c r="BF102" s="14">
        <f t="shared" si="91"/>
        <v>1.0682447123141398E-12</v>
      </c>
      <c r="BG102" s="22">
        <f t="shared" si="61"/>
        <v>1.978932943548152E-12</v>
      </c>
      <c r="BH102" s="62">
        <f t="shared" si="62"/>
        <v>293.3333333333353</v>
      </c>
      <c r="BI102" s="62">
        <f ca="1">AVERAGE(OFFSET($BH$3,0,0,'Données projet'!$E$11+1,1))-AVERAGE(OFFSET($H$3,0,0,'Données projet'!$E$11+1,1))</f>
        <v>149.5086927376081</v>
      </c>
      <c r="BJ102" s="62">
        <f t="shared" si="92"/>
        <v>364.59164590134498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13.596725826179888</v>
      </c>
      <c r="BQ102" s="23">
        <f>EXP(-LN(2)/25)*BQ101+(1-EXP(-LN(2)/25))/(LN(2)/25)*Calculateur!BL102*Calculateur!BN102*VLOOKUP('Données projet'!$B$11,Paramètres!$A$1:$I$89,3,0)*0.475*44/12</f>
        <v>6.4879034574329246</v>
      </c>
      <c r="BR102" s="23">
        <f>EXP(-LN(2)/2)*BR101+(1-EXP(-LN(2)/2))/(LN(2)/2)*BL102*BO102*VLOOKUP('Données projet'!$B$11,Paramètres!$A$1:$I$89,3,0)*0.475*44/12</f>
        <v>1.7931913740733756E-9</v>
      </c>
      <c r="BS102" s="24">
        <f t="shared" si="63"/>
        <v>20.084629285406006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160.22474733551678</v>
      </c>
      <c r="T103" s="62">
        <f t="shared" si="88"/>
        <v>272.72162271905523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3.4106051316484809E-13</v>
      </c>
      <c r="AJ103" s="14">
        <f>AI103*VLOOKUP('Données projet'!$B$10,Paramètres!$A$1:$I$89,3,0)*VLOOKUP('Données projet'!$B$10,Paramètres!$A$1:$I$89,5,0)</f>
        <v>1.9508661353029313E-13</v>
      </c>
      <c r="AK103" s="14">
        <f t="shared" si="89"/>
        <v>2.711421636700695E-12</v>
      </c>
      <c r="AL103" s="22">
        <f t="shared" si="58"/>
        <v>5.0621685358189711E-12</v>
      </c>
      <c r="AM103" s="62">
        <f t="shared" si="59"/>
        <v>293.33333333333837</v>
      </c>
      <c r="AN103" s="62">
        <f ca="1">AVERAGE(OFFSET($AM$3,0,0,'Données projet'!$E$10+1,1))-AVERAGE(OFFSET($H$3,0,0,'Données projet'!$E$10+1,1))</f>
        <v>227.80096215475777</v>
      </c>
      <c r="AO103" s="62">
        <f t="shared" si="90"/>
        <v>259.52807665663926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0.56649690597707181</v>
      </c>
      <c r="AW103" s="23">
        <f>EXP(-LN(2)/2)*AW102+(1-EXP(-LN(2)/2))/(LN(2)/2)*AQ103*AT103*VLOOKUP('Données projet'!$B$10,Paramètres!$A$1:$I$89,3,0)*0.475*44/12</f>
        <v>1.0188501562086916E-9</v>
      </c>
      <c r="AX103" s="23">
        <f t="shared" si="60"/>
        <v>0.56649690699592192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1.1368683772161603E-13</v>
      </c>
      <c r="BE103" s="14">
        <f>BD103*VLOOKUP('Données projet'!$B$11,Paramètres!$A$1:$I$89,3,0)*VLOOKUP('Données projet'!$B$11,Paramètres!$A$1:$I$89,5,0)</f>
        <v>6.7984728957526396E-14</v>
      </c>
      <c r="BF103" s="14">
        <f t="shared" si="91"/>
        <v>1.0682447123141398E-12</v>
      </c>
      <c r="BG103" s="22">
        <f t="shared" si="61"/>
        <v>1.978932943548152E-12</v>
      </c>
      <c r="BH103" s="62">
        <f t="shared" si="62"/>
        <v>293.3333333333353</v>
      </c>
      <c r="BI103" s="62">
        <f ca="1">AVERAGE(OFFSET($BH$3,0,0,'Données projet'!$E$11+1,1))-AVERAGE(OFFSET($H$3,0,0,'Données projet'!$E$11+1,1))</f>
        <v>149.5086927376081</v>
      </c>
      <c r="BJ103" s="62">
        <f t="shared" si="92"/>
        <v>364.59164590134498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13.330102325912371</v>
      </c>
      <c r="BQ103" s="23">
        <f>EXP(-LN(2)/25)*BQ102+(1-EXP(-LN(2)/25))/(LN(2)/25)*Calculateur!BL103*Calculateur!BN103*VLOOKUP('Données projet'!$B$11,Paramètres!$A$1:$I$89,3,0)*0.475*44/12</f>
        <v>6.310491396205407</v>
      </c>
      <c r="BR103" s="23">
        <f>EXP(-LN(2)/2)*BR102+(1-EXP(-LN(2)/2))/(LN(2)/2)*BL103*BO103*VLOOKUP('Données projet'!$B$11,Paramètres!$A$1:$I$89,3,0)*0.475*44/12</f>
        <v>1.267977780572507E-9</v>
      </c>
      <c r="BS103" s="24">
        <f t="shared" si="63"/>
        <v>19.640593723385756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160.22474733551678</v>
      </c>
      <c r="T104" s="62">
        <f t="shared" si="88"/>
        <v>272.72162271905523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3.4106051316484809E-13</v>
      </c>
      <c r="AJ104" s="14">
        <f>AI104*VLOOKUP('Données projet'!$B$10,Paramètres!$A$1:$I$89,3,0)*VLOOKUP('Données projet'!$B$10,Paramètres!$A$1:$I$89,5,0)</f>
        <v>1.9508661353029313E-13</v>
      </c>
      <c r="AK104" s="14">
        <f t="shared" si="89"/>
        <v>2.711421636700695E-12</v>
      </c>
      <c r="AL104" s="22">
        <f t="shared" si="58"/>
        <v>5.0621685358189711E-12</v>
      </c>
      <c r="AM104" s="62">
        <f t="shared" si="59"/>
        <v>293.33333333333837</v>
      </c>
      <c r="AN104" s="62">
        <f ca="1">AVERAGE(OFFSET($AM$3,0,0,'Données projet'!$E$10+1,1))-AVERAGE(OFFSET($H$3,0,0,'Données projet'!$E$10+1,1))</f>
        <v>227.80096215475777</v>
      </c>
      <c r="AO104" s="62">
        <f t="shared" si="90"/>
        <v>259.52807665663926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0.55100601829235119</v>
      </c>
      <c r="AW104" s="23">
        <f>EXP(-LN(2)/2)*AW103+(1-EXP(-LN(2)/2))/(LN(2)/2)*AQ104*AT104*VLOOKUP('Données projet'!$B$10,Paramètres!$A$1:$I$89,3,0)*0.475*44/12</f>
        <v>7.2043585446813909E-10</v>
      </c>
      <c r="AX104" s="23">
        <f t="shared" si="60"/>
        <v>0.55100601901278701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1.1368683772161603E-13</v>
      </c>
      <c r="BE104" s="14">
        <f>BD104*VLOOKUP('Données projet'!$B$11,Paramètres!$A$1:$I$89,3,0)*VLOOKUP('Données projet'!$B$11,Paramètres!$A$1:$I$89,5,0)</f>
        <v>6.7984728957526396E-14</v>
      </c>
      <c r="BF104" s="14">
        <f t="shared" si="91"/>
        <v>1.0682447123141398E-12</v>
      </c>
      <c r="BG104" s="22">
        <f t="shared" si="61"/>
        <v>1.978932943548152E-12</v>
      </c>
      <c r="BH104" s="62">
        <f t="shared" si="62"/>
        <v>293.3333333333353</v>
      </c>
      <c r="BI104" s="62">
        <f ca="1">AVERAGE(OFFSET($BH$3,0,0,'Données projet'!$E$11+1,1))-AVERAGE(OFFSET($H$3,0,0,'Données projet'!$E$11+1,1))</f>
        <v>149.5086927376081</v>
      </c>
      <c r="BJ104" s="62">
        <f t="shared" si="92"/>
        <v>364.59164590134498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13.068707149860822</v>
      </c>
      <c r="BQ104" s="23">
        <f>EXP(-LN(2)/25)*BQ103+(1-EXP(-LN(2)/25))/(LN(2)/25)*Calculateur!BL104*Calculateur!BN104*VLOOKUP('Données projet'!$B$11,Paramètres!$A$1:$I$89,3,0)*0.475*44/12</f>
        <v>6.13793067712185</v>
      </c>
      <c r="BR104" s="23">
        <f>EXP(-LN(2)/2)*BR103+(1-EXP(-LN(2)/2))/(LN(2)/2)*BL104*BO104*VLOOKUP('Données projet'!$B$11,Paramètres!$A$1:$I$89,3,0)*0.475*44/12</f>
        <v>8.9659568703668793E-10</v>
      </c>
      <c r="BS104" s="24">
        <f t="shared" si="63"/>
        <v>19.206637827879266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160.22474733551678</v>
      </c>
      <c r="T105" s="62">
        <f t="shared" si="88"/>
        <v>272.72162271905523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3.4106051316484809E-13</v>
      </c>
      <c r="AJ105" s="14">
        <f>AI105*VLOOKUP('Données projet'!$B$10,Paramètres!$A$1:$I$89,3,0)*VLOOKUP('Données projet'!$B$10,Paramètres!$A$1:$I$89,5,0)</f>
        <v>1.9508661353029313E-13</v>
      </c>
      <c r="AK105" s="14">
        <f t="shared" si="89"/>
        <v>2.711421636700695E-12</v>
      </c>
      <c r="AL105" s="22">
        <f t="shared" si="58"/>
        <v>5.0621685358189711E-12</v>
      </c>
      <c r="AM105" s="62">
        <f t="shared" si="59"/>
        <v>293.33333333333837</v>
      </c>
      <c r="AN105" s="62">
        <f ca="1">AVERAGE(OFFSET($AM$3,0,0,'Données projet'!$E$10+1,1))-AVERAGE(OFFSET($H$3,0,0,'Données projet'!$E$10+1,1))</f>
        <v>227.80096215475777</v>
      </c>
      <c r="AO105" s="62">
        <f t="shared" si="90"/>
        <v>259.52807665663926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0.53593872974599965</v>
      </c>
      <c r="AW105" s="23">
        <f>EXP(-LN(2)/2)*AW104+(1-EXP(-LN(2)/2))/(LN(2)/2)*AQ105*AT105*VLOOKUP('Données projet'!$B$10,Paramètres!$A$1:$I$89,3,0)*0.475*44/12</f>
        <v>5.0942507810434582E-10</v>
      </c>
      <c r="AX105" s="23">
        <f t="shared" si="60"/>
        <v>0.53593873025542471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1.1368683772161603E-13</v>
      </c>
      <c r="BE105" s="14">
        <f>BD105*VLOOKUP('Données projet'!$B$11,Paramètres!$A$1:$I$89,3,0)*VLOOKUP('Données projet'!$B$11,Paramètres!$A$1:$I$89,5,0)</f>
        <v>6.7984728957526396E-14</v>
      </c>
      <c r="BF105" s="14">
        <f t="shared" si="91"/>
        <v>1.0682447123141398E-12</v>
      </c>
      <c r="BG105" s="22">
        <f t="shared" si="61"/>
        <v>1.978932943548152E-12</v>
      </c>
      <c r="BH105" s="62">
        <f t="shared" si="62"/>
        <v>293.3333333333353</v>
      </c>
      <c r="BI105" s="62">
        <f ca="1">AVERAGE(OFFSET($BH$3,0,0,'Données projet'!$E$11+1,1))-AVERAGE(OFFSET($H$3,0,0,'Données projet'!$E$11+1,1))</f>
        <v>149.5086927376081</v>
      </c>
      <c r="BJ105" s="62">
        <f t="shared" si="92"/>
        <v>364.59164590134498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12.812437773776329</v>
      </c>
      <c r="BQ105" s="23">
        <f>EXP(-LN(2)/25)*BQ104+(1-EXP(-LN(2)/25))/(LN(2)/25)*Calculateur!BL105*Calculateur!BN105*VLOOKUP('Données projet'!$B$11,Paramètres!$A$1:$I$89,3,0)*0.475*44/12</f>
        <v>5.9700886399762068</v>
      </c>
      <c r="BR105" s="23">
        <f>EXP(-LN(2)/2)*BR104+(1-EXP(-LN(2)/2))/(LN(2)/2)*BL105*BO105*VLOOKUP('Données projet'!$B$11,Paramètres!$A$1:$I$89,3,0)*0.475*44/12</f>
        <v>6.3398889028625362E-10</v>
      </c>
      <c r="BS105" s="24">
        <f t="shared" si="63"/>
        <v>18.782526414386524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160.22474733551678</v>
      </c>
      <c r="T106" s="62">
        <f t="shared" si="88"/>
        <v>272.72162271905523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3.4106051316484809E-13</v>
      </c>
      <c r="AJ106" s="14">
        <f>AI106*VLOOKUP('Données projet'!$B$10,Paramètres!$A$1:$I$89,3,0)*VLOOKUP('Données projet'!$B$10,Paramètres!$A$1:$I$89,5,0)</f>
        <v>1.9508661353029313E-13</v>
      </c>
      <c r="AK106" s="14">
        <f t="shared" si="89"/>
        <v>2.711421636700695E-12</v>
      </c>
      <c r="AL106" s="22">
        <f t="shared" si="58"/>
        <v>5.0621685358189711E-12</v>
      </c>
      <c r="AM106" s="62">
        <f t="shared" si="59"/>
        <v>293.33333333333837</v>
      </c>
      <c r="AN106" s="62">
        <f ca="1">AVERAGE(OFFSET($AM$3,0,0,'Données projet'!$E$10+1,1))-AVERAGE(OFFSET($H$3,0,0,'Données projet'!$E$10+1,1))</f>
        <v>227.80096215475777</v>
      </c>
      <c r="AO106" s="62">
        <f t="shared" si="90"/>
        <v>259.52807665663926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0.52128345699730239</v>
      </c>
      <c r="AW106" s="23">
        <f>EXP(-LN(2)/2)*AW105+(1-EXP(-LN(2)/2))/(LN(2)/2)*AQ106*AT106*VLOOKUP('Données projet'!$B$10,Paramètres!$A$1:$I$89,3,0)*0.475*44/12</f>
        <v>3.6021792723406954E-10</v>
      </c>
      <c r="AX106" s="23">
        <f t="shared" si="60"/>
        <v>0.52128345735752035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1.1368683772161603E-13</v>
      </c>
      <c r="BE106" s="14">
        <f>BD106*VLOOKUP('Données projet'!$B$11,Paramètres!$A$1:$I$89,3,0)*VLOOKUP('Données projet'!$B$11,Paramètres!$A$1:$I$89,5,0)</f>
        <v>6.7984728957526396E-14</v>
      </c>
      <c r="BF106" s="14">
        <f t="shared" si="91"/>
        <v>1.0682447123141398E-12</v>
      </c>
      <c r="BG106" s="22">
        <f t="shared" si="61"/>
        <v>1.978932943548152E-12</v>
      </c>
      <c r="BH106" s="62">
        <f t="shared" si="62"/>
        <v>293.3333333333353</v>
      </c>
      <c r="BI106" s="62">
        <f ca="1">AVERAGE(OFFSET($BH$3,0,0,'Données projet'!$E$11+1,1))-AVERAGE(OFFSET($H$3,0,0,'Données projet'!$E$11+1,1))</f>
        <v>149.5086927376081</v>
      </c>
      <c r="BJ106" s="62">
        <f t="shared" si="92"/>
        <v>364.59164590134498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12.561193683847968</v>
      </c>
      <c r="BQ106" s="23">
        <f>EXP(-LN(2)/25)*BQ105+(1-EXP(-LN(2)/25))/(LN(2)/25)*Calculateur!BL106*Calculateur!BN106*VLOOKUP('Données projet'!$B$11,Paramètres!$A$1:$I$89,3,0)*0.475*44/12</f>
        <v>5.806836252162741</v>
      </c>
      <c r="BR106" s="23">
        <f>EXP(-LN(2)/2)*BR105+(1-EXP(-LN(2)/2))/(LN(2)/2)*BL106*BO106*VLOOKUP('Données projet'!$B$11,Paramètres!$A$1:$I$89,3,0)*0.475*44/12</f>
        <v>4.4829784351834407E-10</v>
      </c>
      <c r="BS106" s="24">
        <f t="shared" si="63"/>
        <v>18.368029936459006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160.22474733551678</v>
      </c>
      <c r="T107" s="62">
        <f t="shared" si="88"/>
        <v>272.72162271905523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3.4106051316484809E-13</v>
      </c>
      <c r="AJ107" s="14">
        <f>AI107*VLOOKUP('Données projet'!$B$10,Paramètres!$A$1:$I$89,3,0)*VLOOKUP('Données projet'!$B$10,Paramètres!$A$1:$I$89,5,0)</f>
        <v>1.9508661353029313E-13</v>
      </c>
      <c r="AK107" s="14">
        <f t="shared" si="89"/>
        <v>2.711421636700695E-12</v>
      </c>
      <c r="AL107" s="22">
        <f t="shared" si="58"/>
        <v>5.0621685358189711E-12</v>
      </c>
      <c r="AM107" s="62">
        <f t="shared" si="59"/>
        <v>293.33333333333837</v>
      </c>
      <c r="AN107" s="62">
        <f ca="1">AVERAGE(OFFSET($AM$3,0,0,'Données projet'!$E$10+1,1))-AVERAGE(OFFSET($H$3,0,0,'Données projet'!$E$10+1,1))</f>
        <v>227.80096215475777</v>
      </c>
      <c r="AO107" s="62">
        <f t="shared" si="90"/>
        <v>259.52807665663926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0.50702893345260558</v>
      </c>
      <c r="AW107" s="23">
        <f>EXP(-LN(2)/2)*AW106+(1-EXP(-LN(2)/2))/(LN(2)/2)*AQ107*AT107*VLOOKUP('Données projet'!$B$10,Paramètres!$A$1:$I$89,3,0)*0.475*44/12</f>
        <v>2.5471253905217291E-10</v>
      </c>
      <c r="AX107" s="23">
        <f t="shared" si="60"/>
        <v>0.50702893370731816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1.1368683772161603E-13</v>
      </c>
      <c r="BE107" s="14">
        <f>BD107*VLOOKUP('Données projet'!$B$11,Paramètres!$A$1:$I$89,3,0)*VLOOKUP('Données projet'!$B$11,Paramètres!$A$1:$I$89,5,0)</f>
        <v>6.7984728957526396E-14</v>
      </c>
      <c r="BF107" s="14">
        <f t="shared" si="91"/>
        <v>1.0682447123141398E-12</v>
      </c>
      <c r="BG107" s="22">
        <f t="shared" si="61"/>
        <v>1.978932943548152E-12</v>
      </c>
      <c r="BH107" s="62">
        <f t="shared" si="62"/>
        <v>293.3333333333353</v>
      </c>
      <c r="BI107" s="62">
        <f ca="1">AVERAGE(OFFSET($BH$3,0,0,'Données projet'!$E$11+1,1))-AVERAGE(OFFSET($H$3,0,0,'Données projet'!$E$11+1,1))</f>
        <v>149.5086927376081</v>
      </c>
      <c r="BJ107" s="62">
        <f t="shared" si="92"/>
        <v>364.59164590134498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12.314876337279339</v>
      </c>
      <c r="BQ107" s="23">
        <f>EXP(-LN(2)/25)*BQ106+(1-EXP(-LN(2)/25))/(LN(2)/25)*Calculateur!BL107*Calculateur!BN107*VLOOKUP('Données projet'!$B$11,Paramètres!$A$1:$I$89,3,0)*0.475*44/12</f>
        <v>5.6480480094791039</v>
      </c>
      <c r="BR107" s="23">
        <f>EXP(-LN(2)/2)*BR106+(1-EXP(-LN(2)/2))/(LN(2)/2)*BL107*BO107*VLOOKUP('Données projet'!$B$11,Paramètres!$A$1:$I$89,3,0)*0.475*44/12</f>
        <v>3.1699444514312686E-10</v>
      </c>
      <c r="BS107" s="24">
        <f t="shared" si="63"/>
        <v>17.962924347075436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160.22474733551678</v>
      </c>
      <c r="T108" s="62">
        <f t="shared" si="88"/>
        <v>272.72162271905523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3.4106051316484809E-13</v>
      </c>
      <c r="AJ108" s="14">
        <f>AI108*VLOOKUP('Données projet'!$B$10,Paramètres!$A$1:$I$89,3,0)*VLOOKUP('Données projet'!$B$10,Paramètres!$A$1:$I$89,5,0)</f>
        <v>1.9508661353029313E-13</v>
      </c>
      <c r="AK108" s="14">
        <f t="shared" si="89"/>
        <v>2.711421636700695E-12</v>
      </c>
      <c r="AL108" s="22">
        <f t="shared" si="58"/>
        <v>5.0621685358189711E-12</v>
      </c>
      <c r="AM108" s="62">
        <f t="shared" si="59"/>
        <v>293.33333333333837</v>
      </c>
      <c r="AN108" s="62">
        <f ca="1">AVERAGE(OFFSET($AM$3,0,0,'Données projet'!$E$10+1,1))-AVERAGE(OFFSET($H$3,0,0,'Données projet'!$E$10+1,1))</f>
        <v>227.80096215475777</v>
      </c>
      <c r="AO108" s="62">
        <f t="shared" si="90"/>
        <v>259.52807665663926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0.4931642006038513</v>
      </c>
      <c r="AW108" s="23">
        <f>EXP(-LN(2)/2)*AW107+(1-EXP(-LN(2)/2))/(LN(2)/2)*AQ108*AT108*VLOOKUP('Données projet'!$B$10,Paramètres!$A$1:$I$89,3,0)*0.475*44/12</f>
        <v>1.8010896361703477E-10</v>
      </c>
      <c r="AX108" s="23">
        <f t="shared" si="60"/>
        <v>0.49316420078396028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1.1368683772161603E-13</v>
      </c>
      <c r="BE108" s="14">
        <f>BD108*VLOOKUP('Données projet'!$B$11,Paramètres!$A$1:$I$89,3,0)*VLOOKUP('Données projet'!$B$11,Paramètres!$A$1:$I$89,5,0)</f>
        <v>6.7984728957526396E-14</v>
      </c>
      <c r="BF108" s="14">
        <f t="shared" si="91"/>
        <v>1.0682447123141398E-12</v>
      </c>
      <c r="BG108" s="22">
        <f t="shared" si="61"/>
        <v>1.978932943548152E-12</v>
      </c>
      <c r="BH108" s="62">
        <f t="shared" si="62"/>
        <v>293.3333333333353</v>
      </c>
      <c r="BI108" s="62">
        <f ca="1">AVERAGE(OFFSET($BH$3,0,0,'Données projet'!$E$11+1,1))-AVERAGE(OFFSET($H$3,0,0,'Données projet'!$E$11+1,1))</f>
        <v>149.5086927376081</v>
      </c>
      <c r="BJ108" s="62">
        <f t="shared" si="92"/>
        <v>364.59164590134498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12.073389123638174</v>
      </c>
      <c r="BQ108" s="23">
        <f>EXP(-LN(2)/25)*BQ107+(1-EXP(-LN(2)/25))/(LN(2)/25)*Calculateur!BL108*Calculateur!BN108*VLOOKUP('Données projet'!$B$11,Paramètres!$A$1:$I$89,3,0)*0.475*44/12</f>
        <v>5.4936018396419621</v>
      </c>
      <c r="BR108" s="23">
        <f>EXP(-LN(2)/2)*BR107+(1-EXP(-LN(2)/2))/(LN(2)/2)*BL108*BO108*VLOOKUP('Données projet'!$B$11,Paramètres!$A$1:$I$89,3,0)*0.475*44/12</f>
        <v>2.2414892175917206E-10</v>
      </c>
      <c r="BS108" s="24">
        <f t="shared" si="63"/>
        <v>17.566990963504285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160.22474733551678</v>
      </c>
      <c r="T109" s="62">
        <f t="shared" si="88"/>
        <v>272.72162271905523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3.4106051316484809E-13</v>
      </c>
      <c r="AJ109" s="14">
        <f>AI109*VLOOKUP('Données projet'!$B$10,Paramètres!$A$1:$I$89,3,0)*VLOOKUP('Données projet'!$B$10,Paramètres!$A$1:$I$89,5,0)</f>
        <v>1.9508661353029313E-13</v>
      </c>
      <c r="AK109" s="14">
        <f t="shared" si="89"/>
        <v>2.711421636700695E-12</v>
      </c>
      <c r="AL109" s="22">
        <f t="shared" si="58"/>
        <v>5.0621685358189711E-12</v>
      </c>
      <c r="AM109" s="62">
        <f t="shared" si="59"/>
        <v>293.33333333333837</v>
      </c>
      <c r="AN109" s="62">
        <f ca="1">AVERAGE(OFFSET($AM$3,0,0,'Données projet'!$E$10+1,1))-AVERAGE(OFFSET($H$3,0,0,'Données projet'!$E$10+1,1))</f>
        <v>227.80096215475777</v>
      </c>
      <c r="AO109" s="62">
        <f t="shared" si="90"/>
        <v>259.52807665663926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0.47967859960396081</v>
      </c>
      <c r="AW109" s="23">
        <f>EXP(-LN(2)/2)*AW108+(1-EXP(-LN(2)/2))/(LN(2)/2)*AQ109*AT109*VLOOKUP('Données projet'!$B$10,Paramètres!$A$1:$I$89,3,0)*0.475*44/12</f>
        <v>1.2735626952608645E-10</v>
      </c>
      <c r="AX109" s="23">
        <f t="shared" si="60"/>
        <v>0.4796785997313171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1.1368683772161603E-13</v>
      </c>
      <c r="BE109" s="14">
        <f>BD109*VLOOKUP('Données projet'!$B$11,Paramètres!$A$1:$I$89,3,0)*VLOOKUP('Données projet'!$B$11,Paramètres!$A$1:$I$89,5,0)</f>
        <v>6.7984728957526396E-14</v>
      </c>
      <c r="BF109" s="14">
        <f t="shared" si="91"/>
        <v>1.0682447123141398E-12</v>
      </c>
      <c r="BG109" s="22">
        <f t="shared" si="61"/>
        <v>1.978932943548152E-12</v>
      </c>
      <c r="BH109" s="62">
        <f t="shared" si="62"/>
        <v>293.3333333333353</v>
      </c>
      <c r="BI109" s="62">
        <f ca="1">AVERAGE(OFFSET($BH$3,0,0,'Données projet'!$E$11+1,1))-AVERAGE(OFFSET($H$3,0,0,'Données projet'!$E$11+1,1))</f>
        <v>149.5086927376081</v>
      </c>
      <c r="BJ109" s="62">
        <f t="shared" si="92"/>
        <v>364.59164590134498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11.836637326963857</v>
      </c>
      <c r="BQ109" s="23">
        <f>EXP(-LN(2)/25)*BQ108+(1-EXP(-LN(2)/25))/(LN(2)/25)*Calculateur!BL109*Calculateur!BN109*VLOOKUP('Données projet'!$B$11,Paramètres!$A$1:$I$89,3,0)*0.475*44/12</f>
        <v>5.343379008440988</v>
      </c>
      <c r="BR109" s="23">
        <f>EXP(-LN(2)/2)*BR108+(1-EXP(-LN(2)/2))/(LN(2)/2)*BL109*BO109*VLOOKUP('Données projet'!$B$11,Paramètres!$A$1:$I$89,3,0)*0.475*44/12</f>
        <v>1.5849722257156346E-10</v>
      </c>
      <c r="BS109" s="24">
        <f t="shared" si="63"/>
        <v>17.180016335563341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160.22474733551678</v>
      </c>
      <c r="T110" s="62">
        <f t="shared" si="88"/>
        <v>272.72162271905523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3.4106051316484809E-13</v>
      </c>
      <c r="AJ110" s="14">
        <f>AI110*VLOOKUP('Données projet'!$B$10,Paramètres!$A$1:$I$89,3,0)*VLOOKUP('Données projet'!$B$10,Paramètres!$A$1:$I$89,5,0)</f>
        <v>1.9508661353029313E-13</v>
      </c>
      <c r="AK110" s="14">
        <f t="shared" si="89"/>
        <v>2.711421636700695E-12</v>
      </c>
      <c r="AL110" s="22">
        <f t="shared" si="58"/>
        <v>5.0621685358189711E-12</v>
      </c>
      <c r="AM110" s="62">
        <f t="shared" si="59"/>
        <v>293.33333333333837</v>
      </c>
      <c r="AN110" s="62">
        <f ca="1">AVERAGE(OFFSET($AM$3,0,0,'Données projet'!$E$10+1,1))-AVERAGE(OFFSET($H$3,0,0,'Données projet'!$E$10+1,1))</f>
        <v>227.80096215475777</v>
      </c>
      <c r="AO110" s="62">
        <f t="shared" si="90"/>
        <v>259.52807665663926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0.46656176307258929</v>
      </c>
      <c r="AW110" s="23">
        <f>EXP(-LN(2)/2)*AW109+(1-EXP(-LN(2)/2))/(LN(2)/2)*AQ110*AT110*VLOOKUP('Données projet'!$B$10,Paramètres!$A$1:$I$89,3,0)*0.475*44/12</f>
        <v>9.0054481808517386E-11</v>
      </c>
      <c r="AX110" s="23">
        <f t="shared" si="60"/>
        <v>0.46656176316264375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1.1368683772161603E-13</v>
      </c>
      <c r="BE110" s="14">
        <f>BD110*VLOOKUP('Données projet'!$B$11,Paramètres!$A$1:$I$89,3,0)*VLOOKUP('Données projet'!$B$11,Paramètres!$A$1:$I$89,5,0)</f>
        <v>6.7984728957526396E-14</v>
      </c>
      <c r="BF110" s="14">
        <f t="shared" si="91"/>
        <v>1.0682447123141398E-12</v>
      </c>
      <c r="BG110" s="22">
        <f t="shared" si="61"/>
        <v>1.978932943548152E-12</v>
      </c>
      <c r="BH110" s="62">
        <f t="shared" si="62"/>
        <v>293.3333333333353</v>
      </c>
      <c r="BI110" s="62">
        <f ca="1">AVERAGE(OFFSET($BH$3,0,0,'Données projet'!$E$11+1,1))-AVERAGE(OFFSET($H$3,0,0,'Données projet'!$E$11+1,1))</f>
        <v>149.5086927376081</v>
      </c>
      <c r="BJ110" s="62">
        <f t="shared" si="92"/>
        <v>364.59164590134498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11.604528088617984</v>
      </c>
      <c r="BQ110" s="23">
        <f>EXP(-LN(2)/25)*BQ109+(1-EXP(-LN(2)/25))/(LN(2)/25)*Calculateur!BL110*Calculateur!BN110*VLOOKUP('Données projet'!$B$11,Paramètres!$A$1:$I$89,3,0)*0.475*44/12</f>
        <v>5.1972640284590792</v>
      </c>
      <c r="BR110" s="23">
        <f>EXP(-LN(2)/2)*BR109+(1-EXP(-LN(2)/2))/(LN(2)/2)*BL110*BO110*VLOOKUP('Données projet'!$B$11,Paramètres!$A$1:$I$89,3,0)*0.475*44/12</f>
        <v>1.1207446087958606E-10</v>
      </c>
      <c r="BS110" s="24">
        <f t="shared" si="63"/>
        <v>16.801792117189137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160.22474733551678</v>
      </c>
      <c r="T111" s="62">
        <f t="shared" si="88"/>
        <v>272.72162271905523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3.4106051316484809E-13</v>
      </c>
      <c r="AJ111" s="14">
        <f>AI111*VLOOKUP('Données projet'!$B$10,Paramètres!$A$1:$I$89,3,0)*VLOOKUP('Données projet'!$B$10,Paramètres!$A$1:$I$89,5,0)</f>
        <v>1.9508661353029313E-13</v>
      </c>
      <c r="AK111" s="14">
        <f t="shared" si="89"/>
        <v>2.711421636700695E-12</v>
      </c>
      <c r="AL111" s="22">
        <f t="shared" si="58"/>
        <v>5.0621685358189711E-12</v>
      </c>
      <c r="AM111" s="62">
        <f t="shared" si="59"/>
        <v>293.33333333333837</v>
      </c>
      <c r="AN111" s="62">
        <f ca="1">AVERAGE(OFFSET($AM$3,0,0,'Données projet'!$E$10+1,1))-AVERAGE(OFFSET($H$3,0,0,'Données projet'!$E$10+1,1))</f>
        <v>227.80096215475777</v>
      </c>
      <c r="AO111" s="62">
        <f t="shared" si="90"/>
        <v>259.52807665663926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0.45380360712595258</v>
      </c>
      <c r="AW111" s="23">
        <f>EXP(-LN(2)/2)*AW110+(1-EXP(-LN(2)/2))/(LN(2)/2)*AQ111*AT111*VLOOKUP('Données projet'!$B$10,Paramètres!$A$1:$I$89,3,0)*0.475*44/12</f>
        <v>6.3678134763043227E-11</v>
      </c>
      <c r="AX111" s="23">
        <f t="shared" si="60"/>
        <v>0.4538036071896307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1.1368683772161603E-13</v>
      </c>
      <c r="BE111" s="14">
        <f>BD111*VLOOKUP('Données projet'!$B$11,Paramètres!$A$1:$I$89,3,0)*VLOOKUP('Données projet'!$B$11,Paramètres!$A$1:$I$89,5,0)</f>
        <v>6.7984728957526396E-14</v>
      </c>
      <c r="BF111" s="14">
        <f t="shared" si="91"/>
        <v>1.0682447123141398E-12</v>
      </c>
      <c r="BG111" s="22">
        <f t="shared" si="61"/>
        <v>1.978932943548152E-12</v>
      </c>
      <c r="BH111" s="62">
        <f t="shared" si="62"/>
        <v>293.3333333333353</v>
      </c>
      <c r="BI111" s="62">
        <f ca="1">AVERAGE(OFFSET($BH$3,0,0,'Données projet'!$E$11+1,1))-AVERAGE(OFFSET($H$3,0,0,'Données projet'!$E$11+1,1))</f>
        <v>149.5086927376081</v>
      </c>
      <c r="BJ111" s="62">
        <f t="shared" si="92"/>
        <v>364.59164590134498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11.376970370863418</v>
      </c>
      <c r="BQ111" s="23">
        <f>EXP(-LN(2)/25)*BQ110+(1-EXP(-LN(2)/25))/(LN(2)/25)*Calculateur!BL111*Calculateur!BN111*VLOOKUP('Données projet'!$B$11,Paramètres!$A$1:$I$89,3,0)*0.475*44/12</f>
        <v>5.0551445702886291</v>
      </c>
      <c r="BR111" s="23">
        <f>EXP(-LN(2)/2)*BR110+(1-EXP(-LN(2)/2))/(LN(2)/2)*BL111*BO111*VLOOKUP('Données projet'!$B$11,Paramètres!$A$1:$I$89,3,0)*0.475*44/12</f>
        <v>7.9248611285781742E-11</v>
      </c>
      <c r="BS111" s="24">
        <f t="shared" si="63"/>
        <v>16.432114941231298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160.22474733551678</v>
      </c>
      <c r="T112" s="62">
        <f t="shared" si="88"/>
        <v>272.72162271905523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3.4106051316484809E-13</v>
      </c>
      <c r="AJ112" s="14">
        <f>AI112*VLOOKUP('Données projet'!$B$10,Paramètres!$A$1:$I$89,3,0)*VLOOKUP('Données projet'!$B$10,Paramètres!$A$1:$I$89,5,0)</f>
        <v>1.9508661353029313E-13</v>
      </c>
      <c r="AK112" s="14">
        <f t="shared" si="89"/>
        <v>2.711421636700695E-12</v>
      </c>
      <c r="AL112" s="22">
        <f t="shared" si="58"/>
        <v>5.0621685358189711E-12</v>
      </c>
      <c r="AM112" s="62">
        <f t="shared" si="59"/>
        <v>293.33333333333837</v>
      </c>
      <c r="AN112" s="62">
        <f ca="1">AVERAGE(OFFSET($AM$3,0,0,'Données projet'!$E$10+1,1))-AVERAGE(OFFSET($H$3,0,0,'Données projet'!$E$10+1,1))</f>
        <v>227.80096215475777</v>
      </c>
      <c r="AO112" s="62">
        <f t="shared" si="90"/>
        <v>259.52807665663926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0.44139432362459891</v>
      </c>
      <c r="AW112" s="23">
        <f>EXP(-LN(2)/2)*AW111+(1-EXP(-LN(2)/2))/(LN(2)/2)*AQ112*AT112*VLOOKUP('Données projet'!$B$10,Paramètres!$A$1:$I$89,3,0)*0.475*44/12</f>
        <v>4.5027240904258693E-11</v>
      </c>
      <c r="AX112" s="23">
        <f t="shared" si="60"/>
        <v>0.44139432366962617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1.1368683772161603E-13</v>
      </c>
      <c r="BE112" s="14">
        <f>BD112*VLOOKUP('Données projet'!$B$11,Paramètres!$A$1:$I$89,3,0)*VLOOKUP('Données projet'!$B$11,Paramètres!$A$1:$I$89,5,0)</f>
        <v>6.7984728957526396E-14</v>
      </c>
      <c r="BF112" s="14">
        <f t="shared" si="91"/>
        <v>1.0682447123141398E-12</v>
      </c>
      <c r="BG112" s="22">
        <f t="shared" si="61"/>
        <v>1.978932943548152E-12</v>
      </c>
      <c r="BH112" s="62">
        <f t="shared" si="62"/>
        <v>293.3333333333353</v>
      </c>
      <c r="BI112" s="62">
        <f ca="1">AVERAGE(OFFSET($BH$3,0,0,'Données projet'!$E$11+1,1))-AVERAGE(OFFSET($H$3,0,0,'Données projet'!$E$11+1,1))</f>
        <v>149.5086927376081</v>
      </c>
      <c r="BJ112" s="62">
        <f t="shared" si="92"/>
        <v>364.59164590134498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11.153874921157517</v>
      </c>
      <c r="BQ112" s="23">
        <f>EXP(-LN(2)/25)*BQ111+(1-EXP(-LN(2)/25))/(LN(2)/25)*Calculateur!BL112*Calculateur!BN112*VLOOKUP('Données projet'!$B$11,Paramètres!$A$1:$I$89,3,0)*0.475*44/12</f>
        <v>4.9169113761755874</v>
      </c>
      <c r="BR112" s="23">
        <f>EXP(-LN(2)/2)*BR111+(1-EXP(-LN(2)/2))/(LN(2)/2)*BL112*BO112*VLOOKUP('Données projet'!$B$11,Paramètres!$A$1:$I$89,3,0)*0.475*44/12</f>
        <v>5.6037230439793034E-11</v>
      </c>
      <c r="BS112" s="24">
        <f t="shared" si="63"/>
        <v>16.070786297389141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160.22474733551678</v>
      </c>
      <c r="T113" s="62">
        <f t="shared" si="88"/>
        <v>272.72162271905523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3.4106051316484809E-13</v>
      </c>
      <c r="AJ113" s="14">
        <f>AI113*VLOOKUP('Données projet'!$B$10,Paramètres!$A$1:$I$89,3,0)*VLOOKUP('Données projet'!$B$10,Paramètres!$A$1:$I$89,5,0)</f>
        <v>1.9508661353029313E-13</v>
      </c>
      <c r="AK113" s="14">
        <f t="shared" si="89"/>
        <v>2.711421636700695E-12</v>
      </c>
      <c r="AL113" s="22">
        <f t="shared" si="58"/>
        <v>5.0621685358189711E-12</v>
      </c>
      <c r="AM113" s="62">
        <f t="shared" si="59"/>
        <v>293.33333333333837</v>
      </c>
      <c r="AN113" s="62">
        <f ca="1">AVERAGE(OFFSET($AM$3,0,0,'Données projet'!$E$10+1,1))-AVERAGE(OFFSET($H$3,0,0,'Données projet'!$E$10+1,1))</f>
        <v>227.80096215475777</v>
      </c>
      <c r="AO113" s="62">
        <f t="shared" si="90"/>
        <v>259.52807665663926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0.42932437263316559</v>
      </c>
      <c r="AW113" s="23">
        <f>EXP(-LN(2)/2)*AW112+(1-EXP(-LN(2)/2))/(LN(2)/2)*AQ113*AT113*VLOOKUP('Données projet'!$B$10,Paramètres!$A$1:$I$89,3,0)*0.475*44/12</f>
        <v>3.1839067381521614E-11</v>
      </c>
      <c r="AX113" s="23">
        <f t="shared" si="60"/>
        <v>0.42932437266500467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1.1368683772161603E-13</v>
      </c>
      <c r="BE113" s="14">
        <f>BD113*VLOOKUP('Données projet'!$B$11,Paramètres!$A$1:$I$89,3,0)*VLOOKUP('Données projet'!$B$11,Paramètres!$A$1:$I$89,5,0)</f>
        <v>6.7984728957526396E-14</v>
      </c>
      <c r="BF113" s="14">
        <f t="shared" si="91"/>
        <v>1.0682447123141398E-12</v>
      </c>
      <c r="BG113" s="22">
        <f t="shared" si="61"/>
        <v>1.978932943548152E-12</v>
      </c>
      <c r="BH113" s="62">
        <f t="shared" si="62"/>
        <v>293.3333333333353</v>
      </c>
      <c r="BI113" s="62">
        <f ca="1">AVERAGE(OFFSET($BH$3,0,0,'Données projet'!$E$11+1,1))-AVERAGE(OFFSET($H$3,0,0,'Données projet'!$E$11+1,1))</f>
        <v>149.5086927376081</v>
      </c>
      <c r="BJ113" s="62">
        <f t="shared" si="92"/>
        <v>364.59164590134498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10.935154237145561</v>
      </c>
      <c r="BQ113" s="23">
        <f>EXP(-LN(2)/25)*BQ112+(1-EXP(-LN(2)/25))/(LN(2)/25)*Calculateur!BL113*Calculateur!BN113*VLOOKUP('Données projet'!$B$11,Paramètres!$A$1:$I$89,3,0)*0.475*44/12</f>
        <v>4.7824581760249343</v>
      </c>
      <c r="BR113" s="23">
        <f>EXP(-LN(2)/2)*BR112+(1-EXP(-LN(2)/2))/(LN(2)/2)*BL113*BO113*VLOOKUP('Données projet'!$B$11,Paramètres!$A$1:$I$89,3,0)*0.475*44/12</f>
        <v>3.9624305642890877E-11</v>
      </c>
      <c r="BS113" s="24">
        <f t="shared" si="63"/>
        <v>15.717612413210121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160.22474733551678</v>
      </c>
      <c r="T114" s="62">
        <f t="shared" si="88"/>
        <v>272.72162271905523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3.4106051316484809E-13</v>
      </c>
      <c r="AJ114" s="14">
        <f>AI114*VLOOKUP('Données projet'!$B$10,Paramètres!$A$1:$I$89,3,0)*VLOOKUP('Données projet'!$B$10,Paramètres!$A$1:$I$89,5,0)</f>
        <v>1.9508661353029313E-13</v>
      </c>
      <c r="AK114" s="14">
        <f t="shared" si="89"/>
        <v>2.711421636700695E-12</v>
      </c>
      <c r="AL114" s="22">
        <f t="shared" si="58"/>
        <v>5.0621685358189711E-12</v>
      </c>
      <c r="AM114" s="62">
        <f t="shared" si="59"/>
        <v>293.33333333333837</v>
      </c>
      <c r="AN114" s="62">
        <f ca="1">AVERAGE(OFFSET($AM$3,0,0,'Données projet'!$E$10+1,1))-AVERAGE(OFFSET($H$3,0,0,'Données projet'!$E$10+1,1))</f>
        <v>227.80096215475777</v>
      </c>
      <c r="AO114" s="62">
        <f t="shared" si="90"/>
        <v>259.52807665663926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0.41758447508632413</v>
      </c>
      <c r="AW114" s="23">
        <f>EXP(-LN(2)/2)*AW113+(1-EXP(-LN(2)/2))/(LN(2)/2)*AQ114*AT114*VLOOKUP('Données projet'!$B$10,Paramètres!$A$1:$I$89,3,0)*0.475*44/12</f>
        <v>2.2513620452129346E-11</v>
      </c>
      <c r="AX114" s="23">
        <f t="shared" si="60"/>
        <v>0.41758447510883773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1.1368683772161603E-13</v>
      </c>
      <c r="BE114" s="14">
        <f>BD114*VLOOKUP('Données projet'!$B$11,Paramètres!$A$1:$I$89,3,0)*VLOOKUP('Données projet'!$B$11,Paramètres!$A$1:$I$89,5,0)</f>
        <v>6.7984728957526396E-14</v>
      </c>
      <c r="BF114" s="14">
        <f t="shared" si="91"/>
        <v>1.0682447123141398E-12</v>
      </c>
      <c r="BG114" s="22">
        <f t="shared" si="61"/>
        <v>1.978932943548152E-12</v>
      </c>
      <c r="BH114" s="62">
        <f t="shared" si="62"/>
        <v>293.3333333333353</v>
      </c>
      <c r="BI114" s="62">
        <f ca="1">AVERAGE(OFFSET($BH$3,0,0,'Données projet'!$E$11+1,1))-AVERAGE(OFFSET($H$3,0,0,'Données projet'!$E$11+1,1))</f>
        <v>149.5086927376081</v>
      </c>
      <c r="BJ114" s="62">
        <f t="shared" si="92"/>
        <v>364.59164590134498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10.720722532340634</v>
      </c>
      <c r="BQ114" s="23">
        <f>EXP(-LN(2)/25)*BQ113+(1-EXP(-LN(2)/25))/(LN(2)/25)*Calculateur!BL114*Calculateur!BN114*VLOOKUP('Données projet'!$B$11,Paramètres!$A$1:$I$89,3,0)*0.475*44/12</f>
        <v>4.6516816057029873</v>
      </c>
      <c r="BR114" s="23">
        <f>EXP(-LN(2)/2)*BR113+(1-EXP(-LN(2)/2))/(LN(2)/2)*BL114*BO114*VLOOKUP('Données projet'!$B$11,Paramètres!$A$1:$I$89,3,0)*0.475*44/12</f>
        <v>2.801861521989652E-11</v>
      </c>
      <c r="BS114" s="24">
        <f t="shared" si="63"/>
        <v>15.372404138071639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160.22474733551678</v>
      </c>
      <c r="T115" s="62">
        <f t="shared" si="88"/>
        <v>272.72162271905523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3.4106051316484809E-13</v>
      </c>
      <c r="AJ115" s="14">
        <f>AI115*VLOOKUP('Données projet'!$B$10,Paramètres!$A$1:$I$89,3,0)*VLOOKUP('Données projet'!$B$10,Paramètres!$A$1:$I$89,5,0)</f>
        <v>1.9508661353029313E-13</v>
      </c>
      <c r="AK115" s="14">
        <f t="shared" si="89"/>
        <v>2.711421636700695E-12</v>
      </c>
      <c r="AL115" s="22">
        <f t="shared" si="58"/>
        <v>5.0621685358189711E-12</v>
      </c>
      <c r="AM115" s="62">
        <f t="shared" si="59"/>
        <v>293.33333333333837</v>
      </c>
      <c r="AN115" s="62">
        <f ca="1">AVERAGE(OFFSET($AM$3,0,0,'Données projet'!$E$10+1,1))-AVERAGE(OFFSET($H$3,0,0,'Données projet'!$E$10+1,1))</f>
        <v>227.80096215475777</v>
      </c>
      <c r="AO115" s="62">
        <f t="shared" si="90"/>
        <v>259.52807665663926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0.40616560565527543</v>
      </c>
      <c r="AW115" s="23">
        <f>EXP(-LN(2)/2)*AW114+(1-EXP(-LN(2)/2))/(LN(2)/2)*AQ115*AT115*VLOOKUP('Données projet'!$B$10,Paramètres!$A$1:$I$89,3,0)*0.475*44/12</f>
        <v>1.5919533690760807E-11</v>
      </c>
      <c r="AX115" s="23">
        <f t="shared" si="60"/>
        <v>0.40616560567119497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1.1368683772161603E-13</v>
      </c>
      <c r="BE115" s="14">
        <f>BD115*VLOOKUP('Données projet'!$B$11,Paramètres!$A$1:$I$89,3,0)*VLOOKUP('Données projet'!$B$11,Paramètres!$A$1:$I$89,5,0)</f>
        <v>6.7984728957526396E-14</v>
      </c>
      <c r="BF115" s="14">
        <f t="shared" si="91"/>
        <v>1.0682447123141398E-12</v>
      </c>
      <c r="BG115" s="22">
        <f t="shared" si="61"/>
        <v>1.978932943548152E-12</v>
      </c>
      <c r="BH115" s="62">
        <f t="shared" si="62"/>
        <v>293.3333333333353</v>
      </c>
      <c r="BI115" s="62">
        <f ca="1">AVERAGE(OFFSET($BH$3,0,0,'Données projet'!$E$11+1,1))-AVERAGE(OFFSET($H$3,0,0,'Données projet'!$E$11+1,1))</f>
        <v>149.5086927376081</v>
      </c>
      <c r="BJ115" s="62">
        <f t="shared" si="92"/>
        <v>364.59164590134498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10.510495702476506</v>
      </c>
      <c r="BQ115" s="23">
        <f>EXP(-LN(2)/25)*BQ114+(1-EXP(-LN(2)/25))/(LN(2)/25)*Calculateur!BL115*Calculateur!BN115*VLOOKUP('Données projet'!$B$11,Paramètres!$A$1:$I$89,3,0)*0.475*44/12</f>
        <v>4.5244811275737353</v>
      </c>
      <c r="BR115" s="23">
        <f>EXP(-LN(2)/2)*BR114+(1-EXP(-LN(2)/2))/(LN(2)/2)*BL115*BO115*VLOOKUP('Données projet'!$B$11,Paramètres!$A$1:$I$89,3,0)*0.475*44/12</f>
        <v>1.9812152821445439E-11</v>
      </c>
      <c r="BS115" s="24">
        <f t="shared" si="63"/>
        <v>15.034976830070052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160.22474733551678</v>
      </c>
      <c r="T116" s="62">
        <f t="shared" si="88"/>
        <v>272.72162271905523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3.4106051316484809E-13</v>
      </c>
      <c r="AJ116" s="14">
        <f>AI116*VLOOKUP('Données projet'!$B$10,Paramètres!$A$1:$I$89,3,0)*VLOOKUP('Données projet'!$B$10,Paramètres!$A$1:$I$89,5,0)</f>
        <v>1.9508661353029313E-13</v>
      </c>
      <c r="AK116" s="14">
        <f t="shared" si="89"/>
        <v>2.711421636700695E-12</v>
      </c>
      <c r="AL116" s="22">
        <f t="shared" si="58"/>
        <v>5.0621685358189711E-12</v>
      </c>
      <c r="AM116" s="62">
        <f t="shared" si="59"/>
        <v>293.33333333333837</v>
      </c>
      <c r="AN116" s="62">
        <f ca="1">AVERAGE(OFFSET($AM$3,0,0,'Données projet'!$E$10+1,1))-AVERAGE(OFFSET($H$3,0,0,'Données projet'!$E$10+1,1))</f>
        <v>227.80096215475777</v>
      </c>
      <c r="AO116" s="62">
        <f t="shared" si="90"/>
        <v>259.52807665663926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0.39505898580931104</v>
      </c>
      <c r="AW116" s="23">
        <f>EXP(-LN(2)/2)*AW115+(1-EXP(-LN(2)/2))/(LN(2)/2)*AQ116*AT116*VLOOKUP('Données projet'!$B$10,Paramètres!$A$1:$I$89,3,0)*0.475*44/12</f>
        <v>1.1256810226064673E-11</v>
      </c>
      <c r="AX116" s="23">
        <f t="shared" si="60"/>
        <v>0.39505898582056787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1.1368683772161603E-13</v>
      </c>
      <c r="BE116" s="14">
        <f>BD116*VLOOKUP('Données projet'!$B$11,Paramètres!$A$1:$I$89,3,0)*VLOOKUP('Données projet'!$B$11,Paramètres!$A$1:$I$89,5,0)</f>
        <v>6.7984728957526396E-14</v>
      </c>
      <c r="BF116" s="14">
        <f t="shared" si="91"/>
        <v>1.0682447123141398E-12</v>
      </c>
      <c r="BG116" s="22">
        <f t="shared" si="61"/>
        <v>1.978932943548152E-12</v>
      </c>
      <c r="BH116" s="62">
        <f t="shared" si="62"/>
        <v>293.3333333333353</v>
      </c>
      <c r="BI116" s="62">
        <f ca="1">AVERAGE(OFFSET($BH$3,0,0,'Données projet'!$E$11+1,1))-AVERAGE(OFFSET($H$3,0,0,'Données projet'!$E$11+1,1))</f>
        <v>149.5086927376081</v>
      </c>
      <c r="BJ116" s="62">
        <f t="shared" si="92"/>
        <v>364.59164590134498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10.304391292520309</v>
      </c>
      <c r="BQ116" s="23">
        <f>EXP(-LN(2)/25)*BQ115+(1-EXP(-LN(2)/25))/(LN(2)/25)*Calculateur!BL116*Calculateur!BN116*VLOOKUP('Données projet'!$B$11,Paramètres!$A$1:$I$89,3,0)*0.475*44/12</f>
        <v>4.4007589532081095</v>
      </c>
      <c r="BR116" s="23">
        <f>EXP(-LN(2)/2)*BR115+(1-EXP(-LN(2)/2))/(LN(2)/2)*BL116*BO116*VLOOKUP('Données projet'!$B$11,Paramètres!$A$1:$I$89,3,0)*0.475*44/12</f>
        <v>1.400930760994826E-11</v>
      </c>
      <c r="BS116" s="24">
        <f t="shared" si="63"/>
        <v>14.705150245742429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160.22474733551678</v>
      </c>
      <c r="T117" s="62">
        <f t="shared" si="88"/>
        <v>272.72162271905523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3.4106051316484809E-13</v>
      </c>
      <c r="AJ117" s="14">
        <f>AI117*VLOOKUP('Données projet'!$B$10,Paramètres!$A$1:$I$89,3,0)*VLOOKUP('Données projet'!$B$10,Paramètres!$A$1:$I$89,5,0)</f>
        <v>1.9508661353029313E-13</v>
      </c>
      <c r="AK117" s="14">
        <f t="shared" si="89"/>
        <v>2.711421636700695E-12</v>
      </c>
      <c r="AL117" s="22">
        <f t="shared" si="58"/>
        <v>5.0621685358189711E-12</v>
      </c>
      <c r="AM117" s="62">
        <f t="shared" si="59"/>
        <v>293.33333333333837</v>
      </c>
      <c r="AN117" s="62">
        <f ca="1">AVERAGE(OFFSET($AM$3,0,0,'Données projet'!$E$10+1,1))-AVERAGE(OFFSET($H$3,0,0,'Données projet'!$E$10+1,1))</f>
        <v>227.80096215475777</v>
      </c>
      <c r="AO117" s="62">
        <f t="shared" si="90"/>
        <v>259.52807665663926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0.38425607706710629</v>
      </c>
      <c r="AW117" s="23">
        <f>EXP(-LN(2)/2)*AW116+(1-EXP(-LN(2)/2))/(LN(2)/2)*AQ117*AT117*VLOOKUP('Données projet'!$B$10,Paramètres!$A$1:$I$89,3,0)*0.475*44/12</f>
        <v>7.9597668453804034E-12</v>
      </c>
      <c r="AX117" s="23">
        <f t="shared" si="60"/>
        <v>0.38425607707506604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1.1368683772161603E-13</v>
      </c>
      <c r="BE117" s="14">
        <f>BD117*VLOOKUP('Données projet'!$B$11,Paramètres!$A$1:$I$89,3,0)*VLOOKUP('Données projet'!$B$11,Paramètres!$A$1:$I$89,5,0)</f>
        <v>6.7984728957526396E-14</v>
      </c>
      <c r="BF117" s="14">
        <f t="shared" si="91"/>
        <v>1.0682447123141398E-12</v>
      </c>
      <c r="BG117" s="22">
        <f t="shared" si="61"/>
        <v>1.978932943548152E-12</v>
      </c>
      <c r="BH117" s="62">
        <f t="shared" si="62"/>
        <v>293.3333333333353</v>
      </c>
      <c r="BI117" s="62">
        <f ca="1">AVERAGE(OFFSET($BH$3,0,0,'Données projet'!$E$11+1,1))-AVERAGE(OFFSET($H$3,0,0,'Données projet'!$E$11+1,1))</f>
        <v>149.5086927376081</v>
      </c>
      <c r="BJ117" s="62">
        <f t="shared" si="92"/>
        <v>364.59164590134498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10.102328464332077</v>
      </c>
      <c r="BQ117" s="23">
        <f>EXP(-LN(2)/25)*BQ116+(1-EXP(-LN(2)/25))/(LN(2)/25)*Calculateur!BL117*Calculateur!BN117*VLOOKUP('Données projet'!$B$11,Paramètres!$A$1:$I$89,3,0)*0.475*44/12</f>
        <v>4.2804199682067781</v>
      </c>
      <c r="BR117" s="23">
        <f>EXP(-LN(2)/2)*BR116+(1-EXP(-LN(2)/2))/(LN(2)/2)*BL117*BO117*VLOOKUP('Données projet'!$B$11,Paramètres!$A$1:$I$89,3,0)*0.475*44/12</f>
        <v>9.9060764107227193E-12</v>
      </c>
      <c r="BS117" s="24">
        <f t="shared" si="63"/>
        <v>14.382748432548761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160.22474733551678</v>
      </c>
      <c r="T118" s="62">
        <f t="shared" si="88"/>
        <v>272.72162271905523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3.4106051316484809E-13</v>
      </c>
      <c r="AJ118" s="14">
        <f>AI118*VLOOKUP('Données projet'!$B$10,Paramètres!$A$1:$I$89,3,0)*VLOOKUP('Données projet'!$B$10,Paramètres!$A$1:$I$89,5,0)</f>
        <v>1.9508661353029313E-13</v>
      </c>
      <c r="AK118" s="14">
        <f t="shared" si="89"/>
        <v>2.711421636700695E-12</v>
      </c>
      <c r="AL118" s="22">
        <f t="shared" si="58"/>
        <v>5.0621685358189711E-12</v>
      </c>
      <c r="AM118" s="62">
        <f t="shared" si="59"/>
        <v>293.33333333333837</v>
      </c>
      <c r="AN118" s="62">
        <f ca="1">AVERAGE(OFFSET($AM$3,0,0,'Données projet'!$E$10+1,1))-AVERAGE(OFFSET($H$3,0,0,'Données projet'!$E$10+1,1))</f>
        <v>227.80096215475777</v>
      </c>
      <c r="AO118" s="62">
        <f t="shared" si="90"/>
        <v>259.52807665663926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0.37374857443255743</v>
      </c>
      <c r="AW118" s="23">
        <f>EXP(-LN(2)/2)*AW117+(1-EXP(-LN(2)/2))/(LN(2)/2)*AQ118*AT118*VLOOKUP('Données projet'!$B$10,Paramètres!$A$1:$I$89,3,0)*0.475*44/12</f>
        <v>5.6284051130323366E-12</v>
      </c>
      <c r="AX118" s="23">
        <f t="shared" si="60"/>
        <v>0.37374857443818582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1.1368683772161603E-13</v>
      </c>
      <c r="BE118" s="14">
        <f>BD118*VLOOKUP('Données projet'!$B$11,Paramètres!$A$1:$I$89,3,0)*VLOOKUP('Données projet'!$B$11,Paramètres!$A$1:$I$89,5,0)</f>
        <v>6.7984728957526396E-14</v>
      </c>
      <c r="BF118" s="14">
        <f t="shared" si="91"/>
        <v>1.0682447123141398E-12</v>
      </c>
      <c r="BG118" s="22">
        <f t="shared" si="61"/>
        <v>1.978932943548152E-12</v>
      </c>
      <c r="BH118" s="62">
        <f t="shared" si="62"/>
        <v>293.3333333333353</v>
      </c>
      <c r="BI118" s="62">
        <f ca="1">AVERAGE(OFFSET($BH$3,0,0,'Données projet'!$E$11+1,1))-AVERAGE(OFFSET($H$3,0,0,'Données projet'!$E$11+1,1))</f>
        <v>149.5086927376081</v>
      </c>
      <c r="BJ118" s="62">
        <f t="shared" si="92"/>
        <v>364.59164590134498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9.9042279649584604</v>
      </c>
      <c r="BQ118" s="23">
        <f>EXP(-LN(2)/25)*BQ117+(1-EXP(-LN(2)/25))/(LN(2)/25)*Calculateur!BL118*Calculateur!BN118*VLOOKUP('Données projet'!$B$11,Paramètres!$A$1:$I$89,3,0)*0.475*44/12</f>
        <v>4.1633716590786607</v>
      </c>
      <c r="BR118" s="23">
        <f>EXP(-LN(2)/2)*BR117+(1-EXP(-LN(2)/2))/(LN(2)/2)*BL118*BO118*VLOOKUP('Données projet'!$B$11,Paramètres!$A$1:$I$89,3,0)*0.475*44/12</f>
        <v>7.0046538049741301E-12</v>
      </c>
      <c r="BS118" s="24">
        <f t="shared" si="63"/>
        <v>14.067599624044126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160.22474733551678</v>
      </c>
      <c r="T119" s="62">
        <f t="shared" si="88"/>
        <v>272.72162271905523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3.4106051316484809E-13</v>
      </c>
      <c r="AJ119" s="14">
        <f>AI119*VLOOKUP('Données projet'!$B$10,Paramètres!$A$1:$I$89,3,0)*VLOOKUP('Données projet'!$B$10,Paramètres!$A$1:$I$89,5,0)</f>
        <v>1.9508661353029313E-13</v>
      </c>
      <c r="AK119" s="14">
        <f t="shared" si="89"/>
        <v>2.711421636700695E-12</v>
      </c>
      <c r="AL119" s="22">
        <f t="shared" si="58"/>
        <v>5.0621685358189711E-12</v>
      </c>
      <c r="AM119" s="62">
        <f t="shared" si="59"/>
        <v>293.33333333333837</v>
      </c>
      <c r="AN119" s="62">
        <f ca="1">AVERAGE(OFFSET($AM$3,0,0,'Données projet'!$E$10+1,1))-AVERAGE(OFFSET($H$3,0,0,'Données projet'!$E$10+1,1))</f>
        <v>227.80096215475777</v>
      </c>
      <c r="AO119" s="62">
        <f t="shared" si="90"/>
        <v>259.52807665663926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0.36352840001011583</v>
      </c>
      <c r="AW119" s="23">
        <f>EXP(-LN(2)/2)*AW118+(1-EXP(-LN(2)/2))/(LN(2)/2)*AQ119*AT119*VLOOKUP('Données projet'!$B$10,Paramètres!$A$1:$I$89,3,0)*0.475*44/12</f>
        <v>3.9798834226902017E-12</v>
      </c>
      <c r="AX119" s="23">
        <f t="shared" si="60"/>
        <v>0.3635284000140957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1.1368683772161603E-13</v>
      </c>
      <c r="BE119" s="14">
        <f>BD119*VLOOKUP('Données projet'!$B$11,Paramètres!$A$1:$I$89,3,0)*VLOOKUP('Données projet'!$B$11,Paramètres!$A$1:$I$89,5,0)</f>
        <v>6.7984728957526396E-14</v>
      </c>
      <c r="BF119" s="14">
        <f t="shared" si="91"/>
        <v>1.0682447123141398E-12</v>
      </c>
      <c r="BG119" s="22">
        <f t="shared" si="61"/>
        <v>1.978932943548152E-12</v>
      </c>
      <c r="BH119" s="62">
        <f t="shared" si="62"/>
        <v>293.3333333333353</v>
      </c>
      <c r="BI119" s="62">
        <f ca="1">AVERAGE(OFFSET($BH$3,0,0,'Données projet'!$E$11+1,1))-AVERAGE(OFFSET($H$3,0,0,'Données projet'!$E$11+1,1))</f>
        <v>149.5086927376081</v>
      </c>
      <c r="BJ119" s="62">
        <f t="shared" si="92"/>
        <v>364.59164590134498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9.7100120955481852</v>
      </c>
      <c r="BQ119" s="23">
        <f>EXP(-LN(2)/25)*BQ118+(1-EXP(-LN(2)/25))/(LN(2)/25)*Calculateur!BL119*Calculateur!BN119*VLOOKUP('Données projet'!$B$11,Paramètres!$A$1:$I$89,3,0)*0.475*44/12</f>
        <v>4.0495240421189544</v>
      </c>
      <c r="BR119" s="23">
        <f>EXP(-LN(2)/2)*BR118+(1-EXP(-LN(2)/2))/(LN(2)/2)*BL119*BO119*VLOOKUP('Données projet'!$B$11,Paramètres!$A$1:$I$89,3,0)*0.475*44/12</f>
        <v>4.9530382053613597E-12</v>
      </c>
      <c r="BS119" s="24">
        <f t="shared" si="63"/>
        <v>13.759536137672093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160.22474733551678</v>
      </c>
      <c r="T120" s="62">
        <f t="shared" si="88"/>
        <v>272.72162271905523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3.4106051316484809E-13</v>
      </c>
      <c r="AJ120" s="14">
        <f>AI120*VLOOKUP('Données projet'!$B$10,Paramètres!$A$1:$I$89,3,0)*VLOOKUP('Données projet'!$B$10,Paramètres!$A$1:$I$89,5,0)</f>
        <v>1.9508661353029313E-13</v>
      </c>
      <c r="AK120" s="14">
        <f t="shared" si="89"/>
        <v>2.711421636700695E-12</v>
      </c>
      <c r="AL120" s="22">
        <f t="shared" si="58"/>
        <v>5.0621685358189711E-12</v>
      </c>
      <c r="AM120" s="62">
        <f t="shared" si="59"/>
        <v>293.33333333333837</v>
      </c>
      <c r="AN120" s="62">
        <f ca="1">AVERAGE(OFFSET($AM$3,0,0,'Données projet'!$E$10+1,1))-AVERAGE(OFFSET($H$3,0,0,'Données projet'!$E$10+1,1))</f>
        <v>227.80096215475777</v>
      </c>
      <c r="AO120" s="62">
        <f t="shared" si="90"/>
        <v>259.52807665663926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0.35358769679471153</v>
      </c>
      <c r="AW120" s="23">
        <f>EXP(-LN(2)/2)*AW119+(1-EXP(-LN(2)/2))/(LN(2)/2)*AQ120*AT120*VLOOKUP('Données projet'!$B$10,Paramètres!$A$1:$I$89,3,0)*0.475*44/12</f>
        <v>2.8142025565161683E-12</v>
      </c>
      <c r="AX120" s="23">
        <f t="shared" si="60"/>
        <v>0.35358769679752572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1.1368683772161603E-13</v>
      </c>
      <c r="BE120" s="14">
        <f>BD120*VLOOKUP('Données projet'!$B$11,Paramètres!$A$1:$I$89,3,0)*VLOOKUP('Données projet'!$B$11,Paramètres!$A$1:$I$89,5,0)</f>
        <v>6.7984728957526396E-14</v>
      </c>
      <c r="BF120" s="14">
        <f t="shared" si="91"/>
        <v>1.0682447123141398E-12</v>
      </c>
      <c r="BG120" s="22">
        <f t="shared" si="61"/>
        <v>1.978932943548152E-12</v>
      </c>
      <c r="BH120" s="62">
        <f t="shared" si="62"/>
        <v>293.3333333333353</v>
      </c>
      <c r="BI120" s="62">
        <f ca="1">AVERAGE(OFFSET($BH$3,0,0,'Données projet'!$E$11+1,1))-AVERAGE(OFFSET($H$3,0,0,'Données projet'!$E$11+1,1))</f>
        <v>149.5086927376081</v>
      </c>
      <c r="BJ120" s="62">
        <f t="shared" si="92"/>
        <v>364.59164590134498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9.5196046808770625</v>
      </c>
      <c r="BQ120" s="23">
        <f>EXP(-LN(2)/25)*BQ119+(1-EXP(-LN(2)/25))/(LN(2)/25)*Calculateur!BL120*Calculateur!BN120*VLOOKUP('Données projet'!$B$11,Paramètres!$A$1:$I$89,3,0)*0.475*44/12</f>
        <v>3.9387895942319977</v>
      </c>
      <c r="BR120" s="23">
        <f>EXP(-LN(2)/2)*BR119+(1-EXP(-LN(2)/2))/(LN(2)/2)*BL120*BO120*VLOOKUP('Données projet'!$B$11,Paramètres!$A$1:$I$89,3,0)*0.475*44/12</f>
        <v>3.502326902487065E-12</v>
      </c>
      <c r="BS120" s="24">
        <f t="shared" si="63"/>
        <v>13.458394275112564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160.22474733551678</v>
      </c>
      <c r="T121" s="62">
        <f t="shared" si="88"/>
        <v>272.72162271905523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3.4106051316484809E-13</v>
      </c>
      <c r="AJ121" s="14">
        <f>AI121*VLOOKUP('Données projet'!$B$10,Paramètres!$A$1:$I$89,3,0)*VLOOKUP('Données projet'!$B$10,Paramètres!$A$1:$I$89,5,0)</f>
        <v>1.9508661353029313E-13</v>
      </c>
      <c r="AK121" s="14">
        <f t="shared" si="89"/>
        <v>2.711421636700695E-12</v>
      </c>
      <c r="AL121" s="22">
        <f t="shared" si="58"/>
        <v>5.0621685358189711E-12</v>
      </c>
      <c r="AM121" s="62">
        <f t="shared" si="59"/>
        <v>293.33333333333837</v>
      </c>
      <c r="AN121" s="62">
        <f ca="1">AVERAGE(OFFSET($AM$3,0,0,'Données projet'!$E$10+1,1))-AVERAGE(OFFSET($H$3,0,0,'Données projet'!$E$10+1,1))</f>
        <v>227.80096215475777</v>
      </c>
      <c r="AO121" s="62">
        <f t="shared" si="90"/>
        <v>259.52807665663926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0.34391882263149132</v>
      </c>
      <c r="AW121" s="23">
        <f>EXP(-LN(2)/2)*AW120+(1-EXP(-LN(2)/2))/(LN(2)/2)*AQ121*AT121*VLOOKUP('Données projet'!$B$10,Paramètres!$A$1:$I$89,3,0)*0.475*44/12</f>
        <v>1.9899417113451008E-12</v>
      </c>
      <c r="AX121" s="23">
        <f t="shared" si="60"/>
        <v>0.34391882263348128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1.1368683772161603E-13</v>
      </c>
      <c r="BE121" s="14">
        <f>BD121*VLOOKUP('Données projet'!$B$11,Paramètres!$A$1:$I$89,3,0)*VLOOKUP('Données projet'!$B$11,Paramètres!$A$1:$I$89,5,0)</f>
        <v>6.7984728957526396E-14</v>
      </c>
      <c r="BF121" s="14">
        <f t="shared" si="91"/>
        <v>1.0682447123141398E-12</v>
      </c>
      <c r="BG121" s="22">
        <f t="shared" si="61"/>
        <v>1.978932943548152E-12</v>
      </c>
      <c r="BH121" s="62">
        <f t="shared" si="62"/>
        <v>293.3333333333353</v>
      </c>
      <c r="BI121" s="62">
        <f ca="1">AVERAGE(OFFSET($BH$3,0,0,'Données projet'!$E$11+1,1))-AVERAGE(OFFSET($H$3,0,0,'Données projet'!$E$11+1,1))</f>
        <v>149.5086927376081</v>
      </c>
      <c r="BJ121" s="62">
        <f t="shared" si="92"/>
        <v>364.59164590134498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9.3329310394705853</v>
      </c>
      <c r="BQ121" s="23">
        <f>EXP(-LN(2)/25)*BQ120+(1-EXP(-LN(2)/25))/(LN(2)/25)*Calculateur!BL121*Calculateur!BN121*VLOOKUP('Données projet'!$B$11,Paramètres!$A$1:$I$89,3,0)*0.475*44/12</f>
        <v>3.831083185645781</v>
      </c>
      <c r="BR121" s="23">
        <f>EXP(-LN(2)/2)*BR120+(1-EXP(-LN(2)/2))/(LN(2)/2)*BL121*BO121*VLOOKUP('Données projet'!$B$11,Paramètres!$A$1:$I$89,3,0)*0.475*44/12</f>
        <v>2.4765191026806798E-12</v>
      </c>
      <c r="BS121" s="24">
        <f t="shared" si="63"/>
        <v>13.164014225118843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160.22474733551678</v>
      </c>
      <c r="T122" s="62">
        <f t="shared" si="88"/>
        <v>272.72162271905523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3.4106051316484809E-13</v>
      </c>
      <c r="AJ122" s="14">
        <f>AI122*VLOOKUP('Données projet'!$B$10,Paramètres!$A$1:$I$89,3,0)*VLOOKUP('Données projet'!$B$10,Paramètres!$A$1:$I$89,5,0)</f>
        <v>1.9508661353029313E-13</v>
      </c>
      <c r="AK122" s="14">
        <f t="shared" si="89"/>
        <v>2.711421636700695E-12</v>
      </c>
      <c r="AL122" s="22">
        <f t="shared" si="58"/>
        <v>5.0621685358189711E-12</v>
      </c>
      <c r="AM122" s="62">
        <f t="shared" si="59"/>
        <v>293.33333333333837</v>
      </c>
      <c r="AN122" s="62">
        <f ca="1">AVERAGE(OFFSET($AM$3,0,0,'Données projet'!$E$10+1,1))-AVERAGE(OFFSET($H$3,0,0,'Données projet'!$E$10+1,1))</f>
        <v>227.80096215475777</v>
      </c>
      <c r="AO122" s="62">
        <f t="shared" si="90"/>
        <v>259.52807665663926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0.33451434434072835</v>
      </c>
      <c r="AW122" s="23">
        <f>EXP(-LN(2)/2)*AW121+(1-EXP(-LN(2)/2))/(LN(2)/2)*AQ122*AT122*VLOOKUP('Données projet'!$B$10,Paramètres!$A$1:$I$89,3,0)*0.475*44/12</f>
        <v>1.4071012782580842E-12</v>
      </c>
      <c r="AX122" s="23">
        <f t="shared" si="60"/>
        <v>0.33451434434213545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1.1368683772161603E-13</v>
      </c>
      <c r="BE122" s="14">
        <f>BD122*VLOOKUP('Données projet'!$B$11,Paramètres!$A$1:$I$89,3,0)*VLOOKUP('Données projet'!$B$11,Paramètres!$A$1:$I$89,5,0)</f>
        <v>6.7984728957526396E-14</v>
      </c>
      <c r="BF122" s="14">
        <f t="shared" si="91"/>
        <v>1.0682447123141398E-12</v>
      </c>
      <c r="BG122" s="22">
        <f t="shared" si="61"/>
        <v>1.978932943548152E-12</v>
      </c>
      <c r="BH122" s="62">
        <f t="shared" si="62"/>
        <v>293.3333333333353</v>
      </c>
      <c r="BI122" s="62">
        <f ca="1">AVERAGE(OFFSET($BH$3,0,0,'Données projet'!$E$11+1,1))-AVERAGE(OFFSET($H$3,0,0,'Données projet'!$E$11+1,1))</f>
        <v>149.5086927376081</v>
      </c>
      <c r="BJ122" s="62">
        <f t="shared" si="92"/>
        <v>364.59164590134498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9.1499179543124107</v>
      </c>
      <c r="BQ122" s="23">
        <f>EXP(-LN(2)/25)*BQ121+(1-EXP(-LN(2)/25))/(LN(2)/25)*Calculateur!BL122*Calculateur!BN122*VLOOKUP('Données projet'!$B$11,Paramètres!$A$1:$I$89,3,0)*0.475*44/12</f>
        <v>3.7263220144663882</v>
      </c>
      <c r="BR122" s="23">
        <f>EXP(-LN(2)/2)*BR121+(1-EXP(-LN(2)/2))/(LN(2)/2)*BL122*BO122*VLOOKUP('Données projet'!$B$11,Paramètres!$A$1:$I$89,3,0)*0.475*44/12</f>
        <v>1.7511634512435325E-12</v>
      </c>
      <c r="BS122" s="24">
        <f t="shared" si="63"/>
        <v>12.876239968780551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160.22474733551678</v>
      </c>
      <c r="T123" s="62">
        <f t="shared" si="88"/>
        <v>272.72162271905523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3.4106051316484809E-13</v>
      </c>
      <c r="AJ123" s="14">
        <f>AI123*VLOOKUP('Données projet'!$B$10,Paramètres!$A$1:$I$89,3,0)*VLOOKUP('Données projet'!$B$10,Paramètres!$A$1:$I$89,5,0)</f>
        <v>1.9508661353029313E-13</v>
      </c>
      <c r="AK123" s="14">
        <f t="shared" si="89"/>
        <v>2.711421636700695E-12</v>
      </c>
      <c r="AL123" s="22">
        <f t="shared" si="58"/>
        <v>5.0621685358189711E-12</v>
      </c>
      <c r="AM123" s="62">
        <f t="shared" si="59"/>
        <v>293.33333333333837</v>
      </c>
      <c r="AN123" s="62">
        <f ca="1">AVERAGE(OFFSET($AM$3,0,0,'Données projet'!$E$10+1,1))-AVERAGE(OFFSET($H$3,0,0,'Données projet'!$E$10+1,1))</f>
        <v>227.80096215475777</v>
      </c>
      <c r="AO123" s="62">
        <f t="shared" si="90"/>
        <v>259.52807665663926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0.32536703200338629</v>
      </c>
      <c r="AW123" s="23">
        <f>EXP(-LN(2)/2)*AW122+(1-EXP(-LN(2)/2))/(LN(2)/2)*AQ123*AT123*VLOOKUP('Données projet'!$B$10,Paramètres!$A$1:$I$89,3,0)*0.475*44/12</f>
        <v>9.9497085567255042E-13</v>
      </c>
      <c r="AX123" s="23">
        <f t="shared" si="60"/>
        <v>0.32536703200438127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1.1368683772161603E-13</v>
      </c>
      <c r="BE123" s="14">
        <f>BD123*VLOOKUP('Données projet'!$B$11,Paramètres!$A$1:$I$89,3,0)*VLOOKUP('Données projet'!$B$11,Paramètres!$A$1:$I$89,5,0)</f>
        <v>6.7984728957526396E-14</v>
      </c>
      <c r="BF123" s="14">
        <f t="shared" si="91"/>
        <v>1.0682447123141398E-12</v>
      </c>
      <c r="BG123" s="22">
        <f t="shared" si="61"/>
        <v>1.978932943548152E-12</v>
      </c>
      <c r="BH123" s="62">
        <f t="shared" si="62"/>
        <v>293.3333333333353</v>
      </c>
      <c r="BI123" s="62">
        <f ca="1">AVERAGE(OFFSET($BH$3,0,0,'Données projet'!$E$11+1,1))-AVERAGE(OFFSET($H$3,0,0,'Données projet'!$E$11+1,1))</f>
        <v>149.5086927376081</v>
      </c>
      <c r="BJ123" s="62">
        <f t="shared" si="92"/>
        <v>364.59164590134498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8.9704936441272292</v>
      </c>
      <c r="BQ123" s="23">
        <f>EXP(-LN(2)/25)*BQ122+(1-EXP(-LN(2)/25))/(LN(2)/25)*Calculateur!BL123*Calculateur!BN123*VLOOKUP('Données projet'!$B$11,Paramètres!$A$1:$I$89,3,0)*0.475*44/12</f>
        <v>3.6244255430220469</v>
      </c>
      <c r="BR123" s="23">
        <f>EXP(-LN(2)/2)*BR122+(1-EXP(-LN(2)/2))/(LN(2)/2)*BL123*BO123*VLOOKUP('Données projet'!$B$11,Paramètres!$A$1:$I$89,3,0)*0.475*44/12</f>
        <v>1.2382595513403399E-12</v>
      </c>
      <c r="BS123" s="24">
        <f t="shared" si="63"/>
        <v>12.594919187150515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160.22474733551678</v>
      </c>
      <c r="T124" s="62">
        <f t="shared" si="88"/>
        <v>272.72162271905523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3.4106051316484809E-13</v>
      </c>
      <c r="AJ124" s="14">
        <f>AI124*VLOOKUP('Données projet'!$B$10,Paramètres!$A$1:$I$89,3,0)*VLOOKUP('Données projet'!$B$10,Paramètres!$A$1:$I$89,5,0)</f>
        <v>1.9508661353029313E-13</v>
      </c>
      <c r="AK124" s="14">
        <f t="shared" si="89"/>
        <v>2.711421636700695E-12</v>
      </c>
      <c r="AL124" s="22">
        <f t="shared" si="58"/>
        <v>5.0621685358189711E-12</v>
      </c>
      <c r="AM124" s="62">
        <f t="shared" si="59"/>
        <v>293.33333333333837</v>
      </c>
      <c r="AN124" s="62">
        <f ca="1">AVERAGE(OFFSET($AM$3,0,0,'Données projet'!$E$10+1,1))-AVERAGE(OFFSET($H$3,0,0,'Données projet'!$E$10+1,1))</f>
        <v>227.80096215475777</v>
      </c>
      <c r="AO124" s="62">
        <f t="shared" si="90"/>
        <v>259.52807665663926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0.31646985340294509</v>
      </c>
      <c r="AW124" s="23">
        <f>EXP(-LN(2)/2)*AW123+(1-EXP(-LN(2)/2))/(LN(2)/2)*AQ124*AT124*VLOOKUP('Données projet'!$B$10,Paramètres!$A$1:$I$89,3,0)*0.475*44/12</f>
        <v>7.0355063912904208E-13</v>
      </c>
      <c r="AX124" s="23">
        <f t="shared" si="60"/>
        <v>0.31646985340364864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6.7984728957526396E-14</v>
      </c>
      <c r="BF124" s="14">
        <f t="shared" si="91"/>
        <v>1.0682447123141398E-12</v>
      </c>
      <c r="BG124" s="22">
        <f t="shared" si="61"/>
        <v>1.978932943548152E-12</v>
      </c>
      <c r="BH124" s="62">
        <f t="shared" si="62"/>
        <v>293.3333333333353</v>
      </c>
      <c r="BI124" s="62">
        <f ca="1">AVERAGE(OFFSET($BH$3,0,0,'Données projet'!$E$11+1,1))-AVERAGE(OFFSET($H$3,0,0,'Données projet'!$E$11+1,1))</f>
        <v>149.5086927376081</v>
      </c>
      <c r="BJ124" s="62">
        <f t="shared" si="92"/>
        <v>364.59164590134498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8.7945877352267559</v>
      </c>
      <c r="BQ124" s="23">
        <f>EXP(-LN(2)/25)*BQ123+(1-EXP(-LN(2)/25))/(LN(2)/25)*Calculateur!BL124*Calculateur!BN124*VLOOKUP('Données projet'!$B$11,Paramètres!$A$1:$I$89,3,0)*0.475*44/12</f>
        <v>3.5253154359478533</v>
      </c>
      <c r="BR124" s="23">
        <f>EXP(-LN(2)/2)*BR123+(1-EXP(-LN(2)/2))/(LN(2)/2)*BL124*BO124*VLOOKUP('Données projet'!$B$11,Paramètres!$A$1:$I$89,3,0)*0.475*44/12</f>
        <v>8.7558172562176626E-13</v>
      </c>
      <c r="BS124" s="24">
        <f t="shared" si="63"/>
        <v>12.319903171175485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160.22474733551678</v>
      </c>
      <c r="T125" s="62">
        <f t="shared" si="88"/>
        <v>272.72162271905523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3.4106051316484809E-13</v>
      </c>
      <c r="AJ125" s="14">
        <f>AI125*VLOOKUP('Données projet'!$B$10,Paramètres!$A$1:$I$89,3,0)*VLOOKUP('Données projet'!$B$10,Paramètres!$A$1:$I$89,5,0)</f>
        <v>1.9508661353029313E-13</v>
      </c>
      <c r="AK125" s="14">
        <f t="shared" si="89"/>
        <v>2.711421636700695E-12</v>
      </c>
      <c r="AL125" s="22">
        <f t="shared" si="58"/>
        <v>5.0621685358189711E-12</v>
      </c>
      <c r="AM125" s="62">
        <f t="shared" si="59"/>
        <v>293.33333333333837</v>
      </c>
      <c r="AN125" s="62">
        <f ca="1">AVERAGE(OFFSET($AM$3,0,0,'Données projet'!$E$10+1,1))-AVERAGE(OFFSET($H$3,0,0,'Données projet'!$E$10+1,1))</f>
        <v>227.80096215475777</v>
      </c>
      <c r="AO125" s="62">
        <f t="shared" si="90"/>
        <v>259.52807665663926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0.30781596861921529</v>
      </c>
      <c r="AW125" s="23">
        <f>EXP(-LN(2)/2)*AW124+(1-EXP(-LN(2)/2))/(LN(2)/2)*AQ125*AT125*VLOOKUP('Données projet'!$B$10,Paramètres!$A$1:$I$89,3,0)*0.475*44/12</f>
        <v>4.9748542783627521E-13</v>
      </c>
      <c r="AX125" s="23">
        <f t="shared" si="60"/>
        <v>0.30781596861971278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6.7984728957526396E-14</v>
      </c>
      <c r="BF125" s="14">
        <f t="shared" si="91"/>
        <v>1.0682447123141398E-12</v>
      </c>
      <c r="BG125" s="22">
        <f t="shared" si="61"/>
        <v>1.978932943548152E-12</v>
      </c>
      <c r="BH125" s="62">
        <f t="shared" si="62"/>
        <v>293.3333333333353</v>
      </c>
      <c r="BI125" s="62">
        <f ca="1">AVERAGE(OFFSET($BH$3,0,0,'Données projet'!$E$11+1,1))-AVERAGE(OFFSET($H$3,0,0,'Données projet'!$E$11+1,1))</f>
        <v>149.5086927376081</v>
      </c>
      <c r="BJ125" s="62">
        <f t="shared" si="92"/>
        <v>364.59164590134498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8.62213123390781</v>
      </c>
      <c r="BQ125" s="23">
        <f>EXP(-LN(2)/25)*BQ124+(1-EXP(-LN(2)/25))/(LN(2)/25)*Calculateur!BL125*Calculateur!BN125*VLOOKUP('Données projet'!$B$11,Paramètres!$A$1:$I$89,3,0)*0.475*44/12</f>
        <v>3.4289154999635776</v>
      </c>
      <c r="BR125" s="23">
        <f>EXP(-LN(2)/2)*BR124+(1-EXP(-LN(2)/2))/(LN(2)/2)*BL125*BO125*VLOOKUP('Données projet'!$B$11,Paramètres!$A$1:$I$89,3,0)*0.475*44/12</f>
        <v>6.1912977567016996E-13</v>
      </c>
      <c r="BS125" s="24">
        <f t="shared" si="63"/>
        <v>12.051046733872008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160.22474733551678</v>
      </c>
      <c r="T126" s="62">
        <f t="shared" si="88"/>
        <v>272.72162271905523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3.4106051316484809E-13</v>
      </c>
      <c r="AJ126" s="14">
        <f>AI126*VLOOKUP('Données projet'!$B$10,Paramètres!$A$1:$I$89,3,0)*VLOOKUP('Données projet'!$B$10,Paramètres!$A$1:$I$89,5,0)</f>
        <v>1.9508661353029313E-13</v>
      </c>
      <c r="AK126" s="14">
        <f t="shared" si="89"/>
        <v>2.711421636700695E-12</v>
      </c>
      <c r="AL126" s="22">
        <f t="shared" si="58"/>
        <v>5.0621685358189711E-12</v>
      </c>
      <c r="AM126" s="62">
        <f t="shared" si="59"/>
        <v>293.33333333333837</v>
      </c>
      <c r="AN126" s="62">
        <f ca="1">AVERAGE(OFFSET($AM$3,0,0,'Données projet'!$E$10+1,1))-AVERAGE(OFFSET($H$3,0,0,'Données projet'!$E$10+1,1))</f>
        <v>227.80096215475777</v>
      </c>
      <c r="AO126" s="62">
        <f t="shared" si="90"/>
        <v>259.52807665663926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0.29939872476998458</v>
      </c>
      <c r="AW126" s="23">
        <f>EXP(-LN(2)/2)*AW125+(1-EXP(-LN(2)/2))/(LN(2)/2)*AQ126*AT126*VLOOKUP('Données projet'!$B$10,Paramètres!$A$1:$I$89,3,0)*0.475*44/12</f>
        <v>3.5177531956452104E-13</v>
      </c>
      <c r="AX126" s="23">
        <f t="shared" si="60"/>
        <v>0.29939872477033636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6.7984728957526396E-14</v>
      </c>
      <c r="BF126" s="14">
        <f t="shared" si="91"/>
        <v>1.0682447123141398E-12</v>
      </c>
      <c r="BG126" s="22">
        <f t="shared" si="61"/>
        <v>1.978932943548152E-12</v>
      </c>
      <c r="BH126" s="62">
        <f t="shared" si="62"/>
        <v>293.3333333333353</v>
      </c>
      <c r="BI126" s="62">
        <f ca="1">AVERAGE(OFFSET($BH$3,0,0,'Données projet'!$E$11+1,1))-AVERAGE(OFFSET($H$3,0,0,'Données projet'!$E$11+1,1))</f>
        <v>149.5086927376081</v>
      </c>
      <c r="BJ126" s="62">
        <f t="shared" si="92"/>
        <v>364.59164590134498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8.4530564993916499</v>
      </c>
      <c r="BQ126" s="23">
        <f>EXP(-LN(2)/25)*BQ125+(1-EXP(-LN(2)/25))/(LN(2)/25)*Calculateur!BL126*Calculateur!BN126*VLOOKUP('Données projet'!$B$11,Paramètres!$A$1:$I$89,3,0)*0.475*44/12</f>
        <v>3.3351516252982445</v>
      </c>
      <c r="BR126" s="23">
        <f>EXP(-LN(2)/2)*BR125+(1-EXP(-LN(2)/2))/(LN(2)/2)*BL126*BO126*VLOOKUP('Données projet'!$B$11,Paramètres!$A$1:$I$89,3,0)*0.475*44/12</f>
        <v>4.3779086281088313E-13</v>
      </c>
      <c r="BS126" s="24">
        <f t="shared" si="63"/>
        <v>11.788208124690332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160.22474733551678</v>
      </c>
      <c r="T127" s="62">
        <f t="shared" si="88"/>
        <v>272.72162271905523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3.4106051316484809E-13</v>
      </c>
      <c r="AJ127" s="14">
        <f>AI127*VLOOKUP('Données projet'!$B$10,Paramètres!$A$1:$I$89,3,0)*VLOOKUP('Données projet'!$B$10,Paramètres!$A$1:$I$89,5,0)</f>
        <v>1.9508661353029313E-13</v>
      </c>
      <c r="AK127" s="14">
        <f t="shared" si="89"/>
        <v>2.711421636700695E-12</v>
      </c>
      <c r="AL127" s="22">
        <f t="shared" si="58"/>
        <v>5.0621685358189711E-12</v>
      </c>
      <c r="AM127" s="62">
        <f t="shared" si="59"/>
        <v>293.33333333333837</v>
      </c>
      <c r="AN127" s="62">
        <f ca="1">AVERAGE(OFFSET($AM$3,0,0,'Données projet'!$E$10+1,1))-AVERAGE(OFFSET($H$3,0,0,'Données projet'!$E$10+1,1))</f>
        <v>227.80096215475777</v>
      </c>
      <c r="AO127" s="62">
        <f t="shared" si="90"/>
        <v>259.52807665663926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0.29121165089645468</v>
      </c>
      <c r="AW127" s="23">
        <f>EXP(-LN(2)/2)*AW126+(1-EXP(-LN(2)/2))/(LN(2)/2)*AQ127*AT127*VLOOKUP('Données projet'!$B$10,Paramètres!$A$1:$I$89,3,0)*0.475*44/12</f>
        <v>2.4874271391813761E-13</v>
      </c>
      <c r="AX127" s="23">
        <f t="shared" si="60"/>
        <v>0.29121165089670342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6.7984728957526396E-14</v>
      </c>
      <c r="BF127" s="14">
        <f t="shared" si="91"/>
        <v>1.0682447123141398E-12</v>
      </c>
      <c r="BG127" s="22">
        <f t="shared" si="61"/>
        <v>1.978932943548152E-12</v>
      </c>
      <c r="BH127" s="62">
        <f t="shared" si="62"/>
        <v>293.3333333333353</v>
      </c>
      <c r="BI127" s="62">
        <f ca="1">AVERAGE(OFFSET($BH$3,0,0,'Données projet'!$E$11+1,1))-AVERAGE(OFFSET($H$3,0,0,'Données projet'!$E$11+1,1))</f>
        <v>149.5086927376081</v>
      </c>
      <c r="BJ127" s="62">
        <f t="shared" si="92"/>
        <v>364.59164590134498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8.2872972172939452</v>
      </c>
      <c r="BQ127" s="23">
        <f>EXP(-LN(2)/25)*BQ126+(1-EXP(-LN(2)/25))/(LN(2)/25)*Calculateur!BL127*Calculateur!BN127*VLOOKUP('Données projet'!$B$11,Paramètres!$A$1:$I$89,3,0)*0.475*44/12</f>
        <v>3.2439517287164628</v>
      </c>
      <c r="BR127" s="23">
        <f>EXP(-LN(2)/2)*BR126+(1-EXP(-LN(2)/2))/(LN(2)/2)*BL127*BO127*VLOOKUP('Données projet'!$B$11,Paramètres!$A$1:$I$89,3,0)*0.475*44/12</f>
        <v>3.0956488783508498E-13</v>
      </c>
      <c r="BS127" s="24">
        <f t="shared" si="63"/>
        <v>11.531248946010717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160.22474733551678</v>
      </c>
      <c r="T128" s="62">
        <f t="shared" si="88"/>
        <v>272.72162271905523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3.4106051316484809E-13</v>
      </c>
      <c r="AJ128" s="14">
        <f>AI128*VLOOKUP('Données projet'!$B$10,Paramètres!$A$1:$I$89,3,0)*VLOOKUP('Données projet'!$B$10,Paramètres!$A$1:$I$89,5,0)</f>
        <v>1.9508661353029313E-13</v>
      </c>
      <c r="AK128" s="14">
        <f t="shared" si="89"/>
        <v>2.711421636700695E-12</v>
      </c>
      <c r="AL128" s="22">
        <f t="shared" si="58"/>
        <v>5.0621685358189711E-12</v>
      </c>
      <c r="AM128" s="62">
        <f t="shared" si="59"/>
        <v>293.33333333333837</v>
      </c>
      <c r="AN128" s="62">
        <f ca="1">AVERAGE(OFFSET($AM$3,0,0,'Données projet'!$E$10+1,1))-AVERAGE(OFFSET($H$3,0,0,'Données projet'!$E$10+1,1))</f>
        <v>227.80096215475777</v>
      </c>
      <c r="AO128" s="62">
        <f t="shared" si="90"/>
        <v>259.52807665663926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0.28324845298853596</v>
      </c>
      <c r="AW128" s="23">
        <f>EXP(-LN(2)/2)*AW127+(1-EXP(-LN(2)/2))/(LN(2)/2)*AQ128*AT128*VLOOKUP('Données projet'!$B$10,Paramètres!$A$1:$I$89,3,0)*0.475*44/12</f>
        <v>1.7588765978226052E-13</v>
      </c>
      <c r="AX128" s="23">
        <f t="shared" si="60"/>
        <v>0.28324845298871187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6.7984728957526396E-14</v>
      </c>
      <c r="BF128" s="14">
        <f t="shared" si="91"/>
        <v>1.0682447123141398E-12</v>
      </c>
      <c r="BG128" s="22">
        <f t="shared" si="61"/>
        <v>1.978932943548152E-12</v>
      </c>
      <c r="BH128" s="62">
        <f t="shared" si="62"/>
        <v>293.3333333333353</v>
      </c>
      <c r="BI128" s="62">
        <f ca="1">AVERAGE(OFFSET($BH$3,0,0,'Données projet'!$E$11+1,1))-AVERAGE(OFFSET($H$3,0,0,'Données projet'!$E$11+1,1))</f>
        <v>149.5086927376081</v>
      </c>
      <c r="BJ128" s="62">
        <f t="shared" si="92"/>
        <v>364.59164590134498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8.1247883736149973</v>
      </c>
      <c r="BQ128" s="23">
        <f>EXP(-LN(2)/25)*BQ127+(1-EXP(-LN(2)/25))/(LN(2)/25)*Calculateur!BL128*Calculateur!BN128*VLOOKUP('Données projet'!$B$11,Paramètres!$A$1:$I$89,3,0)*0.475*44/12</f>
        <v>3.1552456981027039</v>
      </c>
      <c r="BR128" s="23">
        <f>EXP(-LN(2)/2)*BR127+(1-EXP(-LN(2)/2))/(LN(2)/2)*BL128*BO128*VLOOKUP('Données projet'!$B$11,Paramètres!$A$1:$I$89,3,0)*0.475*44/12</f>
        <v>2.1889543140544156E-13</v>
      </c>
      <c r="BS128" s="24">
        <f t="shared" si="63"/>
        <v>11.280034071717919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160.22474733551678</v>
      </c>
      <c r="T129" s="62">
        <f t="shared" si="88"/>
        <v>272.72162271905523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3.4106051316484809E-13</v>
      </c>
      <c r="AJ129" s="14">
        <f>AI129*VLOOKUP('Données projet'!$B$10,Paramètres!$A$1:$I$89,3,0)*VLOOKUP('Données projet'!$B$10,Paramètres!$A$1:$I$89,5,0)</f>
        <v>1.9508661353029313E-13</v>
      </c>
      <c r="AK129" s="14">
        <f t="shared" si="89"/>
        <v>2.711421636700695E-12</v>
      </c>
      <c r="AL129" s="22">
        <f t="shared" si="58"/>
        <v>5.0621685358189711E-12</v>
      </c>
      <c r="AM129" s="62">
        <f t="shared" si="59"/>
        <v>293.33333333333837</v>
      </c>
      <c r="AN129" s="62">
        <f ca="1">AVERAGE(OFFSET($AM$3,0,0,'Données projet'!$E$10+1,1))-AVERAGE(OFFSET($H$3,0,0,'Données projet'!$E$10+1,1))</f>
        <v>227.80096215475777</v>
      </c>
      <c r="AO129" s="62">
        <f t="shared" si="90"/>
        <v>259.52807665663926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0.27550300914617565</v>
      </c>
      <c r="AW129" s="23">
        <f>EXP(-LN(2)/2)*AW128+(1-EXP(-LN(2)/2))/(LN(2)/2)*AQ129*AT129*VLOOKUP('Données projet'!$B$10,Paramètres!$A$1:$I$89,3,0)*0.475*44/12</f>
        <v>1.243713569590688E-13</v>
      </c>
      <c r="AX129" s="23">
        <f t="shared" si="60"/>
        <v>0.27550300914629999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6.7984728957526396E-14</v>
      </c>
      <c r="BF129" s="14">
        <f t="shared" si="91"/>
        <v>1.0682447123141398E-12</v>
      </c>
      <c r="BG129" s="22">
        <f t="shared" si="61"/>
        <v>1.978932943548152E-12</v>
      </c>
      <c r="BH129" s="62">
        <f t="shared" si="62"/>
        <v>293.3333333333353</v>
      </c>
      <c r="BI129" s="62">
        <f ca="1">AVERAGE(OFFSET($BH$3,0,0,'Données projet'!$E$11+1,1))-AVERAGE(OFFSET($H$3,0,0,'Données projet'!$E$11+1,1))</f>
        <v>149.5086927376081</v>
      </c>
      <c r="BJ129" s="62">
        <f t="shared" si="92"/>
        <v>364.59164590134498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7.9654662292399872</v>
      </c>
      <c r="BQ129" s="23">
        <f>EXP(-LN(2)/25)*BQ128+(1-EXP(-LN(2)/25))/(LN(2)/25)*Calculateur!BL129*Calculateur!BN129*VLOOKUP('Données projet'!$B$11,Paramètres!$A$1:$I$89,3,0)*0.475*44/12</f>
        <v>3.0689653385609255</v>
      </c>
      <c r="BR129" s="23">
        <f>EXP(-LN(2)/2)*BR128+(1-EXP(-LN(2)/2))/(LN(2)/2)*BL129*BO129*VLOOKUP('Données projet'!$B$11,Paramètres!$A$1:$I$89,3,0)*0.475*44/12</f>
        <v>1.5478244391754249E-13</v>
      </c>
      <c r="BS129" s="24">
        <f t="shared" si="63"/>
        <v>11.034431567801066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160.22474733551678</v>
      </c>
      <c r="T130" s="62">
        <f t="shared" si="88"/>
        <v>272.72162271905523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3.4106051316484809E-13</v>
      </c>
      <c r="AJ130" s="14">
        <f>AI130*VLOOKUP('Données projet'!$B$10,Paramètres!$A$1:$I$89,3,0)*VLOOKUP('Données projet'!$B$10,Paramètres!$A$1:$I$89,5,0)</f>
        <v>1.9508661353029313E-13</v>
      </c>
      <c r="AK130" s="14">
        <f t="shared" si="89"/>
        <v>2.711421636700695E-12</v>
      </c>
      <c r="AL130" s="22">
        <f t="shared" si="58"/>
        <v>5.0621685358189711E-12</v>
      </c>
      <c r="AM130" s="62">
        <f t="shared" si="59"/>
        <v>293.33333333333837</v>
      </c>
      <c r="AN130" s="62">
        <f ca="1">AVERAGE(OFFSET($AM$3,0,0,'Données projet'!$E$10+1,1))-AVERAGE(OFFSET($H$3,0,0,'Données projet'!$E$10+1,1))</f>
        <v>227.80096215475777</v>
      </c>
      <c r="AO130" s="62">
        <f t="shared" si="90"/>
        <v>259.52807665663926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0.26796936487299988</v>
      </c>
      <c r="AW130" s="23">
        <f>EXP(-LN(2)/2)*AW129+(1-EXP(-LN(2)/2))/(LN(2)/2)*AQ130*AT130*VLOOKUP('Données projet'!$B$10,Paramètres!$A$1:$I$89,3,0)*0.475*44/12</f>
        <v>8.794382989113026E-14</v>
      </c>
      <c r="AX130" s="23">
        <f t="shared" si="60"/>
        <v>0.26796936487308781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6.7984728957526396E-14</v>
      </c>
      <c r="BF130" s="14">
        <f t="shared" si="91"/>
        <v>1.0682447123141398E-12</v>
      </c>
      <c r="BG130" s="22">
        <f t="shared" si="61"/>
        <v>1.978932943548152E-12</v>
      </c>
      <c r="BH130" s="62">
        <f t="shared" si="62"/>
        <v>293.3333333333353</v>
      </c>
      <c r="BI130" s="62">
        <f ca="1">AVERAGE(OFFSET($BH$3,0,0,'Données projet'!$E$11+1,1))-AVERAGE(OFFSET($H$3,0,0,'Données projet'!$E$11+1,1))</f>
        <v>149.5086927376081</v>
      </c>
      <c r="BJ130" s="62">
        <f t="shared" si="92"/>
        <v>364.59164590134498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7.8092682949392582</v>
      </c>
      <c r="BQ130" s="23">
        <f>EXP(-LN(2)/25)*BQ129+(1-EXP(-LN(2)/25))/(LN(2)/25)*Calculateur!BL130*Calculateur!BN130*VLOOKUP('Données projet'!$B$11,Paramètres!$A$1:$I$89,3,0)*0.475*44/12</f>
        <v>2.9850443199881038</v>
      </c>
      <c r="BR130" s="23">
        <f>EXP(-LN(2)/2)*BR129+(1-EXP(-LN(2)/2))/(LN(2)/2)*BL130*BO130*VLOOKUP('Données projet'!$B$11,Paramètres!$A$1:$I$89,3,0)*0.475*44/12</f>
        <v>1.0944771570272078E-13</v>
      </c>
      <c r="BS130" s="24">
        <f t="shared" si="63"/>
        <v>10.794312614927472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160.22474733551678</v>
      </c>
      <c r="T131" s="62">
        <f t="shared" si="88"/>
        <v>272.72162271905523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3.4106051316484809E-13</v>
      </c>
      <c r="AJ131" s="14">
        <f>AI131*VLOOKUP('Données projet'!$B$10,Paramètres!$A$1:$I$89,3,0)*VLOOKUP('Données projet'!$B$10,Paramètres!$A$1:$I$89,5,0)</f>
        <v>1.9508661353029313E-13</v>
      </c>
      <c r="AK131" s="14">
        <f t="shared" si="89"/>
        <v>2.711421636700695E-12</v>
      </c>
      <c r="AL131" s="22">
        <f t="shared" si="58"/>
        <v>5.0621685358189711E-12</v>
      </c>
      <c r="AM131" s="62">
        <f t="shared" si="59"/>
        <v>293.33333333333837</v>
      </c>
      <c r="AN131" s="62">
        <f ca="1">AVERAGE(OFFSET($AM$3,0,0,'Données projet'!$E$10+1,1))-AVERAGE(OFFSET($H$3,0,0,'Données projet'!$E$10+1,1))</f>
        <v>227.80096215475777</v>
      </c>
      <c r="AO131" s="62">
        <f t="shared" si="90"/>
        <v>259.52807665663926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0.26064172849865125</v>
      </c>
      <c r="AW131" s="23">
        <f>EXP(-LN(2)/2)*AW130+(1-EXP(-LN(2)/2))/(LN(2)/2)*AQ131*AT131*VLOOKUP('Données projet'!$B$10,Paramètres!$A$1:$I$89,3,0)*0.475*44/12</f>
        <v>6.2185678479534402E-14</v>
      </c>
      <c r="AX131" s="23">
        <f t="shared" si="60"/>
        <v>0.26064172849871342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6.7984728957526396E-14</v>
      </c>
      <c r="BF131" s="14">
        <f t="shared" si="91"/>
        <v>1.0682447123141398E-12</v>
      </c>
      <c r="BG131" s="22">
        <f t="shared" si="61"/>
        <v>1.978932943548152E-12</v>
      </c>
      <c r="BH131" s="62">
        <f t="shared" si="62"/>
        <v>293.3333333333353</v>
      </c>
      <c r="BI131" s="62">
        <f ca="1">AVERAGE(OFFSET($BH$3,0,0,'Données projet'!$E$11+1,1))-AVERAGE(OFFSET($H$3,0,0,'Données projet'!$E$11+1,1))</f>
        <v>149.5086927376081</v>
      </c>
      <c r="BJ131" s="62">
        <f t="shared" si="92"/>
        <v>364.59164590134498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7.656133306858834</v>
      </c>
      <c r="BQ131" s="23">
        <f>EXP(-LN(2)/25)*BQ130+(1-EXP(-LN(2)/25))/(LN(2)/25)*Calculateur!BL131*Calculateur!BN131*VLOOKUP('Données projet'!$B$11,Paramètres!$A$1:$I$89,3,0)*0.475*44/12</f>
        <v>2.903418126081371</v>
      </c>
      <c r="BR131" s="23">
        <f>EXP(-LN(2)/2)*BR130+(1-EXP(-LN(2)/2))/(LN(2)/2)*BL131*BO131*VLOOKUP('Données projet'!$B$11,Paramètres!$A$1:$I$89,3,0)*0.475*44/12</f>
        <v>7.7391221958771245E-14</v>
      </c>
      <c r="BS131" s="24">
        <f t="shared" si="63"/>
        <v>10.559551432940284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160.22474733551678</v>
      </c>
      <c r="T132" s="62">
        <f t="shared" si="88"/>
        <v>272.72162271905523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3.4106051316484809E-13</v>
      </c>
      <c r="AJ132" s="14">
        <f>AI132*VLOOKUP('Données projet'!$B$10,Paramètres!$A$1:$I$89,3,0)*VLOOKUP('Données projet'!$B$10,Paramètres!$A$1:$I$89,5,0)</f>
        <v>1.9508661353029313E-13</v>
      </c>
      <c r="AK132" s="14">
        <f t="shared" si="89"/>
        <v>2.711421636700695E-12</v>
      </c>
      <c r="AL132" s="22">
        <f t="shared" ref="AL132:AL153" si="112">(AJ132+AK132)*0.475*44/12</f>
        <v>5.0621685358189711E-12</v>
      </c>
      <c r="AM132" s="62">
        <f t="shared" ref="AM132:AM195" si="113">AL132+(AD132+AE132)*44/12</f>
        <v>293.33333333333837</v>
      </c>
      <c r="AN132" s="62">
        <f ca="1">AVERAGE(OFFSET($AM$3,0,0,'Données projet'!$E$10+1,1))-AVERAGE(OFFSET($H$3,0,0,'Données projet'!$E$10+1,1))</f>
        <v>227.80096215475777</v>
      </c>
      <c r="AO132" s="62">
        <f t="shared" si="90"/>
        <v>259.52807665663926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0.25351446672630285</v>
      </c>
      <c r="AW132" s="23">
        <f>EXP(-LN(2)/2)*AW131+(1-EXP(-LN(2)/2))/(LN(2)/2)*AQ132*AT132*VLOOKUP('Données projet'!$B$10,Paramètres!$A$1:$I$89,3,0)*0.475*44/12</f>
        <v>4.397191494556513E-14</v>
      </c>
      <c r="AX132" s="23">
        <f t="shared" ref="AX132:AX153" si="114">SUM(AU132:AW132)</f>
        <v>0.25351446672634681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6.7984728957526396E-14</v>
      </c>
      <c r="BF132" s="14">
        <f t="shared" si="91"/>
        <v>1.0682447123141398E-12</v>
      </c>
      <c r="BG132" s="22">
        <f t="shared" ref="BG132:BG153" si="115">(BE132+BF132)*0.475*44/12</f>
        <v>1.978932943548152E-12</v>
      </c>
      <c r="BH132" s="62">
        <f t="shared" ref="BH132:BH195" si="116">BG132+(AY132+AZ132)*44/12</f>
        <v>293.3333333333353</v>
      </c>
      <c r="BI132" s="62">
        <f ca="1">AVERAGE(OFFSET($BH$3,0,0,'Données projet'!$E$11+1,1))-AVERAGE(OFFSET($H$3,0,0,'Données projet'!$E$11+1,1))</f>
        <v>149.5086927376081</v>
      </c>
      <c r="BJ132" s="62">
        <f t="shared" si="92"/>
        <v>364.59164590134498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7.5060012024915466</v>
      </c>
      <c r="BQ132" s="23">
        <f>EXP(-LN(2)/25)*BQ131+(1-EXP(-LN(2)/25))/(LN(2)/25)*Calculateur!BL132*Calculateur!BN132*VLOOKUP('Données projet'!$B$11,Paramètres!$A$1:$I$89,3,0)*0.475*44/12</f>
        <v>2.8240240047395524</v>
      </c>
      <c r="BR132" s="23">
        <f>EXP(-LN(2)/2)*BR131+(1-EXP(-LN(2)/2))/(LN(2)/2)*BL132*BO132*VLOOKUP('Données projet'!$B$11,Paramètres!$A$1:$I$89,3,0)*0.475*44/12</f>
        <v>5.4723857851360391E-14</v>
      </c>
      <c r="BS132" s="24">
        <f t="shared" ref="BS132:BS153" si="117">SUM(BP132:BR132)</f>
        <v>10.330025207231154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160.22474733551678</v>
      </c>
      <c r="T133" s="62">
        <f t="shared" ref="T133:T196" si="142">$T$3</f>
        <v>272.72162271905523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3.4106051316484809E-13</v>
      </c>
      <c r="AJ133" s="14">
        <f>AI133*VLOOKUP('Données projet'!$B$10,Paramètres!$A$1:$I$89,3,0)*VLOOKUP('Données projet'!$B$10,Paramètres!$A$1:$I$89,5,0)</f>
        <v>1.9508661353029313E-13</v>
      </c>
      <c r="AK133" s="14">
        <f t="shared" ref="AK133:AK153" si="143">EXP(-1.0587+0.8836*LN(AJ133)+0.284)</f>
        <v>2.711421636700695E-12</v>
      </c>
      <c r="AL133" s="22">
        <f t="shared" si="112"/>
        <v>5.0621685358189711E-12</v>
      </c>
      <c r="AM133" s="62">
        <f t="shared" si="113"/>
        <v>293.33333333333837</v>
      </c>
      <c r="AN133" s="62">
        <f ca="1">AVERAGE(OFFSET($AM$3,0,0,'Données projet'!$E$10+1,1))-AVERAGE(OFFSET($H$3,0,0,'Données projet'!$E$10+1,1))</f>
        <v>227.80096215475777</v>
      </c>
      <c r="AO133" s="62">
        <f t="shared" ref="AO133:AO196" si="144">$AO$3</f>
        <v>259.52807665663926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0.24658210030192571</v>
      </c>
      <c r="AW133" s="23">
        <f>EXP(-LN(2)/2)*AW132+(1-EXP(-LN(2)/2))/(LN(2)/2)*AQ133*AT133*VLOOKUP('Données projet'!$B$10,Paramètres!$A$1:$I$89,3,0)*0.475*44/12</f>
        <v>3.1092839239767201E-14</v>
      </c>
      <c r="AX133" s="23">
        <f t="shared" si="114"/>
        <v>0.24658210030195679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6.7984728957526396E-14</v>
      </c>
      <c r="BF133" s="14">
        <f t="shared" ref="BF133:BF153" si="145">EXP(-1.0587+0.8836*LN(BE133)+0.284)</f>
        <v>1.0682447123141398E-12</v>
      </c>
      <c r="BG133" s="22">
        <f t="shared" si="115"/>
        <v>1.978932943548152E-12</v>
      </c>
      <c r="BH133" s="62">
        <f t="shared" si="116"/>
        <v>293.3333333333353</v>
      </c>
      <c r="BI133" s="62">
        <f ca="1">AVERAGE(OFFSET($BH$3,0,0,'Données projet'!$E$11+1,1))-AVERAGE(OFFSET($H$3,0,0,'Données projet'!$E$11+1,1))</f>
        <v>149.5086927376081</v>
      </c>
      <c r="BJ133" s="62">
        <f t="shared" ref="BJ133:BJ196" si="146">$BJ$3</f>
        <v>364.59164590134498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7.3588130971193602</v>
      </c>
      <c r="BQ133" s="23">
        <f>EXP(-LN(2)/25)*BQ132+(1-EXP(-LN(2)/25))/(LN(2)/25)*Calculateur!BL133*Calculateur!BN133*VLOOKUP('Données projet'!$B$11,Paramètres!$A$1:$I$89,3,0)*0.475*44/12</f>
        <v>2.7468009198209815</v>
      </c>
      <c r="BR133" s="23">
        <f>EXP(-LN(2)/2)*BR132+(1-EXP(-LN(2)/2))/(LN(2)/2)*BL133*BO133*VLOOKUP('Données projet'!$B$11,Paramètres!$A$1:$I$89,3,0)*0.475*44/12</f>
        <v>3.8695610979385622E-14</v>
      </c>
      <c r="BS133" s="24">
        <f t="shared" si="117"/>
        <v>10.105614016940381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160.22474733551678</v>
      </c>
      <c r="T134" s="62">
        <f t="shared" si="142"/>
        <v>272.72162271905523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3.4106051316484809E-13</v>
      </c>
      <c r="AJ134" s="14">
        <f>AI134*VLOOKUP('Données projet'!$B$10,Paramètres!$A$1:$I$89,3,0)*VLOOKUP('Données projet'!$B$10,Paramètres!$A$1:$I$89,5,0)</f>
        <v>1.9508661353029313E-13</v>
      </c>
      <c r="AK134" s="14">
        <f t="shared" si="143"/>
        <v>2.711421636700695E-12</v>
      </c>
      <c r="AL134" s="22">
        <f t="shared" si="112"/>
        <v>5.0621685358189711E-12</v>
      </c>
      <c r="AM134" s="62">
        <f t="shared" si="113"/>
        <v>293.33333333333837</v>
      </c>
      <c r="AN134" s="62">
        <f ca="1">AVERAGE(OFFSET($AM$3,0,0,'Données projet'!$E$10+1,1))-AVERAGE(OFFSET($H$3,0,0,'Données projet'!$E$10+1,1))</f>
        <v>227.80096215475777</v>
      </c>
      <c r="AO134" s="62">
        <f t="shared" si="144"/>
        <v>259.52807665663926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0.23983929980198046</v>
      </c>
      <c r="AW134" s="23">
        <f>EXP(-LN(2)/2)*AW133+(1-EXP(-LN(2)/2))/(LN(2)/2)*AQ134*AT134*VLOOKUP('Données projet'!$B$10,Paramètres!$A$1:$I$89,3,0)*0.475*44/12</f>
        <v>2.1985957472782565E-14</v>
      </c>
      <c r="AX134" s="23">
        <f t="shared" si="114"/>
        <v>0.23983929980200244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6.7984728957526396E-14</v>
      </c>
      <c r="BF134" s="14">
        <f t="shared" si="145"/>
        <v>1.0682447123141398E-12</v>
      </c>
      <c r="BG134" s="22">
        <f t="shared" si="115"/>
        <v>1.978932943548152E-12</v>
      </c>
      <c r="BH134" s="62">
        <f t="shared" si="116"/>
        <v>293.3333333333353</v>
      </c>
      <c r="BI134" s="62">
        <f ca="1">AVERAGE(OFFSET($BH$3,0,0,'Données projet'!$E$11+1,1))-AVERAGE(OFFSET($H$3,0,0,'Données projet'!$E$11+1,1))</f>
        <v>149.5086927376081</v>
      </c>
      <c r="BJ134" s="62">
        <f t="shared" si="146"/>
        <v>364.59164590134498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7.2145112607176429</v>
      </c>
      <c r="BQ134" s="23">
        <f>EXP(-LN(2)/25)*BQ133+(1-EXP(-LN(2)/25))/(LN(2)/25)*Calculateur!BL134*Calculateur!BN134*VLOOKUP('Données projet'!$B$11,Paramètres!$A$1:$I$89,3,0)*0.475*44/12</f>
        <v>2.6716895042204944</v>
      </c>
      <c r="BR134" s="23">
        <f>EXP(-LN(2)/2)*BR133+(1-EXP(-LN(2)/2))/(LN(2)/2)*BL134*BO134*VLOOKUP('Données projet'!$B$11,Paramètres!$A$1:$I$89,3,0)*0.475*44/12</f>
        <v>2.7361928925680196E-14</v>
      </c>
      <c r="BS134" s="24">
        <f t="shared" si="117"/>
        <v>9.8862007649381649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160.22474733551678</v>
      </c>
      <c r="T135" s="62">
        <f t="shared" si="142"/>
        <v>272.72162271905523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3.4106051316484809E-13</v>
      </c>
      <c r="AJ135" s="14">
        <f>AI135*VLOOKUP('Données projet'!$B$10,Paramètres!$A$1:$I$89,3,0)*VLOOKUP('Données projet'!$B$10,Paramètres!$A$1:$I$89,5,0)</f>
        <v>1.9508661353029313E-13</v>
      </c>
      <c r="AK135" s="14">
        <f t="shared" si="143"/>
        <v>2.711421636700695E-12</v>
      </c>
      <c r="AL135" s="22">
        <f t="shared" si="112"/>
        <v>5.0621685358189711E-12</v>
      </c>
      <c r="AM135" s="62">
        <f t="shared" si="113"/>
        <v>293.33333333333837</v>
      </c>
      <c r="AN135" s="62">
        <f ca="1">AVERAGE(OFFSET($AM$3,0,0,'Données projet'!$E$10+1,1))-AVERAGE(OFFSET($H$3,0,0,'Données projet'!$E$10+1,1))</f>
        <v>227.80096215475777</v>
      </c>
      <c r="AO135" s="62">
        <f t="shared" si="144"/>
        <v>259.52807665663926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0.2332808815362947</v>
      </c>
      <c r="AW135" s="23">
        <f>EXP(-LN(2)/2)*AW134+(1-EXP(-LN(2)/2))/(LN(2)/2)*AQ135*AT135*VLOOKUP('Données projet'!$B$10,Paramètres!$A$1:$I$89,3,0)*0.475*44/12</f>
        <v>1.55464196198836E-14</v>
      </c>
      <c r="AX135" s="23">
        <f t="shared" si="114"/>
        <v>0.23328088153631024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6.7984728957526396E-14</v>
      </c>
      <c r="BF135" s="14">
        <f t="shared" si="145"/>
        <v>1.0682447123141398E-12</v>
      </c>
      <c r="BG135" s="22">
        <f t="shared" si="115"/>
        <v>1.978932943548152E-12</v>
      </c>
      <c r="BH135" s="62">
        <f t="shared" si="116"/>
        <v>293.3333333333353</v>
      </c>
      <c r="BI135" s="62">
        <f ca="1">AVERAGE(OFFSET($BH$3,0,0,'Données projet'!$E$11+1,1))-AVERAGE(OFFSET($H$3,0,0,'Données projet'!$E$11+1,1))</f>
        <v>149.5086927376081</v>
      </c>
      <c r="BJ135" s="62">
        <f t="shared" si="146"/>
        <v>364.59164590134498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7.0730390953123337</v>
      </c>
      <c r="BQ135" s="23">
        <f>EXP(-LN(2)/25)*BQ134+(1-EXP(-LN(2)/25))/(LN(2)/25)*Calculateur!BL135*Calculateur!BN135*VLOOKUP('Données projet'!$B$11,Paramètres!$A$1:$I$89,3,0)*0.475*44/12</f>
        <v>2.59863201422954</v>
      </c>
      <c r="BR135" s="23">
        <f>EXP(-LN(2)/2)*BR134+(1-EXP(-LN(2)/2))/(LN(2)/2)*BL135*BO135*VLOOKUP('Données projet'!$B$11,Paramètres!$A$1:$I$89,3,0)*0.475*44/12</f>
        <v>1.9347805489692811E-14</v>
      </c>
      <c r="BS135" s="24">
        <f t="shared" si="117"/>
        <v>9.6716711095418937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160.22474733551678</v>
      </c>
      <c r="T136" s="62">
        <f t="shared" si="142"/>
        <v>272.72162271905523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3.4106051316484809E-13</v>
      </c>
      <c r="AJ136" s="14">
        <f>AI136*VLOOKUP('Données projet'!$B$10,Paramètres!$A$1:$I$89,3,0)*VLOOKUP('Données projet'!$B$10,Paramètres!$A$1:$I$89,5,0)</f>
        <v>1.9508661353029313E-13</v>
      </c>
      <c r="AK136" s="14">
        <f t="shared" si="143"/>
        <v>2.711421636700695E-12</v>
      </c>
      <c r="AL136" s="22">
        <f t="shared" si="112"/>
        <v>5.0621685358189711E-12</v>
      </c>
      <c r="AM136" s="62">
        <f t="shared" si="113"/>
        <v>293.33333333333837</v>
      </c>
      <c r="AN136" s="62">
        <f ca="1">AVERAGE(OFFSET($AM$3,0,0,'Données projet'!$E$10+1,1))-AVERAGE(OFFSET($H$3,0,0,'Données projet'!$E$10+1,1))</f>
        <v>227.80096215475777</v>
      </c>
      <c r="AO136" s="62">
        <f t="shared" si="144"/>
        <v>259.52807665663926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0.22690180356297632</v>
      </c>
      <c r="AW136" s="23">
        <f>EXP(-LN(2)/2)*AW135+(1-EXP(-LN(2)/2))/(LN(2)/2)*AQ136*AT136*VLOOKUP('Données projet'!$B$10,Paramètres!$A$1:$I$89,3,0)*0.475*44/12</f>
        <v>1.0992978736391282E-14</v>
      </c>
      <c r="AX136" s="23">
        <f t="shared" si="114"/>
        <v>0.22690180356298731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6.7984728957526396E-14</v>
      </c>
      <c r="BF136" s="14">
        <f t="shared" si="145"/>
        <v>1.0682447123141398E-12</v>
      </c>
      <c r="BG136" s="22">
        <f t="shared" si="115"/>
        <v>1.978932943548152E-12</v>
      </c>
      <c r="BH136" s="62">
        <f t="shared" si="116"/>
        <v>293.3333333333353</v>
      </c>
      <c r="BI136" s="62">
        <f ca="1">AVERAGE(OFFSET($BH$3,0,0,'Données projet'!$E$11+1,1))-AVERAGE(OFFSET($H$3,0,0,'Données projet'!$E$11+1,1))</f>
        <v>149.5086927376081</v>
      </c>
      <c r="BJ136" s="62">
        <f t="shared" si="146"/>
        <v>364.59164590134498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6.9343411127811221</v>
      </c>
      <c r="BQ136" s="23">
        <f>EXP(-LN(2)/25)*BQ135+(1-EXP(-LN(2)/25))/(LN(2)/25)*Calculateur!BL136*Calculateur!BN136*VLOOKUP('Données projet'!$B$11,Paramètres!$A$1:$I$89,3,0)*0.475*44/12</f>
        <v>2.527572285144315</v>
      </c>
      <c r="BR136" s="23">
        <f>EXP(-LN(2)/2)*BR135+(1-EXP(-LN(2)/2))/(LN(2)/2)*BL136*BO136*VLOOKUP('Données projet'!$B$11,Paramètres!$A$1:$I$89,3,0)*0.475*44/12</f>
        <v>1.3680964462840098E-14</v>
      </c>
      <c r="BS136" s="24">
        <f t="shared" si="117"/>
        <v>9.4619133979254517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160.22474733551678</v>
      </c>
      <c r="T137" s="62">
        <f t="shared" si="142"/>
        <v>272.72162271905523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3.4106051316484809E-13</v>
      </c>
      <c r="AJ137" s="14">
        <f>AI137*VLOOKUP('Données projet'!$B$10,Paramètres!$A$1:$I$89,3,0)*VLOOKUP('Données projet'!$B$10,Paramètres!$A$1:$I$89,5,0)</f>
        <v>1.9508661353029313E-13</v>
      </c>
      <c r="AK137" s="14">
        <f t="shared" si="143"/>
        <v>2.711421636700695E-12</v>
      </c>
      <c r="AL137" s="22">
        <f t="shared" si="112"/>
        <v>5.0621685358189711E-12</v>
      </c>
      <c r="AM137" s="62">
        <f t="shared" si="113"/>
        <v>293.33333333333837</v>
      </c>
      <c r="AN137" s="62">
        <f ca="1">AVERAGE(OFFSET($AM$3,0,0,'Données projet'!$E$10+1,1))-AVERAGE(OFFSET($H$3,0,0,'Données projet'!$E$10+1,1))</f>
        <v>227.80096215475777</v>
      </c>
      <c r="AO137" s="62">
        <f t="shared" si="144"/>
        <v>259.52807665663926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0.22069716181229948</v>
      </c>
      <c r="AW137" s="23">
        <f>EXP(-LN(2)/2)*AW136+(1-EXP(-LN(2)/2))/(LN(2)/2)*AQ137*AT137*VLOOKUP('Données projet'!$B$10,Paramètres!$A$1:$I$89,3,0)*0.475*44/12</f>
        <v>7.7732098099418002E-15</v>
      </c>
      <c r="AX137" s="23">
        <f t="shared" si="114"/>
        <v>0.22069716181230725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6.7984728957526396E-14</v>
      </c>
      <c r="BF137" s="14">
        <f t="shared" si="145"/>
        <v>1.0682447123141398E-12</v>
      </c>
      <c r="BG137" s="22">
        <f t="shared" si="115"/>
        <v>1.978932943548152E-12</v>
      </c>
      <c r="BH137" s="62">
        <f t="shared" si="116"/>
        <v>293.3333333333353</v>
      </c>
      <c r="BI137" s="62">
        <f ca="1">AVERAGE(OFFSET($BH$3,0,0,'Données projet'!$E$11+1,1))-AVERAGE(OFFSET($H$3,0,0,'Données projet'!$E$11+1,1))</f>
        <v>149.5086927376081</v>
      </c>
      <c r="BJ137" s="62">
        <f t="shared" si="146"/>
        <v>364.59164590134498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6.7983629130899317</v>
      </c>
      <c r="BQ137" s="23">
        <f>EXP(-LN(2)/25)*BQ136+(1-EXP(-LN(2)/25))/(LN(2)/25)*Calculateur!BL137*Calculateur!BN137*VLOOKUP('Données projet'!$B$11,Paramètres!$A$1:$I$89,3,0)*0.475*44/12</f>
        <v>2.4584556880877941</v>
      </c>
      <c r="BR137" s="23">
        <f>EXP(-LN(2)/2)*BR136+(1-EXP(-LN(2)/2))/(LN(2)/2)*BL137*BO137*VLOOKUP('Données projet'!$B$11,Paramètres!$A$1:$I$89,3,0)*0.475*44/12</f>
        <v>9.6739027448464056E-15</v>
      </c>
      <c r="BS137" s="24">
        <f t="shared" si="117"/>
        <v>9.2568186011777343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160.22474733551678</v>
      </c>
      <c r="T138" s="62">
        <f t="shared" si="142"/>
        <v>272.72162271905523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3.4106051316484809E-13</v>
      </c>
      <c r="AJ138" s="14">
        <f>AI138*VLOOKUP('Données projet'!$B$10,Paramètres!$A$1:$I$89,3,0)*VLOOKUP('Données projet'!$B$10,Paramètres!$A$1:$I$89,5,0)</f>
        <v>1.9508661353029313E-13</v>
      </c>
      <c r="AK138" s="14">
        <f t="shared" si="143"/>
        <v>2.711421636700695E-12</v>
      </c>
      <c r="AL138" s="22">
        <f t="shared" si="112"/>
        <v>5.0621685358189711E-12</v>
      </c>
      <c r="AM138" s="62">
        <f t="shared" si="113"/>
        <v>293.33333333333837</v>
      </c>
      <c r="AN138" s="62">
        <f ca="1">AVERAGE(OFFSET($AM$3,0,0,'Données projet'!$E$10+1,1))-AVERAGE(OFFSET($H$3,0,0,'Données projet'!$E$10+1,1))</f>
        <v>227.80096215475777</v>
      </c>
      <c r="AO138" s="62">
        <f t="shared" si="144"/>
        <v>259.52807665663926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0.21466218631658282</v>
      </c>
      <c r="AW138" s="23">
        <f>EXP(-LN(2)/2)*AW137+(1-EXP(-LN(2)/2))/(LN(2)/2)*AQ138*AT138*VLOOKUP('Données projet'!$B$10,Paramètres!$A$1:$I$89,3,0)*0.475*44/12</f>
        <v>5.4964893681956412E-15</v>
      </c>
      <c r="AX138" s="23">
        <f t="shared" si="114"/>
        <v>0.21466218631658832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6.7984728957526396E-14</v>
      </c>
      <c r="BF138" s="14">
        <f t="shared" si="145"/>
        <v>1.0682447123141398E-12</v>
      </c>
      <c r="BG138" s="22">
        <f t="shared" si="115"/>
        <v>1.978932943548152E-12</v>
      </c>
      <c r="BH138" s="62">
        <f t="shared" si="116"/>
        <v>293.3333333333353</v>
      </c>
      <c r="BI138" s="62">
        <f ca="1">AVERAGE(OFFSET($BH$3,0,0,'Données projet'!$E$11+1,1))-AVERAGE(OFFSET($H$3,0,0,'Données projet'!$E$11+1,1))</f>
        <v>149.5086927376081</v>
      </c>
      <c r="BJ138" s="62">
        <f t="shared" si="146"/>
        <v>364.59164590134498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6.6650511629561731</v>
      </c>
      <c r="BQ138" s="23">
        <f>EXP(-LN(2)/25)*BQ137+(1-EXP(-LN(2)/25))/(LN(2)/25)*Calculateur!BL138*Calculateur!BN138*VLOOKUP('Données projet'!$B$11,Paramètres!$A$1:$I$89,3,0)*0.475*44/12</f>
        <v>2.3912290880124676</v>
      </c>
      <c r="BR138" s="23">
        <f>EXP(-LN(2)/2)*BR137+(1-EXP(-LN(2)/2))/(LN(2)/2)*BL138*BO138*VLOOKUP('Données projet'!$B$11,Paramètres!$A$1:$I$89,3,0)*0.475*44/12</f>
        <v>6.8404822314200489E-15</v>
      </c>
      <c r="BS138" s="24">
        <f t="shared" si="117"/>
        <v>9.0562802509686477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160.22474733551678</v>
      </c>
      <c r="T139" s="62">
        <f t="shared" si="142"/>
        <v>272.72162271905523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3.4106051316484809E-13</v>
      </c>
      <c r="AJ139" s="14">
        <f>AI139*VLOOKUP('Données projet'!$B$10,Paramètres!$A$1:$I$89,3,0)*VLOOKUP('Données projet'!$B$10,Paramètres!$A$1:$I$89,5,0)</f>
        <v>1.9508661353029313E-13</v>
      </c>
      <c r="AK139" s="14">
        <f t="shared" si="143"/>
        <v>2.711421636700695E-12</v>
      </c>
      <c r="AL139" s="22">
        <f t="shared" si="112"/>
        <v>5.0621685358189711E-12</v>
      </c>
      <c r="AM139" s="62">
        <f t="shared" si="113"/>
        <v>293.33333333333837</v>
      </c>
      <c r="AN139" s="62">
        <f ca="1">AVERAGE(OFFSET($AM$3,0,0,'Données projet'!$E$10+1,1))-AVERAGE(OFFSET($H$3,0,0,'Données projet'!$E$10+1,1))</f>
        <v>227.80096215475777</v>
      </c>
      <c r="AO139" s="62">
        <f t="shared" si="144"/>
        <v>259.52807665663926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0.20879223754316209</v>
      </c>
      <c r="AW139" s="23">
        <f>EXP(-LN(2)/2)*AW138+(1-EXP(-LN(2)/2))/(LN(2)/2)*AQ139*AT139*VLOOKUP('Données projet'!$B$10,Paramètres!$A$1:$I$89,3,0)*0.475*44/12</f>
        <v>3.8866049049709001E-15</v>
      </c>
      <c r="AX139" s="23">
        <f t="shared" si="114"/>
        <v>0.20879223754316598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6.7984728957526396E-14</v>
      </c>
      <c r="BF139" s="14">
        <f t="shared" si="145"/>
        <v>1.0682447123141398E-12</v>
      </c>
      <c r="BG139" s="22">
        <f t="shared" si="115"/>
        <v>1.978932943548152E-12</v>
      </c>
      <c r="BH139" s="62">
        <f t="shared" si="116"/>
        <v>293.3333333333353</v>
      </c>
      <c r="BI139" s="62">
        <f ca="1">AVERAGE(OFFSET($BH$3,0,0,'Données projet'!$E$11+1,1))-AVERAGE(OFFSET($H$3,0,0,'Données projet'!$E$11+1,1))</f>
        <v>149.5086927376081</v>
      </c>
      <c r="BJ139" s="62">
        <f t="shared" si="146"/>
        <v>364.59164590134498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6.5343535749303987</v>
      </c>
      <c r="BQ139" s="23">
        <f>EXP(-LN(2)/25)*BQ138+(1-EXP(-LN(2)/25))/(LN(2)/25)*Calculateur!BL139*Calculateur!BN139*VLOOKUP('Données projet'!$B$11,Paramètres!$A$1:$I$89,3,0)*0.475*44/12</f>
        <v>2.3258408028514941</v>
      </c>
      <c r="BR139" s="23">
        <f>EXP(-LN(2)/2)*BR138+(1-EXP(-LN(2)/2))/(LN(2)/2)*BL139*BO139*VLOOKUP('Données projet'!$B$11,Paramètres!$A$1:$I$89,3,0)*0.475*44/12</f>
        <v>4.8369513724232028E-15</v>
      </c>
      <c r="BS139" s="24">
        <f t="shared" si="117"/>
        <v>8.8601943777818981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160.22474733551678</v>
      </c>
      <c r="T140" s="62">
        <f t="shared" si="142"/>
        <v>272.72162271905523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3.4106051316484809E-13</v>
      </c>
      <c r="AJ140" s="14">
        <f>AI140*VLOOKUP('Données projet'!$B$10,Paramètres!$A$1:$I$89,3,0)*VLOOKUP('Données projet'!$B$10,Paramètres!$A$1:$I$89,5,0)</f>
        <v>1.9508661353029313E-13</v>
      </c>
      <c r="AK140" s="14">
        <f t="shared" si="143"/>
        <v>2.711421636700695E-12</v>
      </c>
      <c r="AL140" s="22">
        <f t="shared" si="112"/>
        <v>5.0621685358189711E-12</v>
      </c>
      <c r="AM140" s="62">
        <f t="shared" si="113"/>
        <v>293.33333333333837</v>
      </c>
      <c r="AN140" s="62">
        <f ca="1">AVERAGE(OFFSET($AM$3,0,0,'Données projet'!$E$10+1,1))-AVERAGE(OFFSET($H$3,0,0,'Données projet'!$E$10+1,1))</f>
        <v>227.80096215475777</v>
      </c>
      <c r="AO140" s="62">
        <f t="shared" si="144"/>
        <v>259.52807665663926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0.20308280282763774</v>
      </c>
      <c r="AW140" s="23">
        <f>EXP(-LN(2)/2)*AW139+(1-EXP(-LN(2)/2))/(LN(2)/2)*AQ140*AT140*VLOOKUP('Données projet'!$B$10,Paramètres!$A$1:$I$89,3,0)*0.475*44/12</f>
        <v>2.7482446840978206E-15</v>
      </c>
      <c r="AX140" s="23">
        <f t="shared" si="114"/>
        <v>0.20308280282764049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6.7984728957526396E-14</v>
      </c>
      <c r="BF140" s="14">
        <f t="shared" si="145"/>
        <v>1.0682447123141398E-12</v>
      </c>
      <c r="BG140" s="22">
        <f t="shared" si="115"/>
        <v>1.978932943548152E-12</v>
      </c>
      <c r="BH140" s="62">
        <f t="shared" si="116"/>
        <v>293.3333333333353</v>
      </c>
      <c r="BI140" s="62">
        <f ca="1">AVERAGE(OFFSET($BH$3,0,0,'Données projet'!$E$11+1,1))-AVERAGE(OFFSET($H$3,0,0,'Données projet'!$E$11+1,1))</f>
        <v>149.5086927376081</v>
      </c>
      <c r="BJ140" s="62">
        <f t="shared" si="146"/>
        <v>364.59164590134498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6.4062188868881531</v>
      </c>
      <c r="BQ140" s="23">
        <f>EXP(-LN(2)/25)*BQ139+(1-EXP(-LN(2)/25))/(LN(2)/25)*Calculateur!BL140*Calculateur!BN140*VLOOKUP('Données projet'!$B$11,Paramètres!$A$1:$I$89,3,0)*0.475*44/12</f>
        <v>2.2622405637868681</v>
      </c>
      <c r="BR140" s="23">
        <f>EXP(-LN(2)/2)*BR139+(1-EXP(-LN(2)/2))/(LN(2)/2)*BL140*BO140*VLOOKUP('Données projet'!$B$11,Paramètres!$A$1:$I$89,3,0)*0.475*44/12</f>
        <v>3.4202411157100244E-15</v>
      </c>
      <c r="BS140" s="24">
        <f t="shared" si="117"/>
        <v>8.6684594506750248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160.22474733551678</v>
      </c>
      <c r="T141" s="62">
        <f t="shared" si="142"/>
        <v>272.72162271905523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3.4106051316484809E-13</v>
      </c>
      <c r="AJ141" s="14">
        <f>AI141*VLOOKUP('Données projet'!$B$10,Paramètres!$A$1:$I$89,3,0)*VLOOKUP('Données projet'!$B$10,Paramètres!$A$1:$I$89,5,0)</f>
        <v>1.9508661353029313E-13</v>
      </c>
      <c r="AK141" s="14">
        <f t="shared" si="143"/>
        <v>2.711421636700695E-12</v>
      </c>
      <c r="AL141" s="22">
        <f t="shared" si="112"/>
        <v>5.0621685358189711E-12</v>
      </c>
      <c r="AM141" s="62">
        <f t="shared" si="113"/>
        <v>293.33333333333837</v>
      </c>
      <c r="AN141" s="62">
        <f ca="1">AVERAGE(OFFSET($AM$3,0,0,'Données projet'!$E$10+1,1))-AVERAGE(OFFSET($H$3,0,0,'Données projet'!$E$10+1,1))</f>
        <v>227.80096215475777</v>
      </c>
      <c r="AO141" s="62">
        <f t="shared" si="144"/>
        <v>259.52807665663926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0.19752949290465555</v>
      </c>
      <c r="AW141" s="23">
        <f>EXP(-LN(2)/2)*AW140+(1-EXP(-LN(2)/2))/(LN(2)/2)*AQ141*AT141*VLOOKUP('Données projet'!$B$10,Paramètres!$A$1:$I$89,3,0)*0.475*44/12</f>
        <v>1.94330245248545E-15</v>
      </c>
      <c r="AX141" s="23">
        <f t="shared" si="114"/>
        <v>0.19752949290465749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6.7984728957526396E-14</v>
      </c>
      <c r="BF141" s="14">
        <f t="shared" si="145"/>
        <v>1.0682447123141398E-12</v>
      </c>
      <c r="BG141" s="22">
        <f t="shared" si="115"/>
        <v>1.978932943548152E-12</v>
      </c>
      <c r="BH141" s="62">
        <f t="shared" si="116"/>
        <v>293.3333333333353</v>
      </c>
      <c r="BI141" s="62">
        <f ca="1">AVERAGE(OFFSET($BH$3,0,0,'Données projet'!$E$11+1,1))-AVERAGE(OFFSET($H$3,0,0,'Données projet'!$E$11+1,1))</f>
        <v>149.5086927376081</v>
      </c>
      <c r="BJ141" s="62">
        <f t="shared" si="146"/>
        <v>364.59164590134498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6.2805968419239733</v>
      </c>
      <c r="BQ141" s="23">
        <f>EXP(-LN(2)/25)*BQ140+(1-EXP(-LN(2)/25))/(LN(2)/25)*Calculateur!BL141*Calculateur!BN141*VLOOKUP('Données projet'!$B$11,Paramètres!$A$1:$I$89,3,0)*0.475*44/12</f>
        <v>2.2003794766040552</v>
      </c>
      <c r="BR141" s="23">
        <f>EXP(-LN(2)/2)*BR140+(1-EXP(-LN(2)/2))/(LN(2)/2)*BL141*BO141*VLOOKUP('Données projet'!$B$11,Paramètres!$A$1:$I$89,3,0)*0.475*44/12</f>
        <v>2.4184756862116014E-15</v>
      </c>
      <c r="BS141" s="24">
        <f t="shared" si="117"/>
        <v>8.4809763185280307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160.22474733551678</v>
      </c>
      <c r="T142" s="62">
        <f t="shared" si="142"/>
        <v>272.72162271905523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3.4106051316484809E-13</v>
      </c>
      <c r="AJ142" s="14">
        <f>AI142*VLOOKUP('Données projet'!$B$10,Paramètres!$A$1:$I$89,3,0)*VLOOKUP('Données projet'!$B$10,Paramètres!$A$1:$I$89,5,0)</f>
        <v>1.9508661353029313E-13</v>
      </c>
      <c r="AK142" s="14">
        <f t="shared" si="143"/>
        <v>2.711421636700695E-12</v>
      </c>
      <c r="AL142" s="22">
        <f t="shared" si="112"/>
        <v>5.0621685358189711E-12</v>
      </c>
      <c r="AM142" s="62">
        <f t="shared" si="113"/>
        <v>293.33333333333837</v>
      </c>
      <c r="AN142" s="62">
        <f ca="1">AVERAGE(OFFSET($AM$3,0,0,'Données projet'!$E$10+1,1))-AVERAGE(OFFSET($H$3,0,0,'Données projet'!$E$10+1,1))</f>
        <v>227.80096215475777</v>
      </c>
      <c r="AO142" s="62">
        <f t="shared" si="144"/>
        <v>259.52807665663926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0.19212803853355317</v>
      </c>
      <c r="AW142" s="23">
        <f>EXP(-LN(2)/2)*AW141+(1-EXP(-LN(2)/2))/(LN(2)/2)*AQ142*AT142*VLOOKUP('Données projet'!$B$10,Paramètres!$A$1:$I$89,3,0)*0.475*44/12</f>
        <v>1.3741223420489103E-15</v>
      </c>
      <c r="AX142" s="23">
        <f t="shared" si="114"/>
        <v>0.19212803853355456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6.7984728957526396E-14</v>
      </c>
      <c r="BF142" s="14">
        <f t="shared" si="145"/>
        <v>1.0682447123141398E-12</v>
      </c>
      <c r="BG142" s="22">
        <f t="shared" si="115"/>
        <v>1.978932943548152E-12</v>
      </c>
      <c r="BH142" s="62">
        <f t="shared" si="116"/>
        <v>293.3333333333353</v>
      </c>
      <c r="BI142" s="62">
        <f ca="1">AVERAGE(OFFSET($BH$3,0,0,'Données projet'!$E$11+1,1))-AVERAGE(OFFSET($H$3,0,0,'Données projet'!$E$11+1,1))</f>
        <v>149.5086927376081</v>
      </c>
      <c r="BJ142" s="62">
        <f t="shared" si="146"/>
        <v>364.59164590134498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6.1574381686396586</v>
      </c>
      <c r="BQ142" s="23">
        <f>EXP(-LN(2)/25)*BQ141+(1-EXP(-LN(2)/25))/(LN(2)/25)*Calculateur!BL142*Calculateur!BN142*VLOOKUP('Données projet'!$B$11,Paramètres!$A$1:$I$89,3,0)*0.475*44/12</f>
        <v>2.1402099841033895</v>
      </c>
      <c r="BR142" s="23">
        <f>EXP(-LN(2)/2)*BR141+(1-EXP(-LN(2)/2))/(LN(2)/2)*BL142*BO142*VLOOKUP('Données projet'!$B$11,Paramètres!$A$1:$I$89,3,0)*0.475*44/12</f>
        <v>1.7101205578550122E-15</v>
      </c>
      <c r="BS142" s="24">
        <f t="shared" si="117"/>
        <v>8.297648152743049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160.22474733551678</v>
      </c>
      <c r="T143" s="62">
        <f t="shared" si="142"/>
        <v>272.72162271905523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3.4106051316484809E-13</v>
      </c>
      <c r="AJ143" s="14">
        <f>AI143*VLOOKUP('Données projet'!$B$10,Paramètres!$A$1:$I$89,3,0)*VLOOKUP('Données projet'!$B$10,Paramètres!$A$1:$I$89,5,0)</f>
        <v>1.9508661353029313E-13</v>
      </c>
      <c r="AK143" s="14">
        <f t="shared" si="143"/>
        <v>2.711421636700695E-12</v>
      </c>
      <c r="AL143" s="22">
        <f t="shared" si="112"/>
        <v>5.0621685358189711E-12</v>
      </c>
      <c r="AM143" s="62">
        <f t="shared" si="113"/>
        <v>293.33333333333837</v>
      </c>
      <c r="AN143" s="62">
        <f ca="1">AVERAGE(OFFSET($AM$3,0,0,'Données projet'!$E$10+1,1))-AVERAGE(OFFSET($H$3,0,0,'Données projet'!$E$10+1,1))</f>
        <v>227.80096215475777</v>
      </c>
      <c r="AO143" s="62">
        <f t="shared" si="144"/>
        <v>259.52807665663926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0.18687428721627874</v>
      </c>
      <c r="AW143" s="23">
        <f>EXP(-LN(2)/2)*AW142+(1-EXP(-LN(2)/2))/(LN(2)/2)*AQ143*AT143*VLOOKUP('Données projet'!$B$10,Paramètres!$A$1:$I$89,3,0)*0.475*44/12</f>
        <v>9.7165122624272502E-16</v>
      </c>
      <c r="AX143" s="23">
        <f t="shared" si="114"/>
        <v>0.18687428721627972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6.7984728957526396E-14</v>
      </c>
      <c r="BF143" s="14">
        <f t="shared" si="145"/>
        <v>1.0682447123141398E-12</v>
      </c>
      <c r="BG143" s="22">
        <f t="shared" si="115"/>
        <v>1.978932943548152E-12</v>
      </c>
      <c r="BH143" s="62">
        <f t="shared" si="116"/>
        <v>293.3333333333353</v>
      </c>
      <c r="BI143" s="62">
        <f ca="1">AVERAGE(OFFSET($BH$3,0,0,'Données projet'!$E$11+1,1))-AVERAGE(OFFSET($H$3,0,0,'Données projet'!$E$11+1,1))</f>
        <v>149.5086927376081</v>
      </c>
      <c r="BJ143" s="62">
        <f t="shared" si="146"/>
        <v>364.59164590134498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6.0366945618190764</v>
      </c>
      <c r="BQ143" s="23">
        <f>EXP(-LN(2)/25)*BQ142+(1-EXP(-LN(2)/25))/(LN(2)/25)*Calculateur!BL143*Calculateur!BN143*VLOOKUP('Données projet'!$B$11,Paramètres!$A$1:$I$89,3,0)*0.475*44/12</f>
        <v>2.0816858295393308</v>
      </c>
      <c r="BR143" s="23">
        <f>EXP(-LN(2)/2)*BR142+(1-EXP(-LN(2)/2))/(LN(2)/2)*BL143*BO143*VLOOKUP('Données projet'!$B$11,Paramètres!$A$1:$I$89,3,0)*0.475*44/12</f>
        <v>1.2092378431058007E-15</v>
      </c>
      <c r="BS143" s="24">
        <f t="shared" si="117"/>
        <v>8.1183803913584089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160.22474733551678</v>
      </c>
      <c r="T144" s="62">
        <f t="shared" si="142"/>
        <v>272.72162271905523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3.4106051316484809E-13</v>
      </c>
      <c r="AJ144" s="14">
        <f>AI144*VLOOKUP('Données projet'!$B$10,Paramètres!$A$1:$I$89,3,0)*VLOOKUP('Données projet'!$B$10,Paramètres!$A$1:$I$89,5,0)</f>
        <v>1.9508661353029313E-13</v>
      </c>
      <c r="AK144" s="14">
        <f t="shared" si="143"/>
        <v>2.711421636700695E-12</v>
      </c>
      <c r="AL144" s="22">
        <f t="shared" si="112"/>
        <v>5.0621685358189711E-12</v>
      </c>
      <c r="AM144" s="62">
        <f t="shared" si="113"/>
        <v>293.33333333333837</v>
      </c>
      <c r="AN144" s="62">
        <f ca="1">AVERAGE(OFFSET($AM$3,0,0,'Données projet'!$E$10+1,1))-AVERAGE(OFFSET($H$3,0,0,'Données projet'!$E$10+1,1))</f>
        <v>227.80096215475777</v>
      </c>
      <c r="AO144" s="62">
        <f t="shared" si="144"/>
        <v>259.52807665663926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0.18176420000505794</v>
      </c>
      <c r="AW144" s="23">
        <f>EXP(-LN(2)/2)*AW143+(1-EXP(-LN(2)/2))/(LN(2)/2)*AQ144*AT144*VLOOKUP('Données projet'!$B$10,Paramètres!$A$1:$I$89,3,0)*0.475*44/12</f>
        <v>6.8706117102445515E-16</v>
      </c>
      <c r="AX144" s="23">
        <f t="shared" si="114"/>
        <v>0.18176420000505863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6.7984728957526396E-14</v>
      </c>
      <c r="BF144" s="14">
        <f t="shared" si="145"/>
        <v>1.0682447123141398E-12</v>
      </c>
      <c r="BG144" s="22">
        <f t="shared" si="115"/>
        <v>1.978932943548152E-12</v>
      </c>
      <c r="BH144" s="62">
        <f t="shared" si="116"/>
        <v>293.3333333333353</v>
      </c>
      <c r="BI144" s="62">
        <f ca="1">AVERAGE(OFFSET($BH$3,0,0,'Données projet'!$E$11+1,1))-AVERAGE(OFFSET($H$3,0,0,'Données projet'!$E$11+1,1))</f>
        <v>149.5086927376081</v>
      </c>
      <c r="BJ144" s="62">
        <f t="shared" si="146"/>
        <v>364.59164590134498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5.9183186634819176</v>
      </c>
      <c r="BQ144" s="23">
        <f>EXP(-LN(2)/25)*BQ143+(1-EXP(-LN(2)/25))/(LN(2)/25)*Calculateur!BL144*Calculateur!BN144*VLOOKUP('Données projet'!$B$11,Paramètres!$A$1:$I$89,3,0)*0.475*44/12</f>
        <v>2.0247620210594777</v>
      </c>
      <c r="BR144" s="23">
        <f>EXP(-LN(2)/2)*BR143+(1-EXP(-LN(2)/2))/(LN(2)/2)*BL144*BO144*VLOOKUP('Données projet'!$B$11,Paramètres!$A$1:$I$89,3,0)*0.475*44/12</f>
        <v>8.5506027892750611E-16</v>
      </c>
      <c r="BS144" s="24">
        <f t="shared" si="117"/>
        <v>7.9430806845413962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160.22474733551678</v>
      </c>
      <c r="T145" s="62">
        <f t="shared" si="142"/>
        <v>272.72162271905523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3.4106051316484809E-13</v>
      </c>
      <c r="AJ145" s="14">
        <f>AI145*VLOOKUP('Données projet'!$B$10,Paramètres!$A$1:$I$89,3,0)*VLOOKUP('Données projet'!$B$10,Paramètres!$A$1:$I$89,5,0)</f>
        <v>1.9508661353029313E-13</v>
      </c>
      <c r="AK145" s="14">
        <f t="shared" si="143"/>
        <v>2.711421636700695E-12</v>
      </c>
      <c r="AL145" s="22">
        <f t="shared" si="112"/>
        <v>5.0621685358189711E-12</v>
      </c>
      <c r="AM145" s="62">
        <f t="shared" si="113"/>
        <v>293.33333333333837</v>
      </c>
      <c r="AN145" s="62">
        <f ca="1">AVERAGE(OFFSET($AM$3,0,0,'Données projet'!$E$10+1,1))-AVERAGE(OFFSET($H$3,0,0,'Données projet'!$E$10+1,1))</f>
        <v>227.80096215475777</v>
      </c>
      <c r="AO145" s="62">
        <f t="shared" si="144"/>
        <v>259.52807665663926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0.17679384839735579</v>
      </c>
      <c r="AW145" s="23">
        <f>EXP(-LN(2)/2)*AW144+(1-EXP(-LN(2)/2))/(LN(2)/2)*AQ145*AT145*VLOOKUP('Données projet'!$B$10,Paramètres!$A$1:$I$89,3,0)*0.475*44/12</f>
        <v>4.8582561312136251E-16</v>
      </c>
      <c r="AX145" s="23">
        <f t="shared" si="114"/>
        <v>0.17679384839735629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6.7984728957526396E-14</v>
      </c>
      <c r="BF145" s="14">
        <f t="shared" si="145"/>
        <v>1.0682447123141398E-12</v>
      </c>
      <c r="BG145" s="22">
        <f t="shared" si="115"/>
        <v>1.978932943548152E-12</v>
      </c>
      <c r="BH145" s="62">
        <f t="shared" si="116"/>
        <v>293.3333333333353</v>
      </c>
      <c r="BI145" s="62">
        <f ca="1">AVERAGE(OFFSET($BH$3,0,0,'Données projet'!$E$11+1,1))-AVERAGE(OFFSET($H$3,0,0,'Données projet'!$E$11+1,1))</f>
        <v>149.5086927376081</v>
      </c>
      <c r="BJ145" s="62">
        <f t="shared" si="146"/>
        <v>364.59164590134498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5.8022640443089823</v>
      </c>
      <c r="BQ145" s="23">
        <f>EXP(-LN(2)/25)*BQ144+(1-EXP(-LN(2)/25))/(LN(2)/25)*Calculateur!BL145*Calculateur!BN145*VLOOKUP('Données projet'!$B$11,Paramètres!$A$1:$I$89,3,0)*0.475*44/12</f>
        <v>1.9693947971159993</v>
      </c>
      <c r="BR145" s="23">
        <f>EXP(-LN(2)/2)*BR144+(1-EXP(-LN(2)/2))/(LN(2)/2)*BL145*BO145*VLOOKUP('Données projet'!$B$11,Paramètres!$A$1:$I$89,3,0)*0.475*44/12</f>
        <v>6.0461892155290035E-16</v>
      </c>
      <c r="BS145" s="24">
        <f t="shared" si="117"/>
        <v>7.7716588414249825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160.22474733551678</v>
      </c>
      <c r="T146" s="62">
        <f t="shared" si="142"/>
        <v>272.72162271905523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3.4106051316484809E-13</v>
      </c>
      <c r="AJ146" s="14">
        <f>AI146*VLOOKUP('Données projet'!$B$10,Paramètres!$A$1:$I$89,3,0)*VLOOKUP('Données projet'!$B$10,Paramètres!$A$1:$I$89,5,0)</f>
        <v>1.9508661353029313E-13</v>
      </c>
      <c r="AK146" s="14">
        <f t="shared" si="143"/>
        <v>2.711421636700695E-12</v>
      </c>
      <c r="AL146" s="22">
        <f t="shared" si="112"/>
        <v>5.0621685358189711E-12</v>
      </c>
      <c r="AM146" s="62">
        <f t="shared" si="113"/>
        <v>293.33333333333837</v>
      </c>
      <c r="AN146" s="62">
        <f ca="1">AVERAGE(OFFSET($AM$3,0,0,'Données projet'!$E$10+1,1))-AVERAGE(OFFSET($H$3,0,0,'Données projet'!$E$10+1,1))</f>
        <v>227.80096215475777</v>
      </c>
      <c r="AO146" s="62">
        <f t="shared" si="144"/>
        <v>259.52807665663926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0.17195941131574569</v>
      </c>
      <c r="AW146" s="23">
        <f>EXP(-LN(2)/2)*AW145+(1-EXP(-LN(2)/2))/(LN(2)/2)*AQ146*AT146*VLOOKUP('Données projet'!$B$10,Paramètres!$A$1:$I$89,3,0)*0.475*44/12</f>
        <v>3.4353058551222758E-16</v>
      </c>
      <c r="AX146" s="23">
        <f t="shared" si="114"/>
        <v>0.17195941131574602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6.7984728957526396E-14</v>
      </c>
      <c r="BF146" s="14">
        <f t="shared" si="145"/>
        <v>1.0682447123141398E-12</v>
      </c>
      <c r="BG146" s="22">
        <f t="shared" si="115"/>
        <v>1.978932943548152E-12</v>
      </c>
      <c r="BH146" s="62">
        <f t="shared" si="116"/>
        <v>293.3333333333353</v>
      </c>
      <c r="BI146" s="62">
        <f ca="1">AVERAGE(OFFSET($BH$3,0,0,'Données projet'!$E$11+1,1))-AVERAGE(OFFSET($H$3,0,0,'Données projet'!$E$11+1,1))</f>
        <v>149.5086927376081</v>
      </c>
      <c r="BJ146" s="62">
        <f t="shared" si="146"/>
        <v>364.59164590134498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5.6884851854317002</v>
      </c>
      <c r="BQ146" s="23">
        <f>EXP(-LN(2)/25)*BQ145+(1-EXP(-LN(2)/25))/(LN(2)/25)*Calculateur!BL146*Calculateur!BN146*VLOOKUP('Données projet'!$B$11,Paramètres!$A$1:$I$89,3,0)*0.475*44/12</f>
        <v>1.9155415928228909</v>
      </c>
      <c r="BR146" s="23">
        <f>EXP(-LN(2)/2)*BR145+(1-EXP(-LN(2)/2))/(LN(2)/2)*BL146*BO146*VLOOKUP('Données projet'!$B$11,Paramètres!$A$1:$I$89,3,0)*0.475*44/12</f>
        <v>4.2753013946375306E-16</v>
      </c>
      <c r="BS146" s="24">
        <f t="shared" si="117"/>
        <v>7.6040267782545907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160.22474733551678</v>
      </c>
      <c r="T147" s="62">
        <f t="shared" si="142"/>
        <v>272.72162271905523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3.4106051316484809E-13</v>
      </c>
      <c r="AJ147" s="14">
        <f>AI147*VLOOKUP('Données projet'!$B$10,Paramètres!$A$1:$I$89,3,0)*VLOOKUP('Données projet'!$B$10,Paramètres!$A$1:$I$89,5,0)</f>
        <v>1.9508661353029313E-13</v>
      </c>
      <c r="AK147" s="14">
        <f t="shared" si="143"/>
        <v>2.711421636700695E-12</v>
      </c>
      <c r="AL147" s="22">
        <f t="shared" si="112"/>
        <v>5.0621685358189711E-12</v>
      </c>
      <c r="AM147" s="62">
        <f t="shared" si="113"/>
        <v>293.33333333333837</v>
      </c>
      <c r="AN147" s="62">
        <f ca="1">AVERAGE(OFFSET($AM$3,0,0,'Données projet'!$E$10+1,1))-AVERAGE(OFFSET($H$3,0,0,'Données projet'!$E$10+1,1))</f>
        <v>227.80096215475777</v>
      </c>
      <c r="AO147" s="62">
        <f t="shared" si="144"/>
        <v>259.52807665663926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0.1672571721703642</v>
      </c>
      <c r="AW147" s="23">
        <f>EXP(-LN(2)/2)*AW146+(1-EXP(-LN(2)/2))/(LN(2)/2)*AQ147*AT147*VLOOKUP('Données projet'!$B$10,Paramètres!$A$1:$I$89,3,0)*0.475*44/12</f>
        <v>2.4291280656068126E-16</v>
      </c>
      <c r="AX147" s="23">
        <f t="shared" si="114"/>
        <v>0.16725717217036445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6.7984728957526396E-14</v>
      </c>
      <c r="BF147" s="14">
        <f t="shared" si="145"/>
        <v>1.0682447123141398E-12</v>
      </c>
      <c r="BG147" s="22">
        <f t="shared" si="115"/>
        <v>1.978932943548152E-12</v>
      </c>
      <c r="BH147" s="62">
        <f t="shared" si="116"/>
        <v>293.3333333333353</v>
      </c>
      <c r="BI147" s="62">
        <f ca="1">AVERAGE(OFFSET($BH$3,0,0,'Données projet'!$E$11+1,1))-AVERAGE(OFFSET($H$3,0,0,'Données projet'!$E$11+1,1))</f>
        <v>149.5086927376081</v>
      </c>
      <c r="BJ147" s="62">
        <f t="shared" si="146"/>
        <v>364.59164590134498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5.5769374605787503</v>
      </c>
      <c r="BQ147" s="23">
        <f>EXP(-LN(2)/25)*BQ146+(1-EXP(-LN(2)/25))/(LN(2)/25)*Calculateur!BL147*Calculateur!BN147*VLOOKUP('Données projet'!$B$11,Paramètres!$A$1:$I$89,3,0)*0.475*44/12</f>
        <v>1.8631610072331946</v>
      </c>
      <c r="BR147" s="23">
        <f>EXP(-LN(2)/2)*BR146+(1-EXP(-LN(2)/2))/(LN(2)/2)*BL147*BO147*VLOOKUP('Données projet'!$B$11,Paramètres!$A$1:$I$89,3,0)*0.475*44/12</f>
        <v>3.0230946077645017E-16</v>
      </c>
      <c r="BS147" s="24">
        <f t="shared" si="117"/>
        <v>7.4400984678119446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160.22474733551678</v>
      </c>
      <c r="T148" s="62">
        <f t="shared" si="142"/>
        <v>272.72162271905523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3.4106051316484809E-13</v>
      </c>
      <c r="AJ148" s="14">
        <f>AI148*VLOOKUP('Données projet'!$B$10,Paramètres!$A$1:$I$89,3,0)*VLOOKUP('Données projet'!$B$10,Paramètres!$A$1:$I$89,5,0)</f>
        <v>1.9508661353029313E-13</v>
      </c>
      <c r="AK148" s="14">
        <f t="shared" si="143"/>
        <v>2.711421636700695E-12</v>
      </c>
      <c r="AL148" s="22">
        <f t="shared" si="112"/>
        <v>5.0621685358189711E-12</v>
      </c>
      <c r="AM148" s="62">
        <f t="shared" si="113"/>
        <v>293.33333333333837</v>
      </c>
      <c r="AN148" s="62">
        <f ca="1">AVERAGE(OFFSET($AM$3,0,0,'Données projet'!$E$10+1,1))-AVERAGE(OFFSET($H$3,0,0,'Données projet'!$E$10+1,1))</f>
        <v>227.80096215475777</v>
      </c>
      <c r="AO148" s="62">
        <f t="shared" si="144"/>
        <v>259.52807665663926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0.16268351600169317</v>
      </c>
      <c r="AW148" s="23">
        <f>EXP(-LN(2)/2)*AW147+(1-EXP(-LN(2)/2))/(LN(2)/2)*AQ148*AT148*VLOOKUP('Données projet'!$B$10,Paramètres!$A$1:$I$89,3,0)*0.475*44/12</f>
        <v>1.7176529275611379E-16</v>
      </c>
      <c r="AX148" s="23">
        <f t="shared" si="114"/>
        <v>0.16268351600169334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6.7984728957526396E-14</v>
      </c>
      <c r="BF148" s="14">
        <f t="shared" si="145"/>
        <v>1.0682447123141398E-12</v>
      </c>
      <c r="BG148" s="22">
        <f t="shared" si="115"/>
        <v>1.978932943548152E-12</v>
      </c>
      <c r="BH148" s="62">
        <f t="shared" si="116"/>
        <v>293.3333333333353</v>
      </c>
      <c r="BI148" s="62">
        <f ca="1">AVERAGE(OFFSET($BH$3,0,0,'Données projet'!$E$11+1,1))-AVERAGE(OFFSET($H$3,0,0,'Données projet'!$E$11+1,1))</f>
        <v>149.5086927376081</v>
      </c>
      <c r="BJ148" s="62">
        <f t="shared" si="146"/>
        <v>364.59164590134498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5.4675771185727724</v>
      </c>
      <c r="BQ148" s="23">
        <f>EXP(-LN(2)/25)*BQ147+(1-EXP(-LN(2)/25))/(LN(2)/25)*Calculateur!BL148*Calculateur!BN148*VLOOKUP('Données projet'!$B$11,Paramètres!$A$1:$I$89,3,0)*0.475*44/12</f>
        <v>1.8122127715110239</v>
      </c>
      <c r="BR148" s="23">
        <f>EXP(-LN(2)/2)*BR147+(1-EXP(-LN(2)/2))/(LN(2)/2)*BL148*BO148*VLOOKUP('Données projet'!$B$11,Paramètres!$A$1:$I$89,3,0)*0.475*44/12</f>
        <v>2.1376506973187653E-16</v>
      </c>
      <c r="BS148" s="24">
        <f t="shared" si="117"/>
        <v>7.2797898900837961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160.22474733551678</v>
      </c>
      <c r="T149" s="62">
        <f t="shared" si="142"/>
        <v>272.72162271905523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3.4106051316484809E-13</v>
      </c>
      <c r="AJ149" s="14">
        <f>AI149*VLOOKUP('Données projet'!$B$10,Paramètres!$A$1:$I$89,3,0)*VLOOKUP('Données projet'!$B$10,Paramètres!$A$1:$I$89,5,0)</f>
        <v>1.9508661353029313E-13</v>
      </c>
      <c r="AK149" s="14">
        <f t="shared" si="143"/>
        <v>2.711421636700695E-12</v>
      </c>
      <c r="AL149" s="22">
        <f t="shared" si="112"/>
        <v>5.0621685358189711E-12</v>
      </c>
      <c r="AM149" s="62">
        <f t="shared" si="113"/>
        <v>293.33333333333837</v>
      </c>
      <c r="AN149" s="62">
        <f ca="1">AVERAGE(OFFSET($AM$3,0,0,'Données projet'!$E$10+1,1))-AVERAGE(OFFSET($H$3,0,0,'Données projet'!$E$10+1,1))</f>
        <v>227.80096215475777</v>
      </c>
      <c r="AO149" s="62">
        <f t="shared" si="144"/>
        <v>259.52807665663926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0.15823492670147257</v>
      </c>
      <c r="AW149" s="23">
        <f>EXP(-LN(2)/2)*AW148+(1-EXP(-LN(2)/2))/(LN(2)/2)*AQ149*AT149*VLOOKUP('Données projet'!$B$10,Paramètres!$A$1:$I$89,3,0)*0.475*44/12</f>
        <v>1.2145640328034063E-16</v>
      </c>
      <c r="AX149" s="23">
        <f t="shared" si="114"/>
        <v>0.15823492670147268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6.7984728957526396E-14</v>
      </c>
      <c r="BF149" s="14">
        <f t="shared" si="145"/>
        <v>1.0682447123141398E-12</v>
      </c>
      <c r="BG149" s="22">
        <f t="shared" si="115"/>
        <v>1.978932943548152E-12</v>
      </c>
      <c r="BH149" s="62">
        <f t="shared" si="116"/>
        <v>293.3333333333353</v>
      </c>
      <c r="BI149" s="62">
        <f ca="1">AVERAGE(OFFSET($BH$3,0,0,'Données projet'!$E$11+1,1))-AVERAGE(OFFSET($H$3,0,0,'Données projet'!$E$11+1,1))</f>
        <v>149.5086927376081</v>
      </c>
      <c r="BJ149" s="62">
        <f t="shared" si="146"/>
        <v>364.59164590134498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5.3603612661703091</v>
      </c>
      <c r="BQ149" s="23">
        <f>EXP(-LN(2)/25)*BQ148+(1-EXP(-LN(2)/25))/(LN(2)/25)*Calculateur!BL149*Calculateur!BN149*VLOOKUP('Données projet'!$B$11,Paramètres!$A$1:$I$89,3,0)*0.475*44/12</f>
        <v>1.7626577179739271</v>
      </c>
      <c r="BR149" s="23">
        <f>EXP(-LN(2)/2)*BR148+(1-EXP(-LN(2)/2))/(LN(2)/2)*BL149*BO149*VLOOKUP('Données projet'!$B$11,Paramètres!$A$1:$I$89,3,0)*0.475*44/12</f>
        <v>1.5115473038822509E-16</v>
      </c>
      <c r="BS149" s="24">
        <f t="shared" si="117"/>
        <v>7.1230189841442364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160.22474733551678</v>
      </c>
      <c r="T150" s="62">
        <f t="shared" si="142"/>
        <v>272.72162271905523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3.4106051316484809E-13</v>
      </c>
      <c r="AJ150" s="14">
        <f>AI150*VLOOKUP('Données projet'!$B$10,Paramètres!$A$1:$I$89,3,0)*VLOOKUP('Données projet'!$B$10,Paramètres!$A$1:$I$89,5,0)</f>
        <v>1.9508661353029313E-13</v>
      </c>
      <c r="AK150" s="14">
        <f t="shared" si="143"/>
        <v>2.711421636700695E-12</v>
      </c>
      <c r="AL150" s="22">
        <f t="shared" si="112"/>
        <v>5.0621685358189711E-12</v>
      </c>
      <c r="AM150" s="62">
        <f t="shared" si="113"/>
        <v>293.33333333333837</v>
      </c>
      <c r="AN150" s="62">
        <f ca="1">AVERAGE(OFFSET($AM$3,0,0,'Données projet'!$E$10+1,1))-AVERAGE(OFFSET($H$3,0,0,'Données projet'!$E$10+1,1))</f>
        <v>227.80096215475777</v>
      </c>
      <c r="AO150" s="62">
        <f t="shared" si="144"/>
        <v>259.52807665663926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0.15390798430960767</v>
      </c>
      <c r="AW150" s="23">
        <f>EXP(-LN(2)/2)*AW149+(1-EXP(-LN(2)/2))/(LN(2)/2)*AQ150*AT150*VLOOKUP('Données projet'!$B$10,Paramètres!$A$1:$I$89,3,0)*0.475*44/12</f>
        <v>8.5882646378056894E-17</v>
      </c>
      <c r="AX150" s="23">
        <f t="shared" si="114"/>
        <v>0.15390798430960775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6.7984728957526396E-14</v>
      </c>
      <c r="BF150" s="14">
        <f t="shared" si="145"/>
        <v>1.0682447123141398E-12</v>
      </c>
      <c r="BG150" s="22">
        <f t="shared" si="115"/>
        <v>1.978932943548152E-12</v>
      </c>
      <c r="BH150" s="62">
        <f t="shared" si="116"/>
        <v>293.3333333333353</v>
      </c>
      <c r="BI150" s="62">
        <f ca="1">AVERAGE(OFFSET($BH$3,0,0,'Données projet'!$E$11+1,1))-AVERAGE(OFFSET($H$3,0,0,'Données projet'!$E$11+1,1))</f>
        <v>149.5086927376081</v>
      </c>
      <c r="BJ150" s="62">
        <f t="shared" si="146"/>
        <v>364.59164590134498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5.2552478512382459</v>
      </c>
      <c r="BQ150" s="23">
        <f>EXP(-LN(2)/25)*BQ149+(1-EXP(-LN(2)/25))/(LN(2)/25)*Calculateur!BL150*Calculateur!BN150*VLOOKUP('Données projet'!$B$11,Paramètres!$A$1:$I$89,3,0)*0.475*44/12</f>
        <v>1.7144577499817892</v>
      </c>
      <c r="BR150" s="23">
        <f>EXP(-LN(2)/2)*BR149+(1-EXP(-LN(2)/2))/(LN(2)/2)*BL150*BO150*VLOOKUP('Données projet'!$B$11,Paramètres!$A$1:$I$89,3,0)*0.475*44/12</f>
        <v>1.0688253486593826E-16</v>
      </c>
      <c r="BS150" s="24">
        <f t="shared" si="117"/>
        <v>6.9697056012200349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160.22474733551678</v>
      </c>
      <c r="T151" s="62">
        <f t="shared" si="142"/>
        <v>272.72162271905523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3.4106051316484809E-13</v>
      </c>
      <c r="AJ151" s="14">
        <f>AI151*VLOOKUP('Données projet'!$B$10,Paramètres!$A$1:$I$89,3,0)*VLOOKUP('Données projet'!$B$10,Paramètres!$A$1:$I$89,5,0)</f>
        <v>1.9508661353029313E-13</v>
      </c>
      <c r="AK151" s="14">
        <f t="shared" si="143"/>
        <v>2.711421636700695E-12</v>
      </c>
      <c r="AL151" s="22">
        <f t="shared" si="112"/>
        <v>5.0621685358189711E-12</v>
      </c>
      <c r="AM151" s="62">
        <f t="shared" si="113"/>
        <v>293.33333333333837</v>
      </c>
      <c r="AN151" s="62">
        <f ca="1">AVERAGE(OFFSET($AM$3,0,0,'Données projet'!$E$10+1,1))-AVERAGE(OFFSET($H$3,0,0,'Données projet'!$E$10+1,1))</f>
        <v>227.80096215475777</v>
      </c>
      <c r="AO151" s="62">
        <f t="shared" si="144"/>
        <v>259.52807665663926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0.14969936238499232</v>
      </c>
      <c r="AW151" s="23">
        <f>EXP(-LN(2)/2)*AW150+(1-EXP(-LN(2)/2))/(LN(2)/2)*AQ151*AT151*VLOOKUP('Données projet'!$B$10,Paramètres!$A$1:$I$89,3,0)*0.475*44/12</f>
        <v>6.0728201640170314E-17</v>
      </c>
      <c r="AX151" s="23">
        <f t="shared" si="114"/>
        <v>0.14969936238499237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6.7984728957526396E-14</v>
      </c>
      <c r="BF151" s="14">
        <f t="shared" si="145"/>
        <v>1.0682447123141398E-12</v>
      </c>
      <c r="BG151" s="22">
        <f t="shared" si="115"/>
        <v>1.978932943548152E-12</v>
      </c>
      <c r="BH151" s="62">
        <f t="shared" si="116"/>
        <v>293.3333333333353</v>
      </c>
      <c r="BI151" s="62">
        <f ca="1">AVERAGE(OFFSET($BH$3,0,0,'Données projet'!$E$11+1,1))-AVERAGE(OFFSET($H$3,0,0,'Données projet'!$E$11+1,1))</f>
        <v>149.5086927376081</v>
      </c>
      <c r="BJ151" s="62">
        <f t="shared" si="146"/>
        <v>364.59164590134498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5.1521956462601475</v>
      </c>
      <c r="BQ151" s="23">
        <f>EXP(-LN(2)/25)*BQ150+(1-EXP(-LN(2)/25))/(LN(2)/25)*Calculateur!BL151*Calculateur!BN151*VLOOKUP('Données projet'!$B$11,Paramètres!$A$1:$I$89,3,0)*0.475*44/12</f>
        <v>1.6675758126491227</v>
      </c>
      <c r="BR151" s="23">
        <f>EXP(-LN(2)/2)*BR150+(1-EXP(-LN(2)/2))/(LN(2)/2)*BL151*BO151*VLOOKUP('Données projet'!$B$11,Paramètres!$A$1:$I$89,3,0)*0.475*44/12</f>
        <v>7.5577365194112544E-17</v>
      </c>
      <c r="BS151" s="24">
        <f t="shared" si="117"/>
        <v>6.8197714589092699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160.22474733551678</v>
      </c>
      <c r="T152" s="62">
        <f t="shared" si="142"/>
        <v>272.72162271905523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3.4106051316484809E-13</v>
      </c>
      <c r="AJ152" s="14">
        <f>AI152*VLOOKUP('Données projet'!$B$10,Paramètres!$A$1:$I$89,3,0)*VLOOKUP('Données projet'!$B$10,Paramètres!$A$1:$I$89,5,0)</f>
        <v>1.9508661353029313E-13</v>
      </c>
      <c r="AK152" s="14">
        <f t="shared" si="143"/>
        <v>2.711421636700695E-12</v>
      </c>
      <c r="AL152" s="22">
        <f t="shared" si="112"/>
        <v>5.0621685358189711E-12</v>
      </c>
      <c r="AM152" s="62">
        <f t="shared" si="113"/>
        <v>293.33333333333837</v>
      </c>
      <c r="AN152" s="62">
        <f ca="1">AVERAGE(OFFSET($AM$3,0,0,'Données projet'!$E$10+1,1))-AVERAGE(OFFSET($H$3,0,0,'Données projet'!$E$10+1,1))</f>
        <v>227.80096215475777</v>
      </c>
      <c r="AO152" s="62">
        <f t="shared" si="144"/>
        <v>259.52807665663926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0.14560582544822737</v>
      </c>
      <c r="AW152" s="23">
        <f>EXP(-LN(2)/2)*AW151+(1-EXP(-LN(2)/2))/(LN(2)/2)*AQ152*AT152*VLOOKUP('Données projet'!$B$10,Paramètres!$A$1:$I$89,3,0)*0.475*44/12</f>
        <v>4.2941323189028447E-17</v>
      </c>
      <c r="AX152" s="23">
        <f t="shared" si="114"/>
        <v>0.14560582544822742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6.7984728957526396E-14</v>
      </c>
      <c r="BF152" s="14">
        <f t="shared" si="145"/>
        <v>1.0682447123141398E-12</v>
      </c>
      <c r="BG152" s="22">
        <f t="shared" si="115"/>
        <v>1.978932943548152E-12</v>
      </c>
      <c r="BH152" s="62">
        <f t="shared" si="116"/>
        <v>293.3333333333353</v>
      </c>
      <c r="BI152" s="62">
        <f ca="1">AVERAGE(OFFSET($BH$3,0,0,'Données projet'!$E$11+1,1))-AVERAGE(OFFSET($H$3,0,0,'Données projet'!$E$11+1,1))</f>
        <v>149.5086927376081</v>
      </c>
      <c r="BJ152" s="62">
        <f t="shared" si="146"/>
        <v>364.59164590134498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5.0511642321660313</v>
      </c>
      <c r="BQ152" s="23">
        <f>EXP(-LN(2)/25)*BQ151+(1-EXP(-LN(2)/25))/(LN(2)/25)*Calculateur!BL152*Calculateur!BN152*VLOOKUP('Données projet'!$B$11,Paramètres!$A$1:$I$89,3,0)*0.475*44/12</f>
        <v>1.6219758643582318</v>
      </c>
      <c r="BR152" s="23">
        <f>EXP(-LN(2)/2)*BR151+(1-EXP(-LN(2)/2))/(LN(2)/2)*BL152*BO152*VLOOKUP('Données projet'!$B$11,Paramètres!$A$1:$I$89,3,0)*0.475*44/12</f>
        <v>5.3441267432969132E-17</v>
      </c>
      <c r="BS152" s="24">
        <f t="shared" si="117"/>
        <v>6.6731400965242633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160.22474733551678</v>
      </c>
      <c r="T153" s="62">
        <f t="shared" si="142"/>
        <v>272.72162271905523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3.4106051316484809E-13</v>
      </c>
      <c r="AJ153" s="14">
        <f>AI153*VLOOKUP('Données projet'!$B$10,Paramètres!$A$1:$I$89,3,0)*VLOOKUP('Données projet'!$B$10,Paramètres!$A$1:$I$89,5,0)</f>
        <v>1.9508661353029313E-13</v>
      </c>
      <c r="AK153" s="14">
        <f t="shared" si="143"/>
        <v>2.711421636700695E-12</v>
      </c>
      <c r="AL153" s="22">
        <f t="shared" si="112"/>
        <v>5.0621685358189711E-12</v>
      </c>
      <c r="AM153" s="62">
        <f t="shared" si="113"/>
        <v>293.33333333333837</v>
      </c>
      <c r="AN153" s="62">
        <f ca="1">AVERAGE(OFFSET($AM$3,0,0,'Données projet'!$E$10+1,1))-AVERAGE(OFFSET($H$3,0,0,'Données projet'!$E$10+1,1))</f>
        <v>227.80096215475777</v>
      </c>
      <c r="AO153" s="62">
        <f t="shared" si="144"/>
        <v>259.52807665663926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0.14162422649426801</v>
      </c>
      <c r="AW153" s="23">
        <f>EXP(-LN(2)/2)*AW152+(1-EXP(-LN(2)/2))/(LN(2)/2)*AQ153*AT153*VLOOKUP('Données projet'!$B$10,Paramètres!$A$1:$I$89,3,0)*0.475*44/12</f>
        <v>3.0364100820085157E-17</v>
      </c>
      <c r="AX153" s="23">
        <f t="shared" si="114"/>
        <v>0.14162422649426804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6.7984728957526396E-14</v>
      </c>
      <c r="BF153" s="14">
        <f t="shared" si="145"/>
        <v>1.0682447123141398E-12</v>
      </c>
      <c r="BG153" s="22">
        <f t="shared" si="115"/>
        <v>1.978932943548152E-12</v>
      </c>
      <c r="BH153" s="62">
        <f t="shared" si="116"/>
        <v>293.3333333333353</v>
      </c>
      <c r="BI153" s="62">
        <f ca="1">AVERAGE(OFFSET($BH$3,0,0,'Données projet'!$E$11+1,1))-AVERAGE(OFFSET($H$3,0,0,'Données projet'!$E$11+1,1))</f>
        <v>149.5086927376081</v>
      </c>
      <c r="BJ153" s="62">
        <f t="shared" si="146"/>
        <v>364.59164590134498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4.9521139824792231</v>
      </c>
      <c r="BQ153" s="23">
        <f>EXP(-LN(2)/25)*BQ152+(1-EXP(-LN(2)/25))/(LN(2)/25)*Calculateur!BL153*Calculateur!BN153*VLOOKUP('Données projet'!$B$11,Paramètres!$A$1:$I$89,3,0)*0.475*44/12</f>
        <v>1.5776228490513524</v>
      </c>
      <c r="BR153" s="23">
        <f>EXP(-LN(2)/2)*BR152+(1-EXP(-LN(2)/2))/(LN(2)/2)*BL153*BO153*VLOOKUP('Données projet'!$B$11,Paramètres!$A$1:$I$89,3,0)*0.475*44/12</f>
        <v>3.7788682597056272E-17</v>
      </c>
      <c r="BS153" s="24">
        <f t="shared" si="117"/>
        <v>6.5297368315305757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160.22474733551678</v>
      </c>
      <c r="T154" s="62">
        <f t="shared" si="142"/>
        <v>272.72162271905523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3.4106051316484809E-13</v>
      </c>
      <c r="AJ154" s="14">
        <f>AI154*VLOOKUP('Données projet'!$B$10,Paramètres!$A$1:$I$89,3,0)*VLOOKUP('Données projet'!$B$10,Paramètres!$A$1:$I$89,5,0)</f>
        <v>1.9508661353029313E-13</v>
      </c>
      <c r="AK154" s="14">
        <f t="shared" ref="AK154:AK203" si="164">EXP(-1.0587+0.8836*LN(AJ154)+0.284)</f>
        <v>2.711421636700695E-12</v>
      </c>
      <c r="AL154" s="22">
        <f t="shared" ref="AL154:AL203" si="165">(AJ154+AK154)*0.475*44/12</f>
        <v>5.0621685358189711E-12</v>
      </c>
      <c r="AM154" s="62">
        <f t="shared" si="113"/>
        <v>293.33333333333837</v>
      </c>
      <c r="AN154" s="62">
        <f ca="1">AVERAGE(OFFSET($AM$3,0,0,'Données projet'!$E$10+1,1))-AVERAGE(OFFSET($H$3,0,0,'Données projet'!$E$10+1,1))</f>
        <v>227.80096215475777</v>
      </c>
      <c r="AO154" s="62">
        <f t="shared" si="144"/>
        <v>259.52807665663926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0.13775150457308785</v>
      </c>
      <c r="AW154" s="23">
        <f>EXP(-LN(2)/2)*AW153+(1-EXP(-LN(2)/2))/(LN(2)/2)*AQ154*AT154*VLOOKUP('Données projet'!$B$10,Paramètres!$A$1:$I$89,3,0)*0.475*44/12</f>
        <v>2.1470661594514224E-17</v>
      </c>
      <c r="AX154" s="23">
        <f t="shared" ref="AX154:AX203" si="166">SUM(AU154:AW154)</f>
        <v>0.13775150457308788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6.7984728957526396E-14</v>
      </c>
      <c r="BF154" s="14">
        <f t="shared" ref="BF154:BF203" si="167">EXP(-1.0587+0.8836*LN(BE154)+0.284)</f>
        <v>1.0682447123141398E-12</v>
      </c>
      <c r="BG154" s="22">
        <f t="shared" ref="BG154:BG203" si="168">(BE154+BF154)*0.475*44/12</f>
        <v>1.978932943548152E-12</v>
      </c>
      <c r="BH154" s="62">
        <f t="shared" si="116"/>
        <v>293.3333333333353</v>
      </c>
      <c r="BI154" s="62">
        <f ca="1">AVERAGE(OFFSET($BH$3,0,0,'Données projet'!$E$11+1,1))-AVERAGE(OFFSET($H$3,0,0,'Données projet'!$E$11+1,1))</f>
        <v>149.5086927376081</v>
      </c>
      <c r="BJ154" s="62">
        <f t="shared" si="146"/>
        <v>364.59164590134498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4.8550060477740864</v>
      </c>
      <c r="BQ154" s="23">
        <f>EXP(-LN(2)/25)*BQ153+(1-EXP(-LN(2)/25))/(LN(2)/25)*Calculateur!BL154*Calculateur!BN154*VLOOKUP('Données projet'!$B$11,Paramètres!$A$1:$I$89,3,0)*0.475*44/12</f>
        <v>1.5344826692804632</v>
      </c>
      <c r="BR154" s="23">
        <f>EXP(-LN(2)/2)*BR153+(1-EXP(-LN(2)/2))/(LN(2)/2)*BL154*BO154*VLOOKUP('Données projet'!$B$11,Paramètres!$A$1:$I$89,3,0)*0.475*44/12</f>
        <v>2.6720633716484566E-17</v>
      </c>
      <c r="BS154" s="24">
        <f t="shared" ref="BS154:BS203" si="169">SUM(BP154:BR154)</f>
        <v>6.3894887170545491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160.22474733551678</v>
      </c>
      <c r="T155" s="62">
        <f t="shared" si="142"/>
        <v>272.72162271905523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3.4106051316484809E-13</v>
      </c>
      <c r="AJ155" s="14">
        <f>AI155*VLOOKUP('Données projet'!$B$10,Paramètres!$A$1:$I$89,3,0)*VLOOKUP('Données projet'!$B$10,Paramètres!$A$1:$I$89,5,0)</f>
        <v>1.9508661353029313E-13</v>
      </c>
      <c r="AK155" s="14">
        <f t="shared" si="164"/>
        <v>2.711421636700695E-12</v>
      </c>
      <c r="AL155" s="22">
        <f t="shared" si="165"/>
        <v>5.0621685358189711E-12</v>
      </c>
      <c r="AM155" s="62">
        <f t="shared" si="113"/>
        <v>293.33333333333837</v>
      </c>
      <c r="AN155" s="62">
        <f ca="1">AVERAGE(OFFSET($AM$3,0,0,'Données projet'!$E$10+1,1))-AVERAGE(OFFSET($H$3,0,0,'Données projet'!$E$10+1,1))</f>
        <v>227.80096215475777</v>
      </c>
      <c r="AO155" s="62">
        <f t="shared" si="144"/>
        <v>259.52807665663926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0.13398468243649997</v>
      </c>
      <c r="AW155" s="23">
        <f>EXP(-LN(2)/2)*AW154+(1-EXP(-LN(2)/2))/(LN(2)/2)*AQ155*AT155*VLOOKUP('Données projet'!$B$10,Paramètres!$A$1:$I$89,3,0)*0.475*44/12</f>
        <v>1.5182050410042578E-17</v>
      </c>
      <c r="AX155" s="23">
        <f t="shared" si="166"/>
        <v>0.1339846824365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6.7984728957526396E-14</v>
      </c>
      <c r="BF155" s="14">
        <f t="shared" si="167"/>
        <v>1.0682447123141398E-12</v>
      </c>
      <c r="BG155" s="22">
        <f t="shared" si="168"/>
        <v>1.978932943548152E-12</v>
      </c>
      <c r="BH155" s="62">
        <f t="shared" si="116"/>
        <v>293.3333333333353</v>
      </c>
      <c r="BI155" s="62">
        <f ca="1">AVERAGE(OFFSET($BH$3,0,0,'Données projet'!$E$11+1,1))-AVERAGE(OFFSET($H$3,0,0,'Données projet'!$E$11+1,1))</f>
        <v>149.5086927376081</v>
      </c>
      <c r="BJ155" s="62">
        <f t="shared" si="146"/>
        <v>364.59164590134498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4.759802340438525</v>
      </c>
      <c r="BQ155" s="23">
        <f>EXP(-LN(2)/25)*BQ154+(1-EXP(-LN(2)/25))/(LN(2)/25)*Calculateur!BL155*Calculateur!BN155*VLOOKUP('Données projet'!$B$11,Paramètres!$A$1:$I$89,3,0)*0.475*44/12</f>
        <v>1.4925221599940524</v>
      </c>
      <c r="BR155" s="23">
        <f>EXP(-LN(2)/2)*BR154+(1-EXP(-LN(2)/2))/(LN(2)/2)*BL155*BO155*VLOOKUP('Données projet'!$B$11,Paramètres!$A$1:$I$89,3,0)*0.475*44/12</f>
        <v>1.8894341298528136E-17</v>
      </c>
      <c r="BS155" s="24">
        <f t="shared" si="169"/>
        <v>6.2523245004325769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160.22474733551678</v>
      </c>
      <c r="T156" s="62">
        <f t="shared" si="142"/>
        <v>272.72162271905523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3.4106051316484809E-13</v>
      </c>
      <c r="AJ156" s="14">
        <f>AI156*VLOOKUP('Données projet'!$B$10,Paramètres!$A$1:$I$89,3,0)*VLOOKUP('Données projet'!$B$10,Paramètres!$A$1:$I$89,5,0)</f>
        <v>1.9508661353029313E-13</v>
      </c>
      <c r="AK156" s="14">
        <f t="shared" si="164"/>
        <v>2.711421636700695E-12</v>
      </c>
      <c r="AL156" s="22">
        <f t="shared" si="165"/>
        <v>5.0621685358189711E-12</v>
      </c>
      <c r="AM156" s="62">
        <f t="shared" si="113"/>
        <v>293.33333333333837</v>
      </c>
      <c r="AN156" s="62">
        <f ca="1">AVERAGE(OFFSET($AM$3,0,0,'Données projet'!$E$10+1,1))-AVERAGE(OFFSET($H$3,0,0,'Données projet'!$E$10+1,1))</f>
        <v>227.80096215475777</v>
      </c>
      <c r="AO156" s="62">
        <f t="shared" si="144"/>
        <v>259.52807665663926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0.13032086424932565</v>
      </c>
      <c r="AW156" s="23">
        <f>EXP(-LN(2)/2)*AW155+(1-EXP(-LN(2)/2))/(LN(2)/2)*AQ156*AT156*VLOOKUP('Données projet'!$B$10,Paramètres!$A$1:$I$89,3,0)*0.475*44/12</f>
        <v>1.0735330797257112E-17</v>
      </c>
      <c r="AX156" s="23">
        <f t="shared" si="166"/>
        <v>0.13032086424932565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6.7984728957526396E-14</v>
      </c>
      <c r="BF156" s="14">
        <f t="shared" si="167"/>
        <v>1.0682447123141398E-12</v>
      </c>
      <c r="BG156" s="22">
        <f t="shared" si="168"/>
        <v>1.978932943548152E-12</v>
      </c>
      <c r="BH156" s="62">
        <f t="shared" si="116"/>
        <v>293.3333333333353</v>
      </c>
      <c r="BI156" s="62">
        <f ca="1">AVERAGE(OFFSET($BH$3,0,0,'Données projet'!$E$11+1,1))-AVERAGE(OFFSET($H$3,0,0,'Données projet'!$E$11+1,1))</f>
        <v>149.5086927376081</v>
      </c>
      <c r="BJ156" s="62">
        <f t="shared" si="146"/>
        <v>364.59164590134498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4.6664655197352864</v>
      </c>
      <c r="BQ156" s="23">
        <f>EXP(-LN(2)/25)*BQ155+(1-EXP(-LN(2)/25))/(LN(2)/25)*Calculateur!BL156*Calculateur!BN156*VLOOKUP('Données projet'!$B$11,Paramètres!$A$1:$I$89,3,0)*0.475*44/12</f>
        <v>1.4517090630406857</v>
      </c>
      <c r="BR156" s="23">
        <f>EXP(-LN(2)/2)*BR155+(1-EXP(-LN(2)/2))/(LN(2)/2)*BL156*BO156*VLOOKUP('Données projet'!$B$11,Paramètres!$A$1:$I$89,3,0)*0.475*44/12</f>
        <v>1.3360316858242283E-17</v>
      </c>
      <c r="BS156" s="24">
        <f t="shared" si="169"/>
        <v>6.1181745827759721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160.22474733551678</v>
      </c>
      <c r="T157" s="62">
        <f t="shared" si="142"/>
        <v>272.72162271905523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3.4106051316484809E-13</v>
      </c>
      <c r="AJ157" s="14">
        <f>AI157*VLOOKUP('Données projet'!$B$10,Paramètres!$A$1:$I$89,3,0)*VLOOKUP('Données projet'!$B$10,Paramètres!$A$1:$I$89,5,0)</f>
        <v>1.9508661353029313E-13</v>
      </c>
      <c r="AK157" s="14">
        <f t="shared" si="164"/>
        <v>2.711421636700695E-12</v>
      </c>
      <c r="AL157" s="22">
        <f t="shared" si="165"/>
        <v>5.0621685358189711E-12</v>
      </c>
      <c r="AM157" s="62">
        <f t="shared" si="113"/>
        <v>293.33333333333837</v>
      </c>
      <c r="AN157" s="62">
        <f ca="1">AVERAGE(OFFSET($AM$3,0,0,'Données projet'!$E$10+1,1))-AVERAGE(OFFSET($H$3,0,0,'Données projet'!$E$10+1,1))</f>
        <v>227.80096215475777</v>
      </c>
      <c r="AO157" s="62">
        <f t="shared" si="144"/>
        <v>259.52807665663926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0.12675723336315145</v>
      </c>
      <c r="AW157" s="23">
        <f>EXP(-LN(2)/2)*AW156+(1-EXP(-LN(2)/2))/(LN(2)/2)*AQ157*AT157*VLOOKUP('Données projet'!$B$10,Paramètres!$A$1:$I$89,3,0)*0.475*44/12</f>
        <v>7.5910252050212892E-18</v>
      </c>
      <c r="AX157" s="23">
        <f t="shared" si="166"/>
        <v>0.12675723336315145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6.7984728957526396E-14</v>
      </c>
      <c r="BF157" s="14">
        <f t="shared" si="167"/>
        <v>1.0682447123141398E-12</v>
      </c>
      <c r="BG157" s="22">
        <f t="shared" si="168"/>
        <v>1.978932943548152E-12</v>
      </c>
      <c r="BH157" s="62">
        <f t="shared" si="116"/>
        <v>293.3333333333353</v>
      </c>
      <c r="BI157" s="62">
        <f ca="1">AVERAGE(OFFSET($BH$3,0,0,'Données projet'!$E$11+1,1))-AVERAGE(OFFSET($H$3,0,0,'Données projet'!$E$11+1,1))</f>
        <v>149.5086927376081</v>
      </c>
      <c r="BJ157" s="62">
        <f t="shared" si="146"/>
        <v>364.59164590134498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4.5749589771561991</v>
      </c>
      <c r="BQ157" s="23">
        <f>EXP(-LN(2)/25)*BQ156+(1-EXP(-LN(2)/25))/(LN(2)/25)*Calculateur!BL157*Calculateur!BN157*VLOOKUP('Données projet'!$B$11,Paramètres!$A$1:$I$89,3,0)*0.475*44/12</f>
        <v>1.4120120023697764</v>
      </c>
      <c r="BR157" s="23">
        <f>EXP(-LN(2)/2)*BR156+(1-EXP(-LN(2)/2))/(LN(2)/2)*BL157*BO157*VLOOKUP('Données projet'!$B$11,Paramètres!$A$1:$I$89,3,0)*0.475*44/12</f>
        <v>9.447170649264068E-18</v>
      </c>
      <c r="BS157" s="24">
        <f t="shared" si="169"/>
        <v>5.9869709795259753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160.22474733551678</v>
      </c>
      <c r="T158" s="62">
        <f t="shared" si="142"/>
        <v>272.72162271905523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3.4106051316484809E-13</v>
      </c>
      <c r="AJ158" s="14">
        <f>AI158*VLOOKUP('Données projet'!$B$10,Paramètres!$A$1:$I$89,3,0)*VLOOKUP('Données projet'!$B$10,Paramètres!$A$1:$I$89,5,0)</f>
        <v>1.9508661353029313E-13</v>
      </c>
      <c r="AK158" s="14">
        <f t="shared" si="164"/>
        <v>2.711421636700695E-12</v>
      </c>
      <c r="AL158" s="22">
        <f t="shared" si="165"/>
        <v>5.0621685358189711E-12</v>
      </c>
      <c r="AM158" s="62">
        <f t="shared" si="113"/>
        <v>293.33333333333837</v>
      </c>
      <c r="AN158" s="62">
        <f ca="1">AVERAGE(OFFSET($AM$3,0,0,'Données projet'!$E$10+1,1))-AVERAGE(OFFSET($H$3,0,0,'Données projet'!$E$10+1,1))</f>
        <v>227.80096215475777</v>
      </c>
      <c r="AO158" s="62">
        <f t="shared" si="144"/>
        <v>259.52807665663926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0.12329105015096288</v>
      </c>
      <c r="AW158" s="23">
        <f>EXP(-LN(2)/2)*AW157+(1-EXP(-LN(2)/2))/(LN(2)/2)*AQ158*AT158*VLOOKUP('Données projet'!$B$10,Paramètres!$A$1:$I$89,3,0)*0.475*44/12</f>
        <v>5.3676653986285559E-18</v>
      </c>
      <c r="AX158" s="23">
        <f t="shared" si="166"/>
        <v>0.12329105015096288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6.7984728957526396E-14</v>
      </c>
      <c r="BF158" s="14">
        <f t="shared" si="167"/>
        <v>1.0682447123141398E-12</v>
      </c>
      <c r="BG158" s="22">
        <f t="shared" si="168"/>
        <v>1.978932943548152E-12</v>
      </c>
      <c r="BH158" s="62">
        <f t="shared" si="116"/>
        <v>293.3333333333353</v>
      </c>
      <c r="BI158" s="62">
        <f ca="1">AVERAGE(OFFSET($BH$3,0,0,'Données projet'!$E$11+1,1))-AVERAGE(OFFSET($H$3,0,0,'Données projet'!$E$11+1,1))</f>
        <v>149.5086927376081</v>
      </c>
      <c r="BJ158" s="62">
        <f t="shared" si="146"/>
        <v>364.59164590134498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4.4852468220636084</v>
      </c>
      <c r="BQ158" s="23">
        <f>EXP(-LN(2)/25)*BQ157+(1-EXP(-LN(2)/25))/(LN(2)/25)*Calculateur!BL158*Calculateur!BN158*VLOOKUP('Données projet'!$B$11,Paramètres!$A$1:$I$89,3,0)*0.475*44/12</f>
        <v>1.373400459910491</v>
      </c>
      <c r="BR158" s="23">
        <f>EXP(-LN(2)/2)*BR157+(1-EXP(-LN(2)/2))/(LN(2)/2)*BL158*BO158*VLOOKUP('Données projet'!$B$11,Paramètres!$A$1:$I$89,3,0)*0.475*44/12</f>
        <v>6.6801584291211415E-18</v>
      </c>
      <c r="BS158" s="24">
        <f t="shared" si="169"/>
        <v>5.8586472819740996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160.22474733551678</v>
      </c>
      <c r="T159" s="62">
        <f t="shared" si="142"/>
        <v>272.72162271905523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3.4106051316484809E-13</v>
      </c>
      <c r="AJ159" s="14">
        <f>AI159*VLOOKUP('Données projet'!$B$10,Paramètres!$A$1:$I$89,3,0)*VLOOKUP('Données projet'!$B$10,Paramètres!$A$1:$I$89,5,0)</f>
        <v>1.9508661353029313E-13</v>
      </c>
      <c r="AK159" s="14">
        <f t="shared" si="164"/>
        <v>2.711421636700695E-12</v>
      </c>
      <c r="AL159" s="22">
        <f t="shared" si="165"/>
        <v>5.0621685358189711E-12</v>
      </c>
      <c r="AM159" s="62">
        <f t="shared" si="113"/>
        <v>293.33333333333837</v>
      </c>
      <c r="AN159" s="62">
        <f ca="1">AVERAGE(OFFSET($AM$3,0,0,'Données projet'!$E$10+1,1))-AVERAGE(OFFSET($H$3,0,0,'Données projet'!$E$10+1,1))</f>
        <v>227.80096215475777</v>
      </c>
      <c r="AO159" s="62">
        <f t="shared" si="144"/>
        <v>259.52807665663926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0.11991964990099026</v>
      </c>
      <c r="AW159" s="23">
        <f>EXP(-LN(2)/2)*AW158+(1-EXP(-LN(2)/2))/(LN(2)/2)*AQ159*AT159*VLOOKUP('Données projet'!$B$10,Paramètres!$A$1:$I$89,3,0)*0.475*44/12</f>
        <v>3.7955126025106446E-18</v>
      </c>
      <c r="AX159" s="23">
        <f t="shared" si="166"/>
        <v>0.11991964990099026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6.7984728957526396E-14</v>
      </c>
      <c r="BF159" s="14">
        <f t="shared" si="167"/>
        <v>1.0682447123141398E-12</v>
      </c>
      <c r="BG159" s="22">
        <f t="shared" si="168"/>
        <v>1.978932943548152E-12</v>
      </c>
      <c r="BH159" s="62">
        <f t="shared" si="116"/>
        <v>293.3333333333353</v>
      </c>
      <c r="BI159" s="62">
        <f ca="1">AVERAGE(OFFSET($BH$3,0,0,'Données projet'!$E$11+1,1))-AVERAGE(OFFSET($H$3,0,0,'Données projet'!$E$11+1,1))</f>
        <v>149.5086927376081</v>
      </c>
      <c r="BJ159" s="62">
        <f t="shared" si="146"/>
        <v>364.59164590134498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4.3972938676133717</v>
      </c>
      <c r="BQ159" s="23">
        <f>EXP(-LN(2)/25)*BQ158+(1-EXP(-LN(2)/25))/(LN(2)/25)*Calculateur!BL159*Calculateur!BN159*VLOOKUP('Données projet'!$B$11,Paramètres!$A$1:$I$89,3,0)*0.475*44/12</f>
        <v>1.3358447521102474</v>
      </c>
      <c r="BR159" s="23">
        <f>EXP(-LN(2)/2)*BR158+(1-EXP(-LN(2)/2))/(LN(2)/2)*BL159*BO159*VLOOKUP('Données projet'!$B$11,Paramètres!$A$1:$I$89,3,0)*0.475*44/12</f>
        <v>4.723585324632034E-18</v>
      </c>
      <c r="BS159" s="24">
        <f t="shared" si="169"/>
        <v>5.7331386197236194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160.22474733551678</v>
      </c>
      <c r="T160" s="62">
        <f t="shared" si="142"/>
        <v>272.72162271905523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3.4106051316484809E-13</v>
      </c>
      <c r="AJ160" s="14">
        <f>AI160*VLOOKUP('Données projet'!$B$10,Paramètres!$A$1:$I$89,3,0)*VLOOKUP('Données projet'!$B$10,Paramètres!$A$1:$I$89,5,0)</f>
        <v>1.9508661353029313E-13</v>
      </c>
      <c r="AK160" s="14">
        <f t="shared" si="164"/>
        <v>2.711421636700695E-12</v>
      </c>
      <c r="AL160" s="22">
        <f t="shared" si="165"/>
        <v>5.0621685358189711E-12</v>
      </c>
      <c r="AM160" s="62">
        <f t="shared" si="113"/>
        <v>293.33333333333837</v>
      </c>
      <c r="AN160" s="62">
        <f ca="1">AVERAGE(OFFSET($AM$3,0,0,'Données projet'!$E$10+1,1))-AVERAGE(OFFSET($H$3,0,0,'Données projet'!$E$10+1,1))</f>
        <v>227.80096215475777</v>
      </c>
      <c r="AO160" s="62">
        <f t="shared" si="144"/>
        <v>259.52807665663926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0.11664044076814738</v>
      </c>
      <c r="AW160" s="23">
        <f>EXP(-LN(2)/2)*AW159+(1-EXP(-LN(2)/2))/(LN(2)/2)*AQ160*AT160*VLOOKUP('Données projet'!$B$10,Paramètres!$A$1:$I$89,3,0)*0.475*44/12</f>
        <v>2.6838326993142779E-18</v>
      </c>
      <c r="AX160" s="23">
        <f t="shared" si="166"/>
        <v>0.11664044076814738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6.7984728957526396E-14</v>
      </c>
      <c r="BF160" s="14">
        <f t="shared" si="167"/>
        <v>1.0682447123141398E-12</v>
      </c>
      <c r="BG160" s="22">
        <f t="shared" si="168"/>
        <v>1.978932943548152E-12</v>
      </c>
      <c r="BH160" s="62">
        <f t="shared" si="116"/>
        <v>293.3333333333353</v>
      </c>
      <c r="BI160" s="62">
        <f ca="1">AVERAGE(OFFSET($BH$3,0,0,'Données projet'!$E$11+1,1))-AVERAGE(OFFSET($H$3,0,0,'Données projet'!$E$11+1,1))</f>
        <v>149.5086927376081</v>
      </c>
      <c r="BJ160" s="62">
        <f t="shared" si="146"/>
        <v>364.59164590134498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4.3110656169538988</v>
      </c>
      <c r="BQ160" s="23">
        <f>EXP(-LN(2)/25)*BQ159+(1-EXP(-LN(2)/25))/(LN(2)/25)*Calculateur!BL160*Calculateur!BN160*VLOOKUP('Données projet'!$B$11,Paramètres!$A$1:$I$89,3,0)*0.475*44/12</f>
        <v>1.2993160071147702</v>
      </c>
      <c r="BR160" s="23">
        <f>EXP(-LN(2)/2)*BR159+(1-EXP(-LN(2)/2))/(LN(2)/2)*BL160*BO160*VLOOKUP('Données projet'!$B$11,Paramètres!$A$1:$I$89,3,0)*0.475*44/12</f>
        <v>3.3400792145605707E-18</v>
      </c>
      <c r="BS160" s="24">
        <f t="shared" si="169"/>
        <v>5.610381624068669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160.22474733551678</v>
      </c>
      <c r="T161" s="62">
        <f t="shared" si="142"/>
        <v>272.72162271905523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3.4106051316484809E-13</v>
      </c>
      <c r="AJ161" s="14">
        <f>AI161*VLOOKUP('Données projet'!$B$10,Paramètres!$A$1:$I$89,3,0)*VLOOKUP('Données projet'!$B$10,Paramètres!$A$1:$I$89,5,0)</f>
        <v>1.9508661353029313E-13</v>
      </c>
      <c r="AK161" s="14">
        <f t="shared" si="164"/>
        <v>2.711421636700695E-12</v>
      </c>
      <c r="AL161" s="22">
        <f t="shared" si="165"/>
        <v>5.0621685358189711E-12</v>
      </c>
      <c r="AM161" s="62">
        <f t="shared" si="113"/>
        <v>293.33333333333837</v>
      </c>
      <c r="AN161" s="62">
        <f ca="1">AVERAGE(OFFSET($AM$3,0,0,'Données projet'!$E$10+1,1))-AVERAGE(OFFSET($H$3,0,0,'Données projet'!$E$10+1,1))</f>
        <v>227.80096215475777</v>
      </c>
      <c r="AO161" s="62">
        <f t="shared" si="144"/>
        <v>259.52807665663926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0.11345090178148819</v>
      </c>
      <c r="AW161" s="23">
        <f>EXP(-LN(2)/2)*AW160+(1-EXP(-LN(2)/2))/(LN(2)/2)*AQ161*AT161*VLOOKUP('Données projet'!$B$10,Paramètres!$A$1:$I$89,3,0)*0.475*44/12</f>
        <v>1.8977563012553223E-18</v>
      </c>
      <c r="AX161" s="23">
        <f t="shared" si="166"/>
        <v>0.11345090178148819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6.7984728957526396E-14</v>
      </c>
      <c r="BF161" s="14">
        <f t="shared" si="167"/>
        <v>1.0682447123141398E-12</v>
      </c>
      <c r="BG161" s="22">
        <f t="shared" si="168"/>
        <v>1.978932943548152E-12</v>
      </c>
      <c r="BH161" s="62">
        <f t="shared" si="116"/>
        <v>293.3333333333353</v>
      </c>
      <c r="BI161" s="62">
        <f ca="1">AVERAGE(OFFSET($BH$3,0,0,'Données projet'!$E$11+1,1))-AVERAGE(OFFSET($H$3,0,0,'Données projet'!$E$11+1,1))</f>
        <v>149.5086927376081</v>
      </c>
      <c r="BJ161" s="62">
        <f t="shared" si="146"/>
        <v>364.59164590134498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4.2265282496958188</v>
      </c>
      <c r="BQ161" s="23">
        <f>EXP(-LN(2)/25)*BQ160+(1-EXP(-LN(2)/25))/(LN(2)/25)*Calculateur!BL161*Calculateur!BN161*VLOOKUP('Données projet'!$B$11,Paramètres!$A$1:$I$89,3,0)*0.475*44/12</f>
        <v>1.2637861425721577</v>
      </c>
      <c r="BR161" s="23">
        <f>EXP(-LN(2)/2)*BR160+(1-EXP(-LN(2)/2))/(LN(2)/2)*BL161*BO161*VLOOKUP('Données projet'!$B$11,Paramètres!$A$1:$I$89,3,0)*0.475*44/12</f>
        <v>2.361792662316017E-18</v>
      </c>
      <c r="BS161" s="24">
        <f t="shared" si="169"/>
        <v>5.490314392267976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160.22474733551678</v>
      </c>
      <c r="T162" s="62">
        <f t="shared" si="142"/>
        <v>272.72162271905523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3.4106051316484809E-13</v>
      </c>
      <c r="AJ162" s="14">
        <f>AI162*VLOOKUP('Données projet'!$B$10,Paramètres!$A$1:$I$89,3,0)*VLOOKUP('Données projet'!$B$10,Paramètres!$A$1:$I$89,5,0)</f>
        <v>1.9508661353029313E-13</v>
      </c>
      <c r="AK162" s="14">
        <f t="shared" si="164"/>
        <v>2.711421636700695E-12</v>
      </c>
      <c r="AL162" s="22">
        <f t="shared" si="165"/>
        <v>5.0621685358189711E-12</v>
      </c>
      <c r="AM162" s="62">
        <f t="shared" si="113"/>
        <v>293.33333333333837</v>
      </c>
      <c r="AN162" s="62">
        <f ca="1">AVERAGE(OFFSET($AM$3,0,0,'Données projet'!$E$10+1,1))-AVERAGE(OFFSET($H$3,0,0,'Données projet'!$E$10+1,1))</f>
        <v>227.80096215475777</v>
      </c>
      <c r="AO162" s="62">
        <f t="shared" si="144"/>
        <v>259.52807665663926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0.11034858090614977</v>
      </c>
      <c r="AW162" s="23">
        <f>EXP(-LN(2)/2)*AW161+(1-EXP(-LN(2)/2))/(LN(2)/2)*AQ162*AT162*VLOOKUP('Données projet'!$B$10,Paramètres!$A$1:$I$89,3,0)*0.475*44/12</f>
        <v>1.341916349657139E-18</v>
      </c>
      <c r="AX162" s="23">
        <f t="shared" si="166"/>
        <v>0.11034858090614977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6.7984728957526396E-14</v>
      </c>
      <c r="BF162" s="14">
        <f t="shared" si="167"/>
        <v>1.0682447123141398E-12</v>
      </c>
      <c r="BG162" s="22">
        <f t="shared" si="168"/>
        <v>1.978932943548152E-12</v>
      </c>
      <c r="BH162" s="62">
        <f t="shared" si="116"/>
        <v>293.3333333333353</v>
      </c>
      <c r="BI162" s="62">
        <f ca="1">AVERAGE(OFFSET($BH$3,0,0,'Données projet'!$E$11+1,1))-AVERAGE(OFFSET($H$3,0,0,'Données projet'!$E$11+1,1))</f>
        <v>149.5086927376081</v>
      </c>
      <c r="BJ162" s="62">
        <f t="shared" si="146"/>
        <v>364.59164590134498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4.1436486086469673</v>
      </c>
      <c r="BQ162" s="23">
        <f>EXP(-LN(2)/25)*BQ161+(1-EXP(-LN(2)/25))/(LN(2)/25)*Calculateur!BL162*Calculateur!BN162*VLOOKUP('Données projet'!$B$11,Paramètres!$A$1:$I$89,3,0)*0.475*44/12</f>
        <v>1.2292278440438973</v>
      </c>
      <c r="BR162" s="23">
        <f>EXP(-LN(2)/2)*BR161+(1-EXP(-LN(2)/2))/(LN(2)/2)*BL162*BO162*VLOOKUP('Données projet'!$B$11,Paramètres!$A$1:$I$89,3,0)*0.475*44/12</f>
        <v>1.6700396072802854E-18</v>
      </c>
      <c r="BS162" s="24">
        <f t="shared" si="169"/>
        <v>5.3728764526908641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160.22474733551678</v>
      </c>
      <c r="T163" s="62">
        <f t="shared" si="142"/>
        <v>272.72162271905523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3.4106051316484809E-13</v>
      </c>
      <c r="AJ163" s="14">
        <f>AI163*VLOOKUP('Données projet'!$B$10,Paramètres!$A$1:$I$89,3,0)*VLOOKUP('Données projet'!$B$10,Paramètres!$A$1:$I$89,5,0)</f>
        <v>1.9508661353029313E-13</v>
      </c>
      <c r="AK163" s="14">
        <f t="shared" si="164"/>
        <v>2.711421636700695E-12</v>
      </c>
      <c r="AL163" s="22">
        <f t="shared" si="165"/>
        <v>5.0621685358189711E-12</v>
      </c>
      <c r="AM163" s="62">
        <f t="shared" si="113"/>
        <v>293.33333333333837</v>
      </c>
      <c r="AN163" s="62">
        <f ca="1">AVERAGE(OFFSET($AM$3,0,0,'Données projet'!$E$10+1,1))-AVERAGE(OFFSET($H$3,0,0,'Données projet'!$E$10+1,1))</f>
        <v>227.80096215475777</v>
      </c>
      <c r="AO163" s="62">
        <f t="shared" si="144"/>
        <v>259.52807665663926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0.10733109315829144</v>
      </c>
      <c r="AW163" s="23">
        <f>EXP(-LN(2)/2)*AW162+(1-EXP(-LN(2)/2))/(LN(2)/2)*AQ163*AT163*VLOOKUP('Données projet'!$B$10,Paramètres!$A$1:$I$89,3,0)*0.475*44/12</f>
        <v>9.4887815062766116E-19</v>
      </c>
      <c r="AX163" s="23">
        <f t="shared" si="166"/>
        <v>0.10733109315829144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6.7984728957526396E-14</v>
      </c>
      <c r="BF163" s="14">
        <f t="shared" si="167"/>
        <v>1.0682447123141398E-12</v>
      </c>
      <c r="BG163" s="22">
        <f t="shared" si="168"/>
        <v>1.978932943548152E-12</v>
      </c>
      <c r="BH163" s="62">
        <f t="shared" si="116"/>
        <v>293.3333333333353</v>
      </c>
      <c r="BI163" s="62">
        <f ca="1">AVERAGE(OFFSET($BH$3,0,0,'Données projet'!$E$11+1,1))-AVERAGE(OFFSET($H$3,0,0,'Données projet'!$E$11+1,1))</f>
        <v>149.5086927376081</v>
      </c>
      <c r="BJ163" s="62">
        <f t="shared" si="146"/>
        <v>364.59164590134498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4.0623941868074942</v>
      </c>
      <c r="BQ163" s="23">
        <f>EXP(-LN(2)/25)*BQ162+(1-EXP(-LN(2)/25))/(LN(2)/25)*Calculateur!BL163*Calculateur!BN163*VLOOKUP('Données projet'!$B$11,Paramètres!$A$1:$I$89,3,0)*0.475*44/12</f>
        <v>1.195614544006234</v>
      </c>
      <c r="BR163" s="23">
        <f>EXP(-LN(2)/2)*BR162+(1-EXP(-LN(2)/2))/(LN(2)/2)*BL163*BO163*VLOOKUP('Données projet'!$B$11,Paramètres!$A$1:$I$89,3,0)*0.475*44/12</f>
        <v>1.1808963311580085E-18</v>
      </c>
      <c r="BS163" s="24">
        <f t="shared" si="169"/>
        <v>5.258008730813728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160.22474733551678</v>
      </c>
      <c r="T164" s="62">
        <f t="shared" si="142"/>
        <v>272.72162271905523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3.4106051316484809E-13</v>
      </c>
      <c r="AJ164" s="14">
        <f>AI164*VLOOKUP('Données projet'!$B$10,Paramètres!$A$1:$I$89,3,0)*VLOOKUP('Données projet'!$B$10,Paramètres!$A$1:$I$89,5,0)</f>
        <v>1.9508661353029313E-13</v>
      </c>
      <c r="AK164" s="14">
        <f t="shared" si="164"/>
        <v>2.711421636700695E-12</v>
      </c>
      <c r="AL164" s="22">
        <f t="shared" si="165"/>
        <v>5.0621685358189711E-12</v>
      </c>
      <c r="AM164" s="62">
        <f t="shared" si="113"/>
        <v>293.33333333333837</v>
      </c>
      <c r="AN164" s="62">
        <f ca="1">AVERAGE(OFFSET($AM$3,0,0,'Données projet'!$E$10+1,1))-AVERAGE(OFFSET($H$3,0,0,'Données projet'!$E$10+1,1))</f>
        <v>227.80096215475777</v>
      </c>
      <c r="AO164" s="62">
        <f t="shared" si="144"/>
        <v>259.52807665663926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0.10439611877158107</v>
      </c>
      <c r="AW164" s="23">
        <f>EXP(-LN(2)/2)*AW163+(1-EXP(-LN(2)/2))/(LN(2)/2)*AQ164*AT164*VLOOKUP('Données projet'!$B$10,Paramètres!$A$1:$I$89,3,0)*0.475*44/12</f>
        <v>6.7095817482856949E-19</v>
      </c>
      <c r="AX164" s="23">
        <f t="shared" si="166"/>
        <v>0.10439611877158107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6.7984728957526396E-14</v>
      </c>
      <c r="BF164" s="14">
        <f t="shared" si="167"/>
        <v>1.0682447123141398E-12</v>
      </c>
      <c r="BG164" s="22">
        <f t="shared" si="168"/>
        <v>1.978932943548152E-12</v>
      </c>
      <c r="BH164" s="62">
        <f t="shared" si="116"/>
        <v>293.3333333333353</v>
      </c>
      <c r="BI164" s="62">
        <f ca="1">AVERAGE(OFFSET($BH$3,0,0,'Données projet'!$E$11+1,1))-AVERAGE(OFFSET($H$3,0,0,'Données projet'!$E$11+1,1))</f>
        <v>149.5086927376081</v>
      </c>
      <c r="BJ164" s="62">
        <f t="shared" si="146"/>
        <v>364.59164590134498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3.9827331146199891</v>
      </c>
      <c r="BQ164" s="23">
        <f>EXP(-LN(2)/25)*BQ163+(1-EXP(-LN(2)/25))/(LN(2)/25)*Calculateur!BL164*Calculateur!BN164*VLOOKUP('Données projet'!$B$11,Paramètres!$A$1:$I$89,3,0)*0.475*44/12</f>
        <v>1.1629204014257473</v>
      </c>
      <c r="BR164" s="23">
        <f>EXP(-LN(2)/2)*BR163+(1-EXP(-LN(2)/2))/(LN(2)/2)*BL164*BO164*VLOOKUP('Données projet'!$B$11,Paramètres!$A$1:$I$89,3,0)*0.475*44/12</f>
        <v>8.3501980364014269E-19</v>
      </c>
      <c r="BS164" s="24">
        <f t="shared" si="169"/>
        <v>5.1456535160457362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160.22474733551678</v>
      </c>
      <c r="T165" s="62">
        <f t="shared" si="142"/>
        <v>272.72162271905523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3.4106051316484809E-13</v>
      </c>
      <c r="AJ165" s="14">
        <f>AI165*VLOOKUP('Données projet'!$B$10,Paramètres!$A$1:$I$89,3,0)*VLOOKUP('Données projet'!$B$10,Paramètres!$A$1:$I$89,5,0)</f>
        <v>1.9508661353029313E-13</v>
      </c>
      <c r="AK165" s="14">
        <f t="shared" si="164"/>
        <v>2.711421636700695E-12</v>
      </c>
      <c r="AL165" s="22">
        <f t="shared" si="165"/>
        <v>5.0621685358189711E-12</v>
      </c>
      <c r="AM165" s="62">
        <f t="shared" si="113"/>
        <v>293.33333333333837</v>
      </c>
      <c r="AN165" s="62">
        <f ca="1">AVERAGE(OFFSET($AM$3,0,0,'Données projet'!$E$10+1,1))-AVERAGE(OFFSET($H$3,0,0,'Données projet'!$E$10+1,1))</f>
        <v>227.80096215475777</v>
      </c>
      <c r="AO165" s="62">
        <f t="shared" si="144"/>
        <v>259.52807665663926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0.1015414014138189</v>
      </c>
      <c r="AW165" s="23">
        <f>EXP(-LN(2)/2)*AW164+(1-EXP(-LN(2)/2))/(LN(2)/2)*AQ165*AT165*VLOOKUP('Données projet'!$B$10,Paramètres!$A$1:$I$89,3,0)*0.475*44/12</f>
        <v>4.7443907531383058E-19</v>
      </c>
      <c r="AX165" s="23">
        <f t="shared" si="166"/>
        <v>0.1015414014138189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6.7984728957526396E-14</v>
      </c>
      <c r="BF165" s="14">
        <f t="shared" si="167"/>
        <v>1.0682447123141398E-12</v>
      </c>
      <c r="BG165" s="22">
        <f t="shared" si="168"/>
        <v>1.978932943548152E-12</v>
      </c>
      <c r="BH165" s="62">
        <f t="shared" si="116"/>
        <v>293.3333333333353</v>
      </c>
      <c r="BI165" s="62">
        <f ca="1">AVERAGE(OFFSET($BH$3,0,0,'Données projet'!$E$11+1,1))-AVERAGE(OFFSET($H$3,0,0,'Données projet'!$E$11+1,1))</f>
        <v>149.5086927376081</v>
      </c>
      <c r="BJ165" s="62">
        <f t="shared" si="146"/>
        <v>364.59164590134498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3.9046341474696247</v>
      </c>
      <c r="BQ165" s="23">
        <f>EXP(-LN(2)/25)*BQ164+(1-EXP(-LN(2)/25))/(LN(2)/25)*Calculateur!BL165*Calculateur!BN165*VLOOKUP('Données projet'!$B$11,Paramètres!$A$1:$I$89,3,0)*0.475*44/12</f>
        <v>1.1311202818934343</v>
      </c>
      <c r="BR165" s="23">
        <f>EXP(-LN(2)/2)*BR164+(1-EXP(-LN(2)/2))/(LN(2)/2)*BL165*BO165*VLOOKUP('Données projet'!$B$11,Paramètres!$A$1:$I$89,3,0)*0.475*44/12</f>
        <v>5.9044816557900425E-19</v>
      </c>
      <c r="BS165" s="24">
        <f t="shared" si="169"/>
        <v>5.0357544293630587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160.22474733551678</v>
      </c>
      <c r="T166" s="62">
        <f t="shared" si="142"/>
        <v>272.72162271905523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3.4106051316484809E-13</v>
      </c>
      <c r="AJ166" s="14">
        <f>AI166*VLOOKUP('Données projet'!$B$10,Paramètres!$A$1:$I$89,3,0)*VLOOKUP('Données projet'!$B$10,Paramètres!$A$1:$I$89,5,0)</f>
        <v>1.9508661353029313E-13</v>
      </c>
      <c r="AK166" s="14">
        <f t="shared" si="164"/>
        <v>2.711421636700695E-12</v>
      </c>
      <c r="AL166" s="22">
        <f t="shared" si="165"/>
        <v>5.0621685358189711E-12</v>
      </c>
      <c r="AM166" s="62">
        <f t="shared" si="113"/>
        <v>293.33333333333837</v>
      </c>
      <c r="AN166" s="62">
        <f ca="1">AVERAGE(OFFSET($AM$3,0,0,'Données projet'!$E$10+1,1))-AVERAGE(OFFSET($H$3,0,0,'Données projet'!$E$10+1,1))</f>
        <v>227.80096215475777</v>
      </c>
      <c r="AO166" s="62">
        <f t="shared" si="144"/>
        <v>259.52807665663926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9.8764746452327801E-2</v>
      </c>
      <c r="AW166" s="23">
        <f>EXP(-LN(2)/2)*AW165+(1-EXP(-LN(2)/2))/(LN(2)/2)*AQ166*AT166*VLOOKUP('Données projet'!$B$10,Paramètres!$A$1:$I$89,3,0)*0.475*44/12</f>
        <v>3.3547908741428474E-19</v>
      </c>
      <c r="AX166" s="23">
        <f t="shared" si="166"/>
        <v>9.8764746452327801E-2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6.7984728957526396E-14</v>
      </c>
      <c r="BF166" s="14">
        <f t="shared" si="167"/>
        <v>1.0682447123141398E-12</v>
      </c>
      <c r="BG166" s="22">
        <f t="shared" si="168"/>
        <v>1.978932943548152E-12</v>
      </c>
      <c r="BH166" s="62">
        <f t="shared" si="116"/>
        <v>293.3333333333353</v>
      </c>
      <c r="BI166" s="62">
        <f ca="1">AVERAGE(OFFSET($BH$3,0,0,'Données projet'!$E$11+1,1))-AVERAGE(OFFSET($H$3,0,0,'Données projet'!$E$11+1,1))</f>
        <v>149.5086927376081</v>
      </c>
      <c r="BJ166" s="62">
        <f t="shared" si="146"/>
        <v>364.59164590134498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3.8280666534294125</v>
      </c>
      <c r="BQ166" s="23">
        <f>EXP(-LN(2)/25)*BQ165+(1-EXP(-LN(2)/25))/(LN(2)/25)*Calculateur!BL166*Calculateur!BN166*VLOOKUP('Données projet'!$B$11,Paramètres!$A$1:$I$89,3,0)*0.475*44/12</f>
        <v>1.1001897383020278</v>
      </c>
      <c r="BR166" s="23">
        <f>EXP(-LN(2)/2)*BR165+(1-EXP(-LN(2)/2))/(LN(2)/2)*BL166*BO166*VLOOKUP('Données projet'!$B$11,Paramètres!$A$1:$I$89,3,0)*0.475*44/12</f>
        <v>4.1750990182007134E-19</v>
      </c>
      <c r="BS166" s="24">
        <f t="shared" si="169"/>
        <v>4.9282563917314404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160.22474733551678</v>
      </c>
      <c r="T167" s="62">
        <f t="shared" si="142"/>
        <v>272.72162271905523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3.4106051316484809E-13</v>
      </c>
      <c r="AJ167" s="14">
        <f>AI167*VLOOKUP('Données projet'!$B$10,Paramètres!$A$1:$I$89,3,0)*VLOOKUP('Données projet'!$B$10,Paramètres!$A$1:$I$89,5,0)</f>
        <v>1.9508661353029313E-13</v>
      </c>
      <c r="AK167" s="14">
        <f t="shared" si="164"/>
        <v>2.711421636700695E-12</v>
      </c>
      <c r="AL167" s="22">
        <f t="shared" si="165"/>
        <v>5.0621685358189711E-12</v>
      </c>
      <c r="AM167" s="62">
        <f t="shared" si="113"/>
        <v>293.33333333333837</v>
      </c>
      <c r="AN167" s="62">
        <f ca="1">AVERAGE(OFFSET($AM$3,0,0,'Données projet'!$E$10+1,1))-AVERAGE(OFFSET($H$3,0,0,'Données projet'!$E$10+1,1))</f>
        <v>227.80096215475777</v>
      </c>
      <c r="AO167" s="62">
        <f t="shared" si="144"/>
        <v>259.52807665663926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9.6064019266776615E-2</v>
      </c>
      <c r="AW167" s="23">
        <f>EXP(-LN(2)/2)*AW166+(1-EXP(-LN(2)/2))/(LN(2)/2)*AQ167*AT167*VLOOKUP('Données projet'!$B$10,Paramètres!$A$1:$I$89,3,0)*0.475*44/12</f>
        <v>2.3721953765691529E-19</v>
      </c>
      <c r="AX167" s="23">
        <f t="shared" si="166"/>
        <v>9.6064019266776615E-2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6.7984728957526396E-14</v>
      </c>
      <c r="BF167" s="14">
        <f t="shared" si="167"/>
        <v>1.0682447123141398E-12</v>
      </c>
      <c r="BG167" s="22">
        <f t="shared" si="168"/>
        <v>1.978932943548152E-12</v>
      </c>
      <c r="BH167" s="62">
        <f t="shared" si="116"/>
        <v>293.3333333333353</v>
      </c>
      <c r="BI167" s="62">
        <f ca="1">AVERAGE(OFFSET($BH$3,0,0,'Données projet'!$E$11+1,1))-AVERAGE(OFFSET($H$3,0,0,'Données projet'!$E$11+1,1))</f>
        <v>149.5086927376081</v>
      </c>
      <c r="BJ167" s="62">
        <f t="shared" si="146"/>
        <v>364.59164590134498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3.7530006012457693</v>
      </c>
      <c r="BQ167" s="23">
        <f>EXP(-LN(2)/25)*BQ166+(1-EXP(-LN(2)/25))/(LN(2)/25)*Calculateur!BL167*Calculateur!BN167*VLOOKUP('Données projet'!$B$11,Paramètres!$A$1:$I$89,3,0)*0.475*44/12</f>
        <v>1.070104992051695</v>
      </c>
      <c r="BR167" s="23">
        <f>EXP(-LN(2)/2)*BR166+(1-EXP(-LN(2)/2))/(LN(2)/2)*BL167*BO167*VLOOKUP('Données projet'!$B$11,Paramètres!$A$1:$I$89,3,0)*0.475*44/12</f>
        <v>2.9522408278950212E-19</v>
      </c>
      <c r="BS167" s="24">
        <f t="shared" si="169"/>
        <v>4.8231055932974645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160.22474733551678</v>
      </c>
      <c r="T168" s="62">
        <f t="shared" si="142"/>
        <v>272.72162271905523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3.4106051316484809E-13</v>
      </c>
      <c r="AJ168" s="14">
        <f>AI168*VLOOKUP('Données projet'!$B$10,Paramètres!$A$1:$I$89,3,0)*VLOOKUP('Données projet'!$B$10,Paramètres!$A$1:$I$89,5,0)</f>
        <v>1.9508661353029313E-13</v>
      </c>
      <c r="AK168" s="14">
        <f t="shared" si="164"/>
        <v>2.711421636700695E-12</v>
      </c>
      <c r="AL168" s="22">
        <f t="shared" si="165"/>
        <v>5.0621685358189711E-12</v>
      </c>
      <c r="AM168" s="62">
        <f t="shared" si="113"/>
        <v>293.33333333333837</v>
      </c>
      <c r="AN168" s="62">
        <f ca="1">AVERAGE(OFFSET($AM$3,0,0,'Données projet'!$E$10+1,1))-AVERAGE(OFFSET($H$3,0,0,'Données projet'!$E$10+1,1))</f>
        <v>227.80096215475777</v>
      </c>
      <c r="AO168" s="62">
        <f t="shared" si="144"/>
        <v>259.52807665663926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9.3437143608139386E-2</v>
      </c>
      <c r="AW168" s="23">
        <f>EXP(-LN(2)/2)*AW167+(1-EXP(-LN(2)/2))/(LN(2)/2)*AQ168*AT168*VLOOKUP('Données projet'!$B$10,Paramètres!$A$1:$I$89,3,0)*0.475*44/12</f>
        <v>1.6773954370714237E-19</v>
      </c>
      <c r="AX168" s="23">
        <f t="shared" si="166"/>
        <v>9.3437143608139386E-2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6.7984728957526396E-14</v>
      </c>
      <c r="BF168" s="14">
        <f t="shared" si="167"/>
        <v>1.0682447123141398E-12</v>
      </c>
      <c r="BG168" s="22">
        <f t="shared" si="168"/>
        <v>1.978932943548152E-12</v>
      </c>
      <c r="BH168" s="62">
        <f t="shared" si="116"/>
        <v>293.3333333333353</v>
      </c>
      <c r="BI168" s="62">
        <f ca="1">AVERAGE(OFFSET($BH$3,0,0,'Données projet'!$E$11+1,1))-AVERAGE(OFFSET($H$3,0,0,'Données projet'!$E$11+1,1))</f>
        <v>149.5086927376081</v>
      </c>
      <c r="BJ168" s="62">
        <f t="shared" si="146"/>
        <v>364.59164590134498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3.6794065485596761</v>
      </c>
      <c r="BQ168" s="23">
        <f>EXP(-LN(2)/25)*BQ167+(1-EXP(-LN(2)/25))/(LN(2)/25)*Calculateur!BL168*Calculateur!BN168*VLOOKUP('Données projet'!$B$11,Paramètres!$A$1:$I$89,3,0)*0.475*44/12</f>
        <v>1.0408429147696656</v>
      </c>
      <c r="BR168" s="23">
        <f>EXP(-LN(2)/2)*BR167+(1-EXP(-LN(2)/2))/(LN(2)/2)*BL168*BO168*VLOOKUP('Données projet'!$B$11,Paramètres!$A$1:$I$89,3,0)*0.475*44/12</f>
        <v>2.0875495091003567E-19</v>
      </c>
      <c r="BS168" s="24">
        <f t="shared" si="169"/>
        <v>4.7202494633293419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160.22474733551678</v>
      </c>
      <c r="T169" s="62">
        <f t="shared" si="142"/>
        <v>272.72162271905523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3.4106051316484809E-13</v>
      </c>
      <c r="AJ169" s="14">
        <f>AI169*VLOOKUP('Données projet'!$B$10,Paramètres!$A$1:$I$89,3,0)*VLOOKUP('Données projet'!$B$10,Paramètres!$A$1:$I$89,5,0)</f>
        <v>1.9508661353029313E-13</v>
      </c>
      <c r="AK169" s="14">
        <f t="shared" si="164"/>
        <v>2.711421636700695E-12</v>
      </c>
      <c r="AL169" s="22">
        <f t="shared" si="165"/>
        <v>5.0621685358189711E-12</v>
      </c>
      <c r="AM169" s="62">
        <f t="shared" si="113"/>
        <v>293.33333333333837</v>
      </c>
      <c r="AN169" s="62">
        <f ca="1">AVERAGE(OFFSET($AM$3,0,0,'Données projet'!$E$10+1,1))-AVERAGE(OFFSET($H$3,0,0,'Données projet'!$E$10+1,1))</f>
        <v>227.80096215475777</v>
      </c>
      <c r="AO169" s="62">
        <f t="shared" si="144"/>
        <v>259.52807665663926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9.0882100002528984E-2</v>
      </c>
      <c r="AW169" s="23">
        <f>EXP(-LN(2)/2)*AW168+(1-EXP(-LN(2)/2))/(LN(2)/2)*AQ169*AT169*VLOOKUP('Données projet'!$B$10,Paramètres!$A$1:$I$89,3,0)*0.475*44/12</f>
        <v>1.1860976882845764E-19</v>
      </c>
      <c r="AX169" s="23">
        <f t="shared" si="166"/>
        <v>9.0882100002528984E-2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6.7984728957526396E-14</v>
      </c>
      <c r="BF169" s="14">
        <f t="shared" si="167"/>
        <v>1.0682447123141398E-12</v>
      </c>
      <c r="BG169" s="22">
        <f t="shared" si="168"/>
        <v>1.978932943548152E-12</v>
      </c>
      <c r="BH169" s="62">
        <f t="shared" si="116"/>
        <v>293.3333333333353</v>
      </c>
      <c r="BI169" s="62">
        <f ca="1">AVERAGE(OFFSET($BH$3,0,0,'Données projet'!$E$11+1,1))-AVERAGE(OFFSET($H$3,0,0,'Données projet'!$E$11+1,1))</f>
        <v>149.5086927376081</v>
      </c>
      <c r="BJ169" s="62">
        <f t="shared" si="146"/>
        <v>364.59164590134498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3.6072556303588175</v>
      </c>
      <c r="BQ169" s="23">
        <f>EXP(-LN(2)/25)*BQ168+(1-EXP(-LN(2)/25))/(LN(2)/25)*Calculateur!BL169*Calculateur!BN169*VLOOKUP('Données projet'!$B$11,Paramètres!$A$1:$I$89,3,0)*0.475*44/12</f>
        <v>1.0123810105297391</v>
      </c>
      <c r="BR169" s="23">
        <f>EXP(-LN(2)/2)*BR168+(1-EXP(-LN(2)/2))/(LN(2)/2)*BL169*BO169*VLOOKUP('Données projet'!$B$11,Paramètres!$A$1:$I$89,3,0)*0.475*44/12</f>
        <v>1.4761204139475106E-19</v>
      </c>
      <c r="BS169" s="24">
        <f t="shared" si="169"/>
        <v>4.6196366408885563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160.22474733551678</v>
      </c>
      <c r="T170" s="62">
        <f t="shared" si="142"/>
        <v>272.72162271905523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3.4106051316484809E-13</v>
      </c>
      <c r="AJ170" s="14">
        <f>AI170*VLOOKUP('Données projet'!$B$10,Paramètres!$A$1:$I$89,3,0)*VLOOKUP('Données projet'!$B$10,Paramètres!$A$1:$I$89,5,0)</f>
        <v>1.9508661353029313E-13</v>
      </c>
      <c r="AK170" s="14">
        <f t="shared" si="164"/>
        <v>2.711421636700695E-12</v>
      </c>
      <c r="AL170" s="22">
        <f t="shared" si="165"/>
        <v>5.0621685358189711E-12</v>
      </c>
      <c r="AM170" s="62">
        <f t="shared" si="113"/>
        <v>293.33333333333837</v>
      </c>
      <c r="AN170" s="62">
        <f ca="1">AVERAGE(OFFSET($AM$3,0,0,'Données projet'!$E$10+1,1))-AVERAGE(OFFSET($H$3,0,0,'Données projet'!$E$10+1,1))</f>
        <v>227.80096215475777</v>
      </c>
      <c r="AO170" s="62">
        <f t="shared" si="144"/>
        <v>259.52807665663926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8.8396924198677909E-2</v>
      </c>
      <c r="AW170" s="23">
        <f>EXP(-LN(2)/2)*AW169+(1-EXP(-LN(2)/2))/(LN(2)/2)*AQ170*AT170*VLOOKUP('Données projet'!$B$10,Paramètres!$A$1:$I$89,3,0)*0.475*44/12</f>
        <v>8.3869771853571186E-20</v>
      </c>
      <c r="AX170" s="23">
        <f t="shared" si="166"/>
        <v>8.8396924198677909E-2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6.7984728957526396E-14</v>
      </c>
      <c r="BF170" s="14">
        <f t="shared" si="167"/>
        <v>1.0682447123141398E-12</v>
      </c>
      <c r="BG170" s="22">
        <f t="shared" si="168"/>
        <v>1.978932943548152E-12</v>
      </c>
      <c r="BH170" s="62">
        <f t="shared" si="116"/>
        <v>293.3333333333353</v>
      </c>
      <c r="BI170" s="62">
        <f ca="1">AVERAGE(OFFSET($BH$3,0,0,'Données projet'!$E$11+1,1))-AVERAGE(OFFSET($H$3,0,0,'Données projet'!$E$11+1,1))</f>
        <v>149.5086927376081</v>
      </c>
      <c r="BJ170" s="62">
        <f t="shared" si="146"/>
        <v>364.59164590134498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3.5365195476561628</v>
      </c>
      <c r="BQ170" s="23">
        <f>EXP(-LN(2)/25)*BQ169+(1-EXP(-LN(2)/25))/(LN(2)/25)*Calculateur!BL170*Calculateur!BN170*VLOOKUP('Données projet'!$B$11,Paramètres!$A$1:$I$89,3,0)*0.475*44/12</f>
        <v>0.98469739855799987</v>
      </c>
      <c r="BR170" s="23">
        <f>EXP(-LN(2)/2)*BR169+(1-EXP(-LN(2)/2))/(LN(2)/2)*BL170*BO170*VLOOKUP('Données projet'!$B$11,Paramètres!$A$1:$I$89,3,0)*0.475*44/12</f>
        <v>1.0437747545501784E-19</v>
      </c>
      <c r="BS170" s="24">
        <f t="shared" si="169"/>
        <v>4.5212169462141629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160.22474733551678</v>
      </c>
      <c r="T171" s="62">
        <f t="shared" si="142"/>
        <v>272.72162271905523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3.4106051316484809E-13</v>
      </c>
      <c r="AJ171" s="14">
        <f>AI171*VLOOKUP('Données projet'!$B$10,Paramètres!$A$1:$I$89,3,0)*VLOOKUP('Données projet'!$B$10,Paramètres!$A$1:$I$89,5,0)</f>
        <v>1.9508661353029313E-13</v>
      </c>
      <c r="AK171" s="14">
        <f t="shared" si="164"/>
        <v>2.711421636700695E-12</v>
      </c>
      <c r="AL171" s="22">
        <f t="shared" si="165"/>
        <v>5.0621685358189711E-12</v>
      </c>
      <c r="AM171" s="62">
        <f t="shared" si="113"/>
        <v>293.33333333333837</v>
      </c>
      <c r="AN171" s="62">
        <f ca="1">AVERAGE(OFFSET($AM$3,0,0,'Données projet'!$E$10+1,1))-AVERAGE(OFFSET($H$3,0,0,'Données projet'!$E$10+1,1))</f>
        <v>227.80096215475777</v>
      </c>
      <c r="AO171" s="62">
        <f t="shared" si="144"/>
        <v>259.52807665663926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8.5979705657872857E-2</v>
      </c>
      <c r="AW171" s="23">
        <f>EXP(-LN(2)/2)*AW170+(1-EXP(-LN(2)/2))/(LN(2)/2)*AQ171*AT171*VLOOKUP('Données projet'!$B$10,Paramètres!$A$1:$I$89,3,0)*0.475*44/12</f>
        <v>5.9304884414228822E-20</v>
      </c>
      <c r="AX171" s="23">
        <f t="shared" si="166"/>
        <v>8.5979705657872857E-2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6.7984728957526396E-14</v>
      </c>
      <c r="BF171" s="14">
        <f t="shared" si="167"/>
        <v>1.0682447123141398E-12</v>
      </c>
      <c r="BG171" s="22">
        <f t="shared" si="168"/>
        <v>1.978932943548152E-12</v>
      </c>
      <c r="BH171" s="62">
        <f t="shared" si="116"/>
        <v>293.3333333333353</v>
      </c>
      <c r="BI171" s="62">
        <f ca="1">AVERAGE(OFFSET($BH$3,0,0,'Données projet'!$E$11+1,1))-AVERAGE(OFFSET($H$3,0,0,'Données projet'!$E$11+1,1))</f>
        <v>149.5086927376081</v>
      </c>
      <c r="BJ171" s="62">
        <f t="shared" si="146"/>
        <v>364.59164590134498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3.467170556390557</v>
      </c>
      <c r="BQ171" s="23">
        <f>EXP(-LN(2)/25)*BQ170+(1-EXP(-LN(2)/25))/(LN(2)/25)*Calculateur!BL171*Calculateur!BN171*VLOOKUP('Données projet'!$B$11,Paramètres!$A$1:$I$89,3,0)*0.475*44/12</f>
        <v>0.95777079641144569</v>
      </c>
      <c r="BR171" s="23">
        <f>EXP(-LN(2)/2)*BR170+(1-EXP(-LN(2)/2))/(LN(2)/2)*BL171*BO171*VLOOKUP('Données projet'!$B$11,Paramètres!$A$1:$I$89,3,0)*0.475*44/12</f>
        <v>7.3806020697375531E-20</v>
      </c>
      <c r="BS171" s="24">
        <f t="shared" si="169"/>
        <v>4.4249413528020032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160.22474733551678</v>
      </c>
      <c r="T172" s="62">
        <f t="shared" si="142"/>
        <v>272.72162271905523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3.4106051316484809E-13</v>
      </c>
      <c r="AJ172" s="14">
        <f>AI172*VLOOKUP('Données projet'!$B$10,Paramètres!$A$1:$I$89,3,0)*VLOOKUP('Données projet'!$B$10,Paramètres!$A$1:$I$89,5,0)</f>
        <v>1.9508661353029313E-13</v>
      </c>
      <c r="AK172" s="14">
        <f t="shared" si="164"/>
        <v>2.711421636700695E-12</v>
      </c>
      <c r="AL172" s="22">
        <f t="shared" si="165"/>
        <v>5.0621685358189711E-12</v>
      </c>
      <c r="AM172" s="62">
        <f t="shared" si="113"/>
        <v>293.33333333333837</v>
      </c>
      <c r="AN172" s="62">
        <f ca="1">AVERAGE(OFFSET($AM$3,0,0,'Données projet'!$E$10+1,1))-AVERAGE(OFFSET($H$3,0,0,'Données projet'!$E$10+1,1))</f>
        <v>227.80096215475777</v>
      </c>
      <c r="AO172" s="62">
        <f t="shared" si="144"/>
        <v>259.52807665663926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8.3628586085182116E-2</v>
      </c>
      <c r="AW172" s="23">
        <f>EXP(-LN(2)/2)*AW171+(1-EXP(-LN(2)/2))/(LN(2)/2)*AQ172*AT172*VLOOKUP('Données projet'!$B$10,Paramètres!$A$1:$I$89,3,0)*0.475*44/12</f>
        <v>4.1934885926785593E-20</v>
      </c>
      <c r="AX172" s="23">
        <f t="shared" si="166"/>
        <v>8.3628586085182116E-2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6.7984728957526396E-14</v>
      </c>
      <c r="BF172" s="14">
        <f t="shared" si="167"/>
        <v>1.0682447123141398E-12</v>
      </c>
      <c r="BG172" s="22">
        <f t="shared" si="168"/>
        <v>1.978932943548152E-12</v>
      </c>
      <c r="BH172" s="62">
        <f t="shared" si="116"/>
        <v>293.3333333333353</v>
      </c>
      <c r="BI172" s="62">
        <f ca="1">AVERAGE(OFFSET($BH$3,0,0,'Données projet'!$E$11+1,1))-AVERAGE(OFFSET($H$3,0,0,'Données projet'!$E$11+1,1))</f>
        <v>149.5086927376081</v>
      </c>
      <c r="BJ172" s="62">
        <f t="shared" si="146"/>
        <v>364.59164590134498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3.3991814565449618</v>
      </c>
      <c r="BQ172" s="23">
        <f>EXP(-LN(2)/25)*BQ171+(1-EXP(-LN(2)/25))/(LN(2)/25)*Calculateur!BL172*Calculateur!BN172*VLOOKUP('Données projet'!$B$11,Paramètres!$A$1:$I$89,3,0)*0.475*44/12</f>
        <v>0.9315805036165975</v>
      </c>
      <c r="BR172" s="23">
        <f>EXP(-LN(2)/2)*BR171+(1-EXP(-LN(2)/2))/(LN(2)/2)*BL172*BO172*VLOOKUP('Données projet'!$B$11,Paramètres!$A$1:$I$89,3,0)*0.475*44/12</f>
        <v>5.2188737727508918E-20</v>
      </c>
      <c r="BS172" s="24">
        <f t="shared" si="169"/>
        <v>4.330761960161559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160.22474733551678</v>
      </c>
      <c r="T173" s="62">
        <f t="shared" si="142"/>
        <v>272.72162271905523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3.4106051316484809E-13</v>
      </c>
      <c r="AJ173" s="14">
        <f>AI173*VLOOKUP('Données projet'!$B$10,Paramètres!$A$1:$I$89,3,0)*VLOOKUP('Données projet'!$B$10,Paramètres!$A$1:$I$89,5,0)</f>
        <v>1.9508661353029313E-13</v>
      </c>
      <c r="AK173" s="14">
        <f t="shared" si="164"/>
        <v>2.711421636700695E-12</v>
      </c>
      <c r="AL173" s="22">
        <f t="shared" si="165"/>
        <v>5.0621685358189711E-12</v>
      </c>
      <c r="AM173" s="62">
        <f t="shared" si="113"/>
        <v>293.33333333333837</v>
      </c>
      <c r="AN173" s="62">
        <f ca="1">AVERAGE(OFFSET($AM$3,0,0,'Données projet'!$E$10+1,1))-AVERAGE(OFFSET($H$3,0,0,'Données projet'!$E$10+1,1))</f>
        <v>227.80096215475777</v>
      </c>
      <c r="AO173" s="62">
        <f t="shared" si="144"/>
        <v>259.52807665663926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8.1341758000846601E-2</v>
      </c>
      <c r="AW173" s="23">
        <f>EXP(-LN(2)/2)*AW172+(1-EXP(-LN(2)/2))/(LN(2)/2)*AQ173*AT173*VLOOKUP('Données projet'!$B$10,Paramètres!$A$1:$I$89,3,0)*0.475*44/12</f>
        <v>2.9652442207114411E-20</v>
      </c>
      <c r="AX173" s="23">
        <f t="shared" si="166"/>
        <v>8.1341758000846601E-2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6.7984728957526396E-14</v>
      </c>
      <c r="BF173" s="14">
        <f t="shared" si="167"/>
        <v>1.0682447123141398E-12</v>
      </c>
      <c r="BG173" s="22">
        <f t="shared" si="168"/>
        <v>1.978932943548152E-12</v>
      </c>
      <c r="BH173" s="62">
        <f t="shared" si="116"/>
        <v>293.3333333333353</v>
      </c>
      <c r="BI173" s="62">
        <f ca="1">AVERAGE(OFFSET($BH$3,0,0,'Données projet'!$E$11+1,1))-AVERAGE(OFFSET($H$3,0,0,'Données projet'!$E$11+1,1))</f>
        <v>149.5086927376081</v>
      </c>
      <c r="BJ173" s="62">
        <f t="shared" si="146"/>
        <v>364.59164590134498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3.3325255814780825</v>
      </c>
      <c r="BQ173" s="23">
        <f>EXP(-LN(2)/25)*BQ172+(1-EXP(-LN(2)/25))/(LN(2)/25)*Calculateur!BL173*Calculateur!BN173*VLOOKUP('Données projet'!$B$11,Paramètres!$A$1:$I$89,3,0)*0.475*44/12</f>
        <v>0.90610638575551217</v>
      </c>
      <c r="BR173" s="23">
        <f>EXP(-LN(2)/2)*BR172+(1-EXP(-LN(2)/2))/(LN(2)/2)*BL173*BO173*VLOOKUP('Données projet'!$B$11,Paramètres!$A$1:$I$89,3,0)*0.475*44/12</f>
        <v>3.6903010348687766E-20</v>
      </c>
      <c r="BS173" s="24">
        <f t="shared" si="169"/>
        <v>4.2386319672335944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160.22474733551678</v>
      </c>
      <c r="T174" s="62">
        <f t="shared" si="142"/>
        <v>272.72162271905523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3.4106051316484809E-13</v>
      </c>
      <c r="AJ174" s="14">
        <f>AI174*VLOOKUP('Données projet'!$B$10,Paramètres!$A$1:$I$89,3,0)*VLOOKUP('Données projet'!$B$10,Paramètres!$A$1:$I$89,5,0)</f>
        <v>1.9508661353029313E-13</v>
      </c>
      <c r="AK174" s="14">
        <f t="shared" si="164"/>
        <v>2.711421636700695E-12</v>
      </c>
      <c r="AL174" s="22">
        <f t="shared" si="165"/>
        <v>5.0621685358189711E-12</v>
      </c>
      <c r="AM174" s="62">
        <f t="shared" si="113"/>
        <v>293.33333333333837</v>
      </c>
      <c r="AN174" s="62">
        <f ca="1">AVERAGE(OFFSET($AM$3,0,0,'Données projet'!$E$10+1,1))-AVERAGE(OFFSET($H$3,0,0,'Données projet'!$E$10+1,1))</f>
        <v>227.80096215475777</v>
      </c>
      <c r="AO174" s="62">
        <f t="shared" si="144"/>
        <v>259.52807665663926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7.91174633507363E-2</v>
      </c>
      <c r="AW174" s="23">
        <f>EXP(-LN(2)/2)*AW173+(1-EXP(-LN(2)/2))/(LN(2)/2)*AQ174*AT174*VLOOKUP('Données projet'!$B$10,Paramètres!$A$1:$I$89,3,0)*0.475*44/12</f>
        <v>2.0967442963392796E-20</v>
      </c>
      <c r="AX174" s="23">
        <f t="shared" si="166"/>
        <v>7.91174633507363E-2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6.7984728957526396E-14</v>
      </c>
      <c r="BF174" s="14">
        <f t="shared" si="167"/>
        <v>1.0682447123141398E-12</v>
      </c>
      <c r="BG174" s="22">
        <f t="shared" si="168"/>
        <v>1.978932943548152E-12</v>
      </c>
      <c r="BH174" s="62">
        <f t="shared" si="116"/>
        <v>293.3333333333353</v>
      </c>
      <c r="BI174" s="62">
        <f ca="1">AVERAGE(OFFSET($BH$3,0,0,'Données projet'!$E$11+1,1))-AVERAGE(OFFSET($H$3,0,0,'Données projet'!$E$11+1,1))</f>
        <v>149.5086927376081</v>
      </c>
      <c r="BJ174" s="62">
        <f t="shared" si="146"/>
        <v>364.59164590134498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3.2671767874651954</v>
      </c>
      <c r="BQ174" s="23">
        <f>EXP(-LN(2)/25)*BQ173+(1-EXP(-LN(2)/25))/(LN(2)/25)*Calculateur!BL174*Calculateur!BN174*VLOOKUP('Données projet'!$B$11,Paramètres!$A$1:$I$89,3,0)*0.475*44/12</f>
        <v>0.88132885898696378</v>
      </c>
      <c r="BR174" s="23">
        <f>EXP(-LN(2)/2)*BR173+(1-EXP(-LN(2)/2))/(LN(2)/2)*BL174*BO174*VLOOKUP('Données projet'!$B$11,Paramètres!$A$1:$I$89,3,0)*0.475*44/12</f>
        <v>2.6094368863754459E-20</v>
      </c>
      <c r="BS174" s="24">
        <f t="shared" si="169"/>
        <v>4.1485056464521595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160.22474733551678</v>
      </c>
      <c r="T175" s="62">
        <f t="shared" si="142"/>
        <v>272.72162271905523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3.4106051316484809E-13</v>
      </c>
      <c r="AJ175" s="14">
        <f>AI175*VLOOKUP('Données projet'!$B$10,Paramètres!$A$1:$I$89,3,0)*VLOOKUP('Données projet'!$B$10,Paramètres!$A$1:$I$89,5,0)</f>
        <v>1.9508661353029313E-13</v>
      </c>
      <c r="AK175" s="14">
        <f t="shared" si="164"/>
        <v>2.711421636700695E-12</v>
      </c>
      <c r="AL175" s="22">
        <f t="shared" si="165"/>
        <v>5.0621685358189711E-12</v>
      </c>
      <c r="AM175" s="62">
        <f t="shared" si="113"/>
        <v>293.33333333333837</v>
      </c>
      <c r="AN175" s="62">
        <f ca="1">AVERAGE(OFFSET($AM$3,0,0,'Données projet'!$E$10+1,1))-AVERAGE(OFFSET($H$3,0,0,'Données projet'!$E$10+1,1))</f>
        <v>227.80096215475777</v>
      </c>
      <c r="AO175" s="62">
        <f t="shared" si="144"/>
        <v>259.52807665663926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7.6953992154803849E-2</v>
      </c>
      <c r="AW175" s="23">
        <f>EXP(-LN(2)/2)*AW174+(1-EXP(-LN(2)/2))/(LN(2)/2)*AQ175*AT175*VLOOKUP('Données projet'!$B$10,Paramètres!$A$1:$I$89,3,0)*0.475*44/12</f>
        <v>1.4826221103557206E-20</v>
      </c>
      <c r="AX175" s="23">
        <f t="shared" si="166"/>
        <v>7.6953992154803849E-2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6.7984728957526396E-14</v>
      </c>
      <c r="BF175" s="14">
        <f t="shared" si="167"/>
        <v>1.0682447123141398E-12</v>
      </c>
      <c r="BG175" s="22">
        <f t="shared" si="168"/>
        <v>1.978932943548152E-12</v>
      </c>
      <c r="BH175" s="62">
        <f t="shared" si="116"/>
        <v>293.3333333333353</v>
      </c>
      <c r="BI175" s="62">
        <f ca="1">AVERAGE(OFFSET($BH$3,0,0,'Données projet'!$E$11+1,1))-AVERAGE(OFFSET($H$3,0,0,'Données projet'!$E$11+1,1))</f>
        <v>149.5086927376081</v>
      </c>
      <c r="BJ175" s="62">
        <f t="shared" si="146"/>
        <v>364.59164590134498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3.2031094434440726</v>
      </c>
      <c r="BQ175" s="23">
        <f>EXP(-LN(2)/25)*BQ174+(1-EXP(-LN(2)/25))/(LN(2)/25)*Calculateur!BL175*Calculateur!BN175*VLOOKUP('Données projet'!$B$11,Paramètres!$A$1:$I$89,3,0)*0.475*44/12</f>
        <v>0.85722887499089484</v>
      </c>
      <c r="BR175" s="23">
        <f>EXP(-LN(2)/2)*BR174+(1-EXP(-LN(2)/2))/(LN(2)/2)*BL175*BO175*VLOOKUP('Données projet'!$B$11,Paramètres!$A$1:$I$89,3,0)*0.475*44/12</f>
        <v>1.8451505174343883E-20</v>
      </c>
      <c r="BS175" s="24">
        <f t="shared" si="169"/>
        <v>4.0603383184349671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160.22474733551678</v>
      </c>
      <c r="T176" s="62">
        <f t="shared" si="142"/>
        <v>272.72162271905523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3.4106051316484809E-13</v>
      </c>
      <c r="AJ176" s="14">
        <f>AI176*VLOOKUP('Données projet'!$B$10,Paramètres!$A$1:$I$89,3,0)*VLOOKUP('Données projet'!$B$10,Paramètres!$A$1:$I$89,5,0)</f>
        <v>1.9508661353029313E-13</v>
      </c>
      <c r="AK176" s="14">
        <f t="shared" si="164"/>
        <v>2.711421636700695E-12</v>
      </c>
      <c r="AL176" s="22">
        <f t="shared" si="165"/>
        <v>5.0621685358189711E-12</v>
      </c>
      <c r="AM176" s="62">
        <f t="shared" si="113"/>
        <v>293.33333333333837</v>
      </c>
      <c r="AN176" s="62">
        <f ca="1">AVERAGE(OFFSET($AM$3,0,0,'Données projet'!$E$10+1,1))-AVERAGE(OFFSET($H$3,0,0,'Données projet'!$E$10+1,1))</f>
        <v>227.80096215475777</v>
      </c>
      <c r="AO176" s="62">
        <f t="shared" si="144"/>
        <v>259.52807665663926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7.4849681192496173E-2</v>
      </c>
      <c r="AW176" s="23">
        <f>EXP(-LN(2)/2)*AW175+(1-EXP(-LN(2)/2))/(LN(2)/2)*AQ176*AT176*VLOOKUP('Données projet'!$B$10,Paramètres!$A$1:$I$89,3,0)*0.475*44/12</f>
        <v>1.0483721481696398E-20</v>
      </c>
      <c r="AX176" s="23">
        <f t="shared" si="166"/>
        <v>7.4849681192496173E-2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6.7984728957526396E-14</v>
      </c>
      <c r="BF176" s="14">
        <f t="shared" si="167"/>
        <v>1.0682447123141398E-12</v>
      </c>
      <c r="BG176" s="22">
        <f t="shared" si="168"/>
        <v>1.978932943548152E-12</v>
      </c>
      <c r="BH176" s="62">
        <f t="shared" si="116"/>
        <v>293.3333333333353</v>
      </c>
      <c r="BI176" s="62">
        <f ca="1">AVERAGE(OFFSET($BH$3,0,0,'Données projet'!$E$11+1,1))-AVERAGE(OFFSET($H$3,0,0,'Données projet'!$E$11+1,1))</f>
        <v>149.5086927376081</v>
      </c>
      <c r="BJ176" s="62">
        <f t="shared" si="146"/>
        <v>364.59164590134498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3.1402984209619826</v>
      </c>
      <c r="BQ176" s="23">
        <f>EXP(-LN(2)/25)*BQ175+(1-EXP(-LN(2)/25))/(LN(2)/25)*Calculateur!BL176*Calculateur!BN176*VLOOKUP('Données projet'!$B$11,Paramètres!$A$1:$I$89,3,0)*0.475*44/12</f>
        <v>0.83378790632456146</v>
      </c>
      <c r="BR176" s="23">
        <f>EXP(-LN(2)/2)*BR175+(1-EXP(-LN(2)/2))/(LN(2)/2)*BL176*BO176*VLOOKUP('Données projet'!$B$11,Paramètres!$A$1:$I$89,3,0)*0.475*44/12</f>
        <v>1.3047184431877229E-20</v>
      </c>
      <c r="BS176" s="24">
        <f t="shared" si="169"/>
        <v>3.9740863272865443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160.22474733551678</v>
      </c>
      <c r="T177" s="62">
        <f t="shared" si="142"/>
        <v>272.72162271905523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3.4106051316484809E-13</v>
      </c>
      <c r="AJ177" s="14">
        <f>AI177*VLOOKUP('Données projet'!$B$10,Paramètres!$A$1:$I$89,3,0)*VLOOKUP('Données projet'!$B$10,Paramètres!$A$1:$I$89,5,0)</f>
        <v>1.9508661353029313E-13</v>
      </c>
      <c r="AK177" s="14">
        <f t="shared" si="164"/>
        <v>2.711421636700695E-12</v>
      </c>
      <c r="AL177" s="22">
        <f t="shared" si="165"/>
        <v>5.0621685358189711E-12</v>
      </c>
      <c r="AM177" s="62">
        <f t="shared" si="113"/>
        <v>293.33333333333837</v>
      </c>
      <c r="AN177" s="62">
        <f ca="1">AVERAGE(OFFSET($AM$3,0,0,'Données projet'!$E$10+1,1))-AVERAGE(OFFSET($H$3,0,0,'Données projet'!$E$10+1,1))</f>
        <v>227.80096215475777</v>
      </c>
      <c r="AO177" s="62">
        <f t="shared" si="144"/>
        <v>259.52807665663926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7.2802912724113697E-2</v>
      </c>
      <c r="AW177" s="23">
        <f>EXP(-LN(2)/2)*AW176+(1-EXP(-LN(2)/2))/(LN(2)/2)*AQ177*AT177*VLOOKUP('Données projet'!$B$10,Paramètres!$A$1:$I$89,3,0)*0.475*44/12</f>
        <v>7.4131105517786028E-21</v>
      </c>
      <c r="AX177" s="23">
        <f t="shared" si="166"/>
        <v>7.2802912724113697E-2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6.7984728957526396E-14</v>
      </c>
      <c r="BF177" s="14">
        <f t="shared" si="167"/>
        <v>1.0682447123141398E-12</v>
      </c>
      <c r="BG177" s="22">
        <f t="shared" si="168"/>
        <v>1.978932943548152E-12</v>
      </c>
      <c r="BH177" s="62">
        <f t="shared" si="116"/>
        <v>293.3333333333353</v>
      </c>
      <c r="BI177" s="62">
        <f ca="1">AVERAGE(OFFSET($BH$3,0,0,'Données projet'!$E$11+1,1))-AVERAGE(OFFSET($H$3,0,0,'Données projet'!$E$11+1,1))</f>
        <v>149.5086927376081</v>
      </c>
      <c r="BJ177" s="62">
        <f t="shared" si="146"/>
        <v>364.59164590134498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3.0787190843198258</v>
      </c>
      <c r="BQ177" s="23">
        <f>EXP(-LN(2)/25)*BQ176+(1-EXP(-LN(2)/25))/(LN(2)/25)*Calculateur!BL177*Calculateur!BN177*VLOOKUP('Données projet'!$B$11,Paramètres!$A$1:$I$89,3,0)*0.475*44/12</f>
        <v>0.81098793217911602</v>
      </c>
      <c r="BR177" s="23">
        <f>EXP(-LN(2)/2)*BR176+(1-EXP(-LN(2)/2))/(LN(2)/2)*BL177*BO177*VLOOKUP('Données projet'!$B$11,Paramètres!$A$1:$I$89,3,0)*0.475*44/12</f>
        <v>9.2257525871719414E-21</v>
      </c>
      <c r="BS177" s="24">
        <f t="shared" si="169"/>
        <v>3.8897070164989418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160.22474733551678</v>
      </c>
      <c r="T178" s="62">
        <f t="shared" si="142"/>
        <v>272.72162271905523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3.4106051316484809E-13</v>
      </c>
      <c r="AJ178" s="14">
        <f>AI178*VLOOKUP('Données projet'!$B$10,Paramètres!$A$1:$I$89,3,0)*VLOOKUP('Données projet'!$B$10,Paramètres!$A$1:$I$89,5,0)</f>
        <v>1.9508661353029313E-13</v>
      </c>
      <c r="AK178" s="14">
        <f t="shared" si="164"/>
        <v>2.711421636700695E-12</v>
      </c>
      <c r="AL178" s="22">
        <f t="shared" si="165"/>
        <v>5.0621685358189711E-12</v>
      </c>
      <c r="AM178" s="62">
        <f t="shared" si="113"/>
        <v>293.33333333333837</v>
      </c>
      <c r="AN178" s="62">
        <f ca="1">AVERAGE(OFFSET($AM$3,0,0,'Données projet'!$E$10+1,1))-AVERAGE(OFFSET($H$3,0,0,'Données projet'!$E$10+1,1))</f>
        <v>227.80096215475777</v>
      </c>
      <c r="AO178" s="62">
        <f t="shared" si="144"/>
        <v>259.52807665663926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7.0812113247134018E-2</v>
      </c>
      <c r="AW178" s="23">
        <f>EXP(-LN(2)/2)*AW177+(1-EXP(-LN(2)/2))/(LN(2)/2)*AQ178*AT178*VLOOKUP('Données projet'!$B$10,Paramètres!$A$1:$I$89,3,0)*0.475*44/12</f>
        <v>5.2418607408481991E-21</v>
      </c>
      <c r="AX178" s="23">
        <f t="shared" si="166"/>
        <v>7.0812113247134018E-2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6.7984728957526396E-14</v>
      </c>
      <c r="BF178" s="14">
        <f t="shared" si="167"/>
        <v>1.0682447123141398E-12</v>
      </c>
      <c r="BG178" s="22">
        <f t="shared" si="168"/>
        <v>1.978932943548152E-12</v>
      </c>
      <c r="BH178" s="62">
        <f t="shared" si="116"/>
        <v>293.3333333333353</v>
      </c>
      <c r="BI178" s="62">
        <f ca="1">AVERAGE(OFFSET($BH$3,0,0,'Données projet'!$E$11+1,1))-AVERAGE(OFFSET($H$3,0,0,'Données projet'!$E$11+1,1))</f>
        <v>149.5086927376081</v>
      </c>
      <c r="BJ178" s="62">
        <f t="shared" si="146"/>
        <v>364.59164590134498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3.0183472809095346</v>
      </c>
      <c r="BQ178" s="23">
        <f>EXP(-LN(2)/25)*BQ177+(1-EXP(-LN(2)/25))/(LN(2)/25)*Calculateur!BL178*Calculateur!BN178*VLOOKUP('Données projet'!$B$11,Paramètres!$A$1:$I$89,3,0)*0.475*44/12</f>
        <v>0.78881142452567632</v>
      </c>
      <c r="BR178" s="23">
        <f>EXP(-LN(2)/2)*BR177+(1-EXP(-LN(2)/2))/(LN(2)/2)*BL178*BO178*VLOOKUP('Données projet'!$B$11,Paramètres!$A$1:$I$89,3,0)*0.475*44/12</f>
        <v>6.5235922159386147E-21</v>
      </c>
      <c r="BS178" s="24">
        <f t="shared" si="169"/>
        <v>3.807158705435211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160.22474733551678</v>
      </c>
      <c r="T179" s="62">
        <f t="shared" si="142"/>
        <v>272.72162271905523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3.4106051316484809E-13</v>
      </c>
      <c r="AJ179" s="14">
        <f>AI179*VLOOKUP('Données projet'!$B$10,Paramètres!$A$1:$I$89,3,0)*VLOOKUP('Données projet'!$B$10,Paramètres!$A$1:$I$89,5,0)</f>
        <v>1.9508661353029313E-13</v>
      </c>
      <c r="AK179" s="14">
        <f t="shared" si="164"/>
        <v>2.711421636700695E-12</v>
      </c>
      <c r="AL179" s="22">
        <f t="shared" si="165"/>
        <v>5.0621685358189711E-12</v>
      </c>
      <c r="AM179" s="62">
        <f t="shared" si="113"/>
        <v>293.33333333333837</v>
      </c>
      <c r="AN179" s="62">
        <f ca="1">AVERAGE(OFFSET($AM$3,0,0,'Données projet'!$E$10+1,1))-AVERAGE(OFFSET($H$3,0,0,'Données projet'!$E$10+1,1))</f>
        <v>227.80096215475777</v>
      </c>
      <c r="AO179" s="62">
        <f t="shared" si="144"/>
        <v>259.52807665663926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6.887575228654394E-2</v>
      </c>
      <c r="AW179" s="23">
        <f>EXP(-LN(2)/2)*AW178+(1-EXP(-LN(2)/2))/(LN(2)/2)*AQ179*AT179*VLOOKUP('Données projet'!$B$10,Paramètres!$A$1:$I$89,3,0)*0.475*44/12</f>
        <v>3.7065552758893014E-21</v>
      </c>
      <c r="AX179" s="23">
        <f t="shared" si="166"/>
        <v>6.887575228654394E-2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6.7984728957526396E-14</v>
      </c>
      <c r="BF179" s="14">
        <f t="shared" si="167"/>
        <v>1.0682447123141398E-12</v>
      </c>
      <c r="BG179" s="22">
        <f t="shared" si="168"/>
        <v>1.978932943548152E-12</v>
      </c>
      <c r="BH179" s="62">
        <f t="shared" si="116"/>
        <v>293.3333333333353</v>
      </c>
      <c r="BI179" s="62">
        <f ca="1">AVERAGE(OFFSET($BH$3,0,0,'Données projet'!$E$11+1,1))-AVERAGE(OFFSET($H$3,0,0,'Données projet'!$E$11+1,1))</f>
        <v>149.5086927376081</v>
      </c>
      <c r="BJ179" s="62">
        <f t="shared" si="146"/>
        <v>364.59164590134498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2.9591593317409552</v>
      </c>
      <c r="BQ179" s="23">
        <f>EXP(-LN(2)/25)*BQ178+(1-EXP(-LN(2)/25))/(LN(2)/25)*Calculateur!BL179*Calculateur!BN179*VLOOKUP('Données projet'!$B$11,Paramètres!$A$1:$I$89,3,0)*0.475*44/12</f>
        <v>0.7672413346402317</v>
      </c>
      <c r="BR179" s="23">
        <f>EXP(-LN(2)/2)*BR178+(1-EXP(-LN(2)/2))/(LN(2)/2)*BL179*BO179*VLOOKUP('Données projet'!$B$11,Paramètres!$A$1:$I$89,3,0)*0.475*44/12</f>
        <v>4.6128762935859707E-21</v>
      </c>
      <c r="BS179" s="24">
        <f t="shared" si="169"/>
        <v>3.7264006663811871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160.22474733551678</v>
      </c>
      <c r="T180" s="62">
        <f t="shared" si="142"/>
        <v>272.72162271905523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3.4106051316484809E-13</v>
      </c>
      <c r="AJ180" s="14">
        <f>AI180*VLOOKUP('Données projet'!$B$10,Paramètres!$A$1:$I$89,3,0)*VLOOKUP('Données projet'!$B$10,Paramètres!$A$1:$I$89,5,0)</f>
        <v>1.9508661353029313E-13</v>
      </c>
      <c r="AK180" s="14">
        <f t="shared" si="164"/>
        <v>2.711421636700695E-12</v>
      </c>
      <c r="AL180" s="22">
        <f t="shared" si="165"/>
        <v>5.0621685358189711E-12</v>
      </c>
      <c r="AM180" s="62">
        <f t="shared" si="113"/>
        <v>293.33333333333837</v>
      </c>
      <c r="AN180" s="62">
        <f ca="1">AVERAGE(OFFSET($AM$3,0,0,'Données projet'!$E$10+1,1))-AVERAGE(OFFSET($H$3,0,0,'Données projet'!$E$10+1,1))</f>
        <v>227.80096215475777</v>
      </c>
      <c r="AO180" s="62">
        <f t="shared" si="144"/>
        <v>259.52807665663926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6.6992341218249998E-2</v>
      </c>
      <c r="AW180" s="23">
        <f>EXP(-LN(2)/2)*AW179+(1-EXP(-LN(2)/2))/(LN(2)/2)*AQ180*AT180*VLOOKUP('Données projet'!$B$10,Paramètres!$A$1:$I$89,3,0)*0.475*44/12</f>
        <v>2.6209303704240996E-21</v>
      </c>
      <c r="AX180" s="23">
        <f t="shared" si="166"/>
        <v>6.6992341218249998E-2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6.7984728957526396E-14</v>
      </c>
      <c r="BF180" s="14">
        <f t="shared" si="167"/>
        <v>1.0682447123141398E-12</v>
      </c>
      <c r="BG180" s="22">
        <f t="shared" si="168"/>
        <v>1.978932943548152E-12</v>
      </c>
      <c r="BH180" s="62">
        <f t="shared" si="116"/>
        <v>293.3333333333353</v>
      </c>
      <c r="BI180" s="62">
        <f ca="1">AVERAGE(OFFSET($BH$3,0,0,'Données projet'!$E$11+1,1))-AVERAGE(OFFSET($H$3,0,0,'Données projet'!$E$11+1,1))</f>
        <v>149.5086927376081</v>
      </c>
      <c r="BJ180" s="62">
        <f t="shared" si="146"/>
        <v>364.59164590134498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2.9011320221544876</v>
      </c>
      <c r="BQ180" s="23">
        <f>EXP(-LN(2)/25)*BQ179+(1-EXP(-LN(2)/25))/(LN(2)/25)*Calculateur!BL180*Calculateur!BN180*VLOOKUP('Données projet'!$B$11,Paramètres!$A$1:$I$89,3,0)*0.475*44/12</f>
        <v>0.74626107999702629</v>
      </c>
      <c r="BR180" s="23">
        <f>EXP(-LN(2)/2)*BR179+(1-EXP(-LN(2)/2))/(LN(2)/2)*BL180*BO180*VLOOKUP('Données projet'!$B$11,Paramètres!$A$1:$I$89,3,0)*0.475*44/12</f>
        <v>3.2617961079693074E-21</v>
      </c>
      <c r="BS180" s="24">
        <f t="shared" si="169"/>
        <v>3.647393102151514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160.22474733551678</v>
      </c>
      <c r="T181" s="62">
        <f t="shared" si="142"/>
        <v>272.72162271905523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3.4106051316484809E-13</v>
      </c>
      <c r="AJ181" s="14">
        <f>AI181*VLOOKUP('Données projet'!$B$10,Paramètres!$A$1:$I$89,3,0)*VLOOKUP('Données projet'!$B$10,Paramètres!$A$1:$I$89,5,0)</f>
        <v>1.9508661353029313E-13</v>
      </c>
      <c r="AK181" s="14">
        <f t="shared" si="164"/>
        <v>2.711421636700695E-12</v>
      </c>
      <c r="AL181" s="22">
        <f t="shared" si="165"/>
        <v>5.0621685358189711E-12</v>
      </c>
      <c r="AM181" s="62">
        <f t="shared" si="113"/>
        <v>293.33333333333837</v>
      </c>
      <c r="AN181" s="62">
        <f ca="1">AVERAGE(OFFSET($AM$3,0,0,'Données projet'!$E$10+1,1))-AVERAGE(OFFSET($H$3,0,0,'Données projet'!$E$10+1,1))</f>
        <v>227.80096215475777</v>
      </c>
      <c r="AO181" s="62">
        <f t="shared" si="144"/>
        <v>259.52807665663926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6.516043212466284E-2</v>
      </c>
      <c r="AW181" s="23">
        <f>EXP(-LN(2)/2)*AW180+(1-EXP(-LN(2)/2))/(LN(2)/2)*AQ181*AT181*VLOOKUP('Données projet'!$B$10,Paramètres!$A$1:$I$89,3,0)*0.475*44/12</f>
        <v>1.8532776379446507E-21</v>
      </c>
      <c r="AX181" s="23">
        <f t="shared" si="166"/>
        <v>6.516043212466284E-2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6.7984728957526396E-14</v>
      </c>
      <c r="BF181" s="14">
        <f t="shared" si="167"/>
        <v>1.0682447123141398E-12</v>
      </c>
      <c r="BG181" s="22">
        <f t="shared" si="168"/>
        <v>1.978932943548152E-12</v>
      </c>
      <c r="BH181" s="62">
        <f t="shared" si="116"/>
        <v>293.3333333333353</v>
      </c>
      <c r="BI181" s="62">
        <f ca="1">AVERAGE(OFFSET($BH$3,0,0,'Données projet'!$E$11+1,1))-AVERAGE(OFFSET($H$3,0,0,'Données projet'!$E$11+1,1))</f>
        <v>149.5086927376081</v>
      </c>
      <c r="BJ181" s="62">
        <f t="shared" si="146"/>
        <v>364.59164590134498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2.8442425927158466</v>
      </c>
      <c r="BQ181" s="23">
        <f>EXP(-LN(2)/25)*BQ180+(1-EXP(-LN(2)/25))/(LN(2)/25)*Calculateur!BL181*Calculateur!BN181*VLOOKUP('Données projet'!$B$11,Paramètres!$A$1:$I$89,3,0)*0.475*44/12</f>
        <v>0.72585453152034296</v>
      </c>
      <c r="BR181" s="23">
        <f>EXP(-LN(2)/2)*BR180+(1-EXP(-LN(2)/2))/(LN(2)/2)*BL181*BO181*VLOOKUP('Données projet'!$B$11,Paramètres!$A$1:$I$89,3,0)*0.475*44/12</f>
        <v>2.3064381467929853E-21</v>
      </c>
      <c r="BS181" s="24">
        <f t="shared" si="169"/>
        <v>3.5700971242361894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160.22474733551678</v>
      </c>
      <c r="T182" s="62">
        <f t="shared" si="142"/>
        <v>272.72162271905523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3.4106051316484809E-13</v>
      </c>
      <c r="AJ182" s="14">
        <f>AI182*VLOOKUP('Données projet'!$B$10,Paramètres!$A$1:$I$89,3,0)*VLOOKUP('Données projet'!$B$10,Paramètres!$A$1:$I$89,5,0)</f>
        <v>1.9508661353029313E-13</v>
      </c>
      <c r="AK182" s="14">
        <f t="shared" si="164"/>
        <v>2.711421636700695E-12</v>
      </c>
      <c r="AL182" s="22">
        <f t="shared" si="165"/>
        <v>5.0621685358189711E-12</v>
      </c>
      <c r="AM182" s="62">
        <f t="shared" si="113"/>
        <v>293.33333333333837</v>
      </c>
      <c r="AN182" s="62">
        <f ca="1">AVERAGE(OFFSET($AM$3,0,0,'Données projet'!$E$10+1,1))-AVERAGE(OFFSET($H$3,0,0,'Données projet'!$E$10+1,1))</f>
        <v>227.80096215475777</v>
      </c>
      <c r="AO182" s="62">
        <f t="shared" si="144"/>
        <v>259.52807665663926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6.3378616681575739E-2</v>
      </c>
      <c r="AW182" s="23">
        <f>EXP(-LN(2)/2)*AW181+(1-EXP(-LN(2)/2))/(LN(2)/2)*AQ182*AT182*VLOOKUP('Données projet'!$B$10,Paramètres!$A$1:$I$89,3,0)*0.475*44/12</f>
        <v>1.3104651852120498E-21</v>
      </c>
      <c r="AX182" s="23">
        <f t="shared" si="166"/>
        <v>6.3378616681575739E-2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6.7984728957526396E-14</v>
      </c>
      <c r="BF182" s="14">
        <f t="shared" si="167"/>
        <v>1.0682447123141398E-12</v>
      </c>
      <c r="BG182" s="22">
        <f t="shared" si="168"/>
        <v>1.978932943548152E-12</v>
      </c>
      <c r="BH182" s="62">
        <f t="shared" si="116"/>
        <v>293.3333333333353</v>
      </c>
      <c r="BI182" s="62">
        <f ca="1">AVERAGE(OFFSET($BH$3,0,0,'Données projet'!$E$11+1,1))-AVERAGE(OFFSET($H$3,0,0,'Données projet'!$E$11+1,1))</f>
        <v>149.5086927376081</v>
      </c>
      <c r="BJ182" s="62">
        <f t="shared" si="146"/>
        <v>364.59164590134498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2.7884687302893716</v>
      </c>
      <c r="BQ182" s="23">
        <f>EXP(-LN(2)/25)*BQ181+(1-EXP(-LN(2)/25))/(LN(2)/25)*Calculateur!BL182*Calculateur!BN182*VLOOKUP('Données projet'!$B$11,Paramètres!$A$1:$I$89,3,0)*0.475*44/12</f>
        <v>0.70600600118488832</v>
      </c>
      <c r="BR182" s="23">
        <f>EXP(-LN(2)/2)*BR181+(1-EXP(-LN(2)/2))/(LN(2)/2)*BL182*BO182*VLOOKUP('Données projet'!$B$11,Paramètres!$A$1:$I$89,3,0)*0.475*44/12</f>
        <v>1.6308980539846537E-21</v>
      </c>
      <c r="BS182" s="24">
        <f t="shared" si="169"/>
        <v>3.4944747314742601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160.22474733551678</v>
      </c>
      <c r="T183" s="62">
        <f t="shared" si="142"/>
        <v>272.72162271905523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3.4106051316484809E-13</v>
      </c>
      <c r="AJ183" s="14">
        <f>AI183*VLOOKUP('Données projet'!$B$10,Paramètres!$A$1:$I$89,3,0)*VLOOKUP('Données projet'!$B$10,Paramètres!$A$1:$I$89,5,0)</f>
        <v>1.9508661353029313E-13</v>
      </c>
      <c r="AK183" s="14">
        <f t="shared" si="164"/>
        <v>2.711421636700695E-12</v>
      </c>
      <c r="AL183" s="22">
        <f t="shared" si="165"/>
        <v>5.0621685358189711E-12</v>
      </c>
      <c r="AM183" s="62">
        <f t="shared" si="113"/>
        <v>293.33333333333837</v>
      </c>
      <c r="AN183" s="62">
        <f ca="1">AVERAGE(OFFSET($AM$3,0,0,'Données projet'!$E$10+1,1))-AVERAGE(OFFSET($H$3,0,0,'Données projet'!$E$10+1,1))</f>
        <v>227.80096215475777</v>
      </c>
      <c r="AO183" s="62">
        <f t="shared" si="144"/>
        <v>259.52807665663926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6.1645525075481454E-2</v>
      </c>
      <c r="AW183" s="23">
        <f>EXP(-LN(2)/2)*AW182+(1-EXP(-LN(2)/2))/(LN(2)/2)*AQ183*AT183*VLOOKUP('Données projet'!$B$10,Paramètres!$A$1:$I$89,3,0)*0.475*44/12</f>
        <v>9.2663881897232535E-22</v>
      </c>
      <c r="AX183" s="23">
        <f t="shared" si="166"/>
        <v>6.1645525075481454E-2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6.7984728957526396E-14</v>
      </c>
      <c r="BF183" s="14">
        <f t="shared" si="167"/>
        <v>1.0682447123141398E-12</v>
      </c>
      <c r="BG183" s="22">
        <f t="shared" si="168"/>
        <v>1.978932943548152E-12</v>
      </c>
      <c r="BH183" s="62">
        <f t="shared" si="116"/>
        <v>293.3333333333353</v>
      </c>
      <c r="BI183" s="62">
        <f ca="1">AVERAGE(OFFSET($BH$3,0,0,'Données projet'!$E$11+1,1))-AVERAGE(OFFSET($H$3,0,0,'Données projet'!$E$11+1,1))</f>
        <v>149.5086927376081</v>
      </c>
      <c r="BJ183" s="62">
        <f t="shared" si="146"/>
        <v>364.59164590134498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2.7337885592863826</v>
      </c>
      <c r="BQ183" s="23">
        <f>EXP(-LN(2)/25)*BQ182+(1-EXP(-LN(2)/25))/(LN(2)/25)*Calculateur!BL183*Calculateur!BN183*VLOOKUP('Données projet'!$B$11,Paramètres!$A$1:$I$89,3,0)*0.475*44/12</f>
        <v>0.6867002299552456</v>
      </c>
      <c r="BR183" s="23">
        <f>EXP(-LN(2)/2)*BR182+(1-EXP(-LN(2)/2))/(LN(2)/2)*BL183*BO183*VLOOKUP('Données projet'!$B$11,Paramètres!$A$1:$I$89,3,0)*0.475*44/12</f>
        <v>1.1532190733964927E-21</v>
      </c>
      <c r="BS183" s="24">
        <f t="shared" si="169"/>
        <v>3.4204887892416282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160.22474733551678</v>
      </c>
      <c r="T184" s="62">
        <f t="shared" si="142"/>
        <v>272.72162271905523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3.4106051316484809E-13</v>
      </c>
      <c r="AJ184" s="14">
        <f>AI184*VLOOKUP('Données projet'!$B$10,Paramètres!$A$1:$I$89,3,0)*VLOOKUP('Données projet'!$B$10,Paramètres!$A$1:$I$89,5,0)</f>
        <v>1.9508661353029313E-13</v>
      </c>
      <c r="AK184" s="14">
        <f t="shared" si="164"/>
        <v>2.711421636700695E-12</v>
      </c>
      <c r="AL184" s="22">
        <f t="shared" si="165"/>
        <v>5.0621685358189711E-12</v>
      </c>
      <c r="AM184" s="62">
        <f t="shared" si="113"/>
        <v>293.33333333333837</v>
      </c>
      <c r="AN184" s="62">
        <f ca="1">AVERAGE(OFFSET($AM$3,0,0,'Données projet'!$E$10+1,1))-AVERAGE(OFFSET($H$3,0,0,'Données projet'!$E$10+1,1))</f>
        <v>227.80096215475777</v>
      </c>
      <c r="AO184" s="62">
        <f t="shared" si="144"/>
        <v>259.52807665663926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5.9959824950495143E-2</v>
      </c>
      <c r="AW184" s="23">
        <f>EXP(-LN(2)/2)*AW183+(1-EXP(-LN(2)/2))/(LN(2)/2)*AQ184*AT184*VLOOKUP('Données projet'!$B$10,Paramètres!$A$1:$I$89,3,0)*0.475*44/12</f>
        <v>6.5523259260602489E-22</v>
      </c>
      <c r="AX184" s="23">
        <f t="shared" si="166"/>
        <v>5.9959824950495143E-2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6.7984728957526396E-14</v>
      </c>
      <c r="BF184" s="14">
        <f t="shared" si="167"/>
        <v>1.0682447123141398E-12</v>
      </c>
      <c r="BG184" s="22">
        <f t="shared" si="168"/>
        <v>1.978932943548152E-12</v>
      </c>
      <c r="BH184" s="62">
        <f t="shared" si="116"/>
        <v>293.3333333333353</v>
      </c>
      <c r="BI184" s="62">
        <f ca="1">AVERAGE(OFFSET($BH$3,0,0,'Données projet'!$E$11+1,1))-AVERAGE(OFFSET($H$3,0,0,'Données projet'!$E$11+1,1))</f>
        <v>149.5086927376081</v>
      </c>
      <c r="BJ184" s="62">
        <f t="shared" si="146"/>
        <v>364.59164590134498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2.680180633085151</v>
      </c>
      <c r="BQ184" s="23">
        <f>EXP(-LN(2)/25)*BQ183+(1-EXP(-LN(2)/25))/(LN(2)/25)*Calculateur!BL184*Calculateur!BN184*VLOOKUP('Données projet'!$B$11,Paramètres!$A$1:$I$89,3,0)*0.475*44/12</f>
        <v>0.66792237605512383</v>
      </c>
      <c r="BR184" s="23">
        <f>EXP(-LN(2)/2)*BR183+(1-EXP(-LN(2)/2))/(LN(2)/2)*BL184*BO184*VLOOKUP('Données projet'!$B$11,Paramètres!$A$1:$I$89,3,0)*0.475*44/12</f>
        <v>8.1544902699232684E-22</v>
      </c>
      <c r="BS184" s="24">
        <f t="shared" si="169"/>
        <v>3.3481030091402748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160.22474733551678</v>
      </c>
      <c r="T185" s="62">
        <f t="shared" si="142"/>
        <v>272.72162271905523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3.4106051316484809E-13</v>
      </c>
      <c r="AJ185" s="14">
        <f>AI185*VLOOKUP('Données projet'!$B$10,Paramètres!$A$1:$I$89,3,0)*VLOOKUP('Données projet'!$B$10,Paramètres!$A$1:$I$89,5,0)</f>
        <v>1.9508661353029313E-13</v>
      </c>
      <c r="AK185" s="14">
        <f t="shared" si="164"/>
        <v>2.711421636700695E-12</v>
      </c>
      <c r="AL185" s="22">
        <f t="shared" si="165"/>
        <v>5.0621685358189711E-12</v>
      </c>
      <c r="AM185" s="62">
        <f t="shared" si="113"/>
        <v>293.33333333333837</v>
      </c>
      <c r="AN185" s="62">
        <f ca="1">AVERAGE(OFFSET($AM$3,0,0,'Données projet'!$E$10+1,1))-AVERAGE(OFFSET($H$3,0,0,'Données projet'!$E$10+1,1))</f>
        <v>227.80096215475777</v>
      </c>
      <c r="AO185" s="62">
        <f t="shared" si="144"/>
        <v>259.52807665663926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5.8320220384073702E-2</v>
      </c>
      <c r="AW185" s="23">
        <f>EXP(-LN(2)/2)*AW184+(1-EXP(-LN(2)/2))/(LN(2)/2)*AQ185*AT185*VLOOKUP('Données projet'!$B$10,Paramètres!$A$1:$I$89,3,0)*0.475*44/12</f>
        <v>4.6331940948616267E-22</v>
      </c>
      <c r="AX185" s="23">
        <f t="shared" si="166"/>
        <v>5.8320220384073702E-2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6.7984728957526396E-14</v>
      </c>
      <c r="BF185" s="14">
        <f t="shared" si="167"/>
        <v>1.0682447123141398E-12</v>
      </c>
      <c r="BG185" s="22">
        <f t="shared" si="168"/>
        <v>1.978932943548152E-12</v>
      </c>
      <c r="BH185" s="62">
        <f t="shared" si="116"/>
        <v>293.3333333333353</v>
      </c>
      <c r="BI185" s="62">
        <f ca="1">AVERAGE(OFFSET($BH$3,0,0,'Données projet'!$E$11+1,1))-AVERAGE(OFFSET($H$3,0,0,'Données projet'!$E$11+1,1))</f>
        <v>149.5086927376081</v>
      </c>
      <c r="BJ185" s="62">
        <f t="shared" si="146"/>
        <v>364.59164590134498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2.6276239256191194</v>
      </c>
      <c r="BQ185" s="23">
        <f>EXP(-LN(2)/25)*BQ184+(1-EXP(-LN(2)/25))/(LN(2)/25)*Calculateur!BL185*Calculateur!BN185*VLOOKUP('Données projet'!$B$11,Paramètres!$A$1:$I$89,3,0)*0.475*44/12</f>
        <v>0.64965800355738523</v>
      </c>
      <c r="BR185" s="23">
        <f>EXP(-LN(2)/2)*BR184+(1-EXP(-LN(2)/2))/(LN(2)/2)*BL185*BO185*VLOOKUP('Données projet'!$B$11,Paramètres!$A$1:$I$89,3,0)*0.475*44/12</f>
        <v>5.7660953669824634E-22</v>
      </c>
      <c r="BS185" s="24">
        <f t="shared" si="169"/>
        <v>3.2772819291765045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160.22474733551678</v>
      </c>
      <c r="T186" s="62">
        <f t="shared" si="142"/>
        <v>272.72162271905523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3.4106051316484809E-13</v>
      </c>
      <c r="AJ186" s="14">
        <f>AI186*VLOOKUP('Données projet'!$B$10,Paramètres!$A$1:$I$89,3,0)*VLOOKUP('Données projet'!$B$10,Paramètres!$A$1:$I$89,5,0)</f>
        <v>1.9508661353029313E-13</v>
      </c>
      <c r="AK186" s="14">
        <f t="shared" si="164"/>
        <v>2.711421636700695E-12</v>
      </c>
      <c r="AL186" s="22">
        <f t="shared" si="165"/>
        <v>5.0621685358189711E-12</v>
      </c>
      <c r="AM186" s="62">
        <f t="shared" si="113"/>
        <v>293.33333333333837</v>
      </c>
      <c r="AN186" s="62">
        <f ca="1">AVERAGE(OFFSET($AM$3,0,0,'Données projet'!$E$10+1,1))-AVERAGE(OFFSET($H$3,0,0,'Données projet'!$E$10+1,1))</f>
        <v>227.80096215475777</v>
      </c>
      <c r="AO186" s="62">
        <f t="shared" si="144"/>
        <v>259.52807665663926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5.6725450890744107E-2</v>
      </c>
      <c r="AW186" s="23">
        <f>EXP(-LN(2)/2)*AW185+(1-EXP(-LN(2)/2))/(LN(2)/2)*AQ186*AT186*VLOOKUP('Données projet'!$B$10,Paramètres!$A$1:$I$89,3,0)*0.475*44/12</f>
        <v>3.2761629630301244E-22</v>
      </c>
      <c r="AX186" s="23">
        <f t="shared" si="166"/>
        <v>5.6725450890744107E-2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6.7984728957526396E-14</v>
      </c>
      <c r="BF186" s="14">
        <f t="shared" si="167"/>
        <v>1.0682447123141398E-12</v>
      </c>
      <c r="BG186" s="22">
        <f t="shared" si="168"/>
        <v>1.978932943548152E-12</v>
      </c>
      <c r="BH186" s="62">
        <f t="shared" si="116"/>
        <v>293.3333333333353</v>
      </c>
      <c r="BI186" s="62">
        <f ca="1">AVERAGE(OFFSET($BH$3,0,0,'Données projet'!$E$11+1,1))-AVERAGE(OFFSET($H$3,0,0,'Données projet'!$E$11+1,1))</f>
        <v>149.5086927376081</v>
      </c>
      <c r="BJ186" s="62">
        <f t="shared" si="146"/>
        <v>364.59164590134498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2.5760978231300702</v>
      </c>
      <c r="BQ186" s="23">
        <f>EXP(-LN(2)/25)*BQ185+(1-EXP(-LN(2)/25))/(LN(2)/25)*Calculateur!BL186*Calculateur!BN186*VLOOKUP('Données projet'!$B$11,Paramètres!$A$1:$I$89,3,0)*0.475*44/12</f>
        <v>0.63189307128607897</v>
      </c>
      <c r="BR186" s="23">
        <f>EXP(-LN(2)/2)*BR185+(1-EXP(-LN(2)/2))/(LN(2)/2)*BL186*BO186*VLOOKUP('Données projet'!$B$11,Paramètres!$A$1:$I$89,3,0)*0.475*44/12</f>
        <v>4.0772451349616342E-22</v>
      </c>
      <c r="BS186" s="24">
        <f t="shared" si="169"/>
        <v>3.2079908944161493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160.22474733551678</v>
      </c>
      <c r="T187" s="62">
        <f t="shared" si="142"/>
        <v>272.72162271905523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3.4106051316484809E-13</v>
      </c>
      <c r="AJ187" s="14">
        <f>AI187*VLOOKUP('Données projet'!$B$10,Paramètres!$A$1:$I$89,3,0)*VLOOKUP('Données projet'!$B$10,Paramètres!$A$1:$I$89,5,0)</f>
        <v>1.9508661353029313E-13</v>
      </c>
      <c r="AK187" s="14">
        <f t="shared" si="164"/>
        <v>2.711421636700695E-12</v>
      </c>
      <c r="AL187" s="22">
        <f t="shared" si="165"/>
        <v>5.0621685358189711E-12</v>
      </c>
      <c r="AM187" s="62">
        <f t="shared" si="113"/>
        <v>293.33333333333837</v>
      </c>
      <c r="AN187" s="62">
        <f ca="1">AVERAGE(OFFSET($AM$3,0,0,'Données projet'!$E$10+1,1))-AVERAGE(OFFSET($H$3,0,0,'Données projet'!$E$10+1,1))</f>
        <v>227.80096215475777</v>
      </c>
      <c r="AO187" s="62">
        <f t="shared" si="144"/>
        <v>259.52807665663926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5.5174290453074898E-2</v>
      </c>
      <c r="AW187" s="23">
        <f>EXP(-LN(2)/2)*AW186+(1-EXP(-LN(2)/2))/(LN(2)/2)*AQ187*AT187*VLOOKUP('Données projet'!$B$10,Paramètres!$A$1:$I$89,3,0)*0.475*44/12</f>
        <v>2.3165970474308134E-22</v>
      </c>
      <c r="AX187" s="23">
        <f t="shared" si="166"/>
        <v>5.5174290453074898E-2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6.7984728957526396E-14</v>
      </c>
      <c r="BF187" s="14">
        <f t="shared" si="167"/>
        <v>1.0682447123141398E-12</v>
      </c>
      <c r="BG187" s="22">
        <f t="shared" si="168"/>
        <v>1.978932943548152E-12</v>
      </c>
      <c r="BH187" s="62">
        <f t="shared" si="116"/>
        <v>293.3333333333353</v>
      </c>
      <c r="BI187" s="62">
        <f ca="1">AVERAGE(OFFSET($BH$3,0,0,'Données projet'!$E$11+1,1))-AVERAGE(OFFSET($H$3,0,0,'Données projet'!$E$11+1,1))</f>
        <v>149.5086927376081</v>
      </c>
      <c r="BJ187" s="62">
        <f t="shared" si="146"/>
        <v>364.59164590134498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2.5255821160830121</v>
      </c>
      <c r="BQ187" s="23">
        <f>EXP(-LN(2)/25)*BQ186+(1-EXP(-LN(2)/25))/(LN(2)/25)*Calculateur!BL187*Calculateur!BN187*VLOOKUP('Données projet'!$B$11,Paramètres!$A$1:$I$89,3,0)*0.475*44/12</f>
        <v>0.61461392202194876</v>
      </c>
      <c r="BR187" s="23">
        <f>EXP(-LN(2)/2)*BR186+(1-EXP(-LN(2)/2))/(LN(2)/2)*BL187*BO187*VLOOKUP('Données projet'!$B$11,Paramètres!$A$1:$I$89,3,0)*0.475*44/12</f>
        <v>2.8830476834912317E-22</v>
      </c>
      <c r="BS187" s="24">
        <f t="shared" si="169"/>
        <v>3.140196038104961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160.22474733551678</v>
      </c>
      <c r="T188" s="62">
        <f t="shared" si="142"/>
        <v>272.72162271905523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3.4106051316484809E-13</v>
      </c>
      <c r="AJ188" s="14">
        <f>AI188*VLOOKUP('Données projet'!$B$10,Paramètres!$A$1:$I$89,3,0)*VLOOKUP('Données projet'!$B$10,Paramètres!$A$1:$I$89,5,0)</f>
        <v>1.9508661353029313E-13</v>
      </c>
      <c r="AK188" s="14">
        <f t="shared" si="164"/>
        <v>2.711421636700695E-12</v>
      </c>
      <c r="AL188" s="22">
        <f t="shared" si="165"/>
        <v>5.0621685358189711E-12</v>
      </c>
      <c r="AM188" s="62">
        <f t="shared" si="113"/>
        <v>293.33333333333837</v>
      </c>
      <c r="AN188" s="62">
        <f ca="1">AVERAGE(OFFSET($AM$3,0,0,'Données projet'!$E$10+1,1))-AVERAGE(OFFSET($H$3,0,0,'Données projet'!$E$10+1,1))</f>
        <v>227.80096215475777</v>
      </c>
      <c r="AO188" s="62">
        <f t="shared" si="144"/>
        <v>259.52807665663926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5.3665546579145733E-2</v>
      </c>
      <c r="AW188" s="23">
        <f>EXP(-LN(2)/2)*AW187+(1-EXP(-LN(2)/2))/(LN(2)/2)*AQ188*AT188*VLOOKUP('Données projet'!$B$10,Paramètres!$A$1:$I$89,3,0)*0.475*44/12</f>
        <v>1.6380814815150622E-22</v>
      </c>
      <c r="AX188" s="23">
        <f t="shared" si="166"/>
        <v>5.3665546579145733E-2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6.7984728957526396E-14</v>
      </c>
      <c r="BF188" s="14">
        <f t="shared" si="167"/>
        <v>1.0682447123141398E-12</v>
      </c>
      <c r="BG188" s="22">
        <f t="shared" si="168"/>
        <v>1.978932943548152E-12</v>
      </c>
      <c r="BH188" s="62">
        <f t="shared" si="116"/>
        <v>293.3333333333353</v>
      </c>
      <c r="BI188" s="62">
        <f ca="1">AVERAGE(OFFSET($BH$3,0,0,'Données projet'!$E$11+1,1))-AVERAGE(OFFSET($H$3,0,0,'Données projet'!$E$11+1,1))</f>
        <v>149.5086927376081</v>
      </c>
      <c r="BJ188" s="62">
        <f t="shared" si="146"/>
        <v>364.59164590134498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2.476056991239608</v>
      </c>
      <c r="BQ188" s="23">
        <f>EXP(-LN(2)/25)*BQ187+(1-EXP(-LN(2)/25))/(LN(2)/25)*Calculateur!BL188*Calculateur!BN188*VLOOKUP('Données projet'!$B$11,Paramètres!$A$1:$I$89,3,0)*0.475*44/12</f>
        <v>0.59780727200311712</v>
      </c>
      <c r="BR188" s="23">
        <f>EXP(-LN(2)/2)*BR187+(1-EXP(-LN(2)/2))/(LN(2)/2)*BL188*BO188*VLOOKUP('Données projet'!$B$11,Paramètres!$A$1:$I$89,3,0)*0.475*44/12</f>
        <v>2.0386225674808171E-22</v>
      </c>
      <c r="BS188" s="24">
        <f t="shared" si="169"/>
        <v>3.0738642632427249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160.22474733551678</v>
      </c>
      <c r="T189" s="62">
        <f t="shared" si="142"/>
        <v>272.72162271905523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3.4106051316484809E-13</v>
      </c>
      <c r="AJ189" s="14">
        <f>AI189*VLOOKUP('Données projet'!$B$10,Paramètres!$A$1:$I$89,3,0)*VLOOKUP('Données projet'!$B$10,Paramètres!$A$1:$I$89,5,0)</f>
        <v>1.9508661353029313E-13</v>
      </c>
      <c r="AK189" s="14">
        <f t="shared" si="164"/>
        <v>2.711421636700695E-12</v>
      </c>
      <c r="AL189" s="22">
        <f t="shared" si="165"/>
        <v>5.0621685358189711E-12</v>
      </c>
      <c r="AM189" s="62">
        <f t="shared" si="113"/>
        <v>293.33333333333837</v>
      </c>
      <c r="AN189" s="62">
        <f ca="1">AVERAGE(OFFSET($AM$3,0,0,'Données projet'!$E$10+1,1))-AVERAGE(OFFSET($H$3,0,0,'Données projet'!$E$10+1,1))</f>
        <v>227.80096215475777</v>
      </c>
      <c r="AO189" s="62">
        <f t="shared" si="144"/>
        <v>259.52807665663926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5.219805938579055E-2</v>
      </c>
      <c r="AW189" s="23">
        <f>EXP(-LN(2)/2)*AW188+(1-EXP(-LN(2)/2))/(LN(2)/2)*AQ189*AT189*VLOOKUP('Données projet'!$B$10,Paramètres!$A$1:$I$89,3,0)*0.475*44/12</f>
        <v>1.1582985237154067E-22</v>
      </c>
      <c r="AX189" s="23">
        <f t="shared" si="166"/>
        <v>5.219805938579055E-2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6.7984728957526396E-14</v>
      </c>
      <c r="BF189" s="14">
        <f t="shared" si="167"/>
        <v>1.0682447123141398E-12</v>
      </c>
      <c r="BG189" s="22">
        <f t="shared" si="168"/>
        <v>1.978932943548152E-12</v>
      </c>
      <c r="BH189" s="62">
        <f t="shared" si="116"/>
        <v>293.3333333333353</v>
      </c>
      <c r="BI189" s="62">
        <f ca="1">AVERAGE(OFFSET($BH$3,0,0,'Données projet'!$E$11+1,1))-AVERAGE(OFFSET($H$3,0,0,'Données projet'!$E$11+1,1))</f>
        <v>149.5086927376081</v>
      </c>
      <c r="BJ189" s="62">
        <f t="shared" si="146"/>
        <v>364.59164590134498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2.4275030238870396</v>
      </c>
      <c r="BQ189" s="23">
        <f>EXP(-LN(2)/25)*BQ188+(1-EXP(-LN(2)/25))/(LN(2)/25)*Calculateur!BL189*Calculateur!BN189*VLOOKUP('Données projet'!$B$11,Paramètres!$A$1:$I$89,3,0)*0.475*44/12</f>
        <v>0.58146020071287374</v>
      </c>
      <c r="BR189" s="23">
        <f>EXP(-LN(2)/2)*BR188+(1-EXP(-LN(2)/2))/(LN(2)/2)*BL189*BO189*VLOOKUP('Données projet'!$B$11,Paramètres!$A$1:$I$89,3,0)*0.475*44/12</f>
        <v>1.4415238417456158E-22</v>
      </c>
      <c r="BS189" s="24">
        <f t="shared" si="169"/>
        <v>3.0089632245999134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160.22474733551678</v>
      </c>
      <c r="T190" s="62">
        <f t="shared" si="142"/>
        <v>272.72162271905523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3.4106051316484809E-13</v>
      </c>
      <c r="AJ190" s="14">
        <f>AI190*VLOOKUP('Données projet'!$B$10,Paramètres!$A$1:$I$89,3,0)*VLOOKUP('Données projet'!$B$10,Paramètres!$A$1:$I$89,5,0)</f>
        <v>1.9508661353029313E-13</v>
      </c>
      <c r="AK190" s="14">
        <f t="shared" si="164"/>
        <v>2.711421636700695E-12</v>
      </c>
      <c r="AL190" s="22">
        <f t="shared" si="165"/>
        <v>5.0621685358189711E-12</v>
      </c>
      <c r="AM190" s="62">
        <f t="shared" si="113"/>
        <v>293.33333333333837</v>
      </c>
      <c r="AN190" s="62">
        <f ca="1">AVERAGE(OFFSET($AM$3,0,0,'Données projet'!$E$10+1,1))-AVERAGE(OFFSET($H$3,0,0,'Données projet'!$E$10+1,1))</f>
        <v>227.80096215475777</v>
      </c>
      <c r="AO190" s="62">
        <f t="shared" si="144"/>
        <v>259.52807665663926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5.0770700706909463E-2</v>
      </c>
      <c r="AW190" s="23">
        <f>EXP(-LN(2)/2)*AW189+(1-EXP(-LN(2)/2))/(LN(2)/2)*AQ190*AT190*VLOOKUP('Données projet'!$B$10,Paramètres!$A$1:$I$89,3,0)*0.475*44/12</f>
        <v>8.1904074075753111E-23</v>
      </c>
      <c r="AX190" s="23">
        <f t="shared" si="166"/>
        <v>5.0770700706909463E-2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6.7984728957526396E-14</v>
      </c>
      <c r="BF190" s="14">
        <f t="shared" si="167"/>
        <v>1.0682447123141398E-12</v>
      </c>
      <c r="BG190" s="22">
        <f t="shared" si="168"/>
        <v>1.978932943548152E-12</v>
      </c>
      <c r="BH190" s="62">
        <f t="shared" si="116"/>
        <v>293.3333333333353</v>
      </c>
      <c r="BI190" s="62">
        <f ca="1">AVERAGE(OFFSET($BH$3,0,0,'Données projet'!$E$11+1,1))-AVERAGE(OFFSET($H$3,0,0,'Données projet'!$E$11+1,1))</f>
        <v>149.5086927376081</v>
      </c>
      <c r="BJ190" s="62">
        <f t="shared" si="146"/>
        <v>364.59164590134498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2.3799011702192594</v>
      </c>
      <c r="BQ190" s="23">
        <f>EXP(-LN(2)/25)*BQ189+(1-EXP(-LN(2)/25))/(LN(2)/25)*Calculateur!BL190*Calculateur!BN190*VLOOKUP('Données projet'!$B$11,Paramètres!$A$1:$I$89,3,0)*0.475*44/12</f>
        <v>0.56556014094671725</v>
      </c>
      <c r="BR190" s="23">
        <f>EXP(-LN(2)/2)*BR189+(1-EXP(-LN(2)/2))/(LN(2)/2)*BL190*BO190*VLOOKUP('Données projet'!$B$11,Paramètres!$A$1:$I$89,3,0)*0.475*44/12</f>
        <v>1.0193112837404086E-22</v>
      </c>
      <c r="BS190" s="24">
        <f t="shared" si="169"/>
        <v>2.9454613111659764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160.22474733551678</v>
      </c>
      <c r="T191" s="62">
        <f t="shared" si="142"/>
        <v>272.72162271905523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3.4106051316484809E-13</v>
      </c>
      <c r="AJ191" s="14">
        <f>AI191*VLOOKUP('Données projet'!$B$10,Paramètres!$A$1:$I$89,3,0)*VLOOKUP('Données projet'!$B$10,Paramètres!$A$1:$I$89,5,0)</f>
        <v>1.9508661353029313E-13</v>
      </c>
      <c r="AK191" s="14">
        <f t="shared" si="164"/>
        <v>2.711421636700695E-12</v>
      </c>
      <c r="AL191" s="22">
        <f t="shared" si="165"/>
        <v>5.0621685358189711E-12</v>
      </c>
      <c r="AM191" s="62">
        <f t="shared" si="113"/>
        <v>293.33333333333837</v>
      </c>
      <c r="AN191" s="62">
        <f ca="1">AVERAGE(OFFSET($AM$3,0,0,'Données projet'!$E$10+1,1))-AVERAGE(OFFSET($H$3,0,0,'Données projet'!$E$10+1,1))</f>
        <v>227.80096215475777</v>
      </c>
      <c r="AO191" s="62">
        <f t="shared" si="144"/>
        <v>259.52807665663926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4.9382373226163914E-2</v>
      </c>
      <c r="AW191" s="23">
        <f>EXP(-LN(2)/2)*AW190+(1-EXP(-LN(2)/2))/(LN(2)/2)*AQ191*AT191*VLOOKUP('Données projet'!$B$10,Paramètres!$A$1:$I$89,3,0)*0.475*44/12</f>
        <v>5.7914926185770334E-23</v>
      </c>
      <c r="AX191" s="23">
        <f t="shared" si="166"/>
        <v>4.9382373226163914E-2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6.7984728957526396E-14</v>
      </c>
      <c r="BF191" s="14">
        <f t="shared" si="167"/>
        <v>1.0682447123141398E-12</v>
      </c>
      <c r="BG191" s="22">
        <f t="shared" si="168"/>
        <v>1.978932943548152E-12</v>
      </c>
      <c r="BH191" s="62">
        <f t="shared" si="116"/>
        <v>293.3333333333353</v>
      </c>
      <c r="BI191" s="62">
        <f ca="1">AVERAGE(OFFSET($BH$3,0,0,'Données projet'!$E$11+1,1))-AVERAGE(OFFSET($H$3,0,0,'Données projet'!$E$11+1,1))</f>
        <v>149.5086927376081</v>
      </c>
      <c r="BJ191" s="62">
        <f t="shared" si="146"/>
        <v>364.59164590134498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2.3332327598676401</v>
      </c>
      <c r="BQ191" s="23">
        <f>EXP(-LN(2)/25)*BQ190+(1-EXP(-LN(2)/25))/(LN(2)/25)*Calculateur!BL191*Calculateur!BN191*VLOOKUP('Données projet'!$B$11,Paramètres!$A$1:$I$89,3,0)*0.475*44/12</f>
        <v>0.55009486915101402</v>
      </c>
      <c r="BR191" s="23">
        <f>EXP(-LN(2)/2)*BR190+(1-EXP(-LN(2)/2))/(LN(2)/2)*BL191*BO191*VLOOKUP('Données projet'!$B$11,Paramètres!$A$1:$I$89,3,0)*0.475*44/12</f>
        <v>7.2076192087280792E-23</v>
      </c>
      <c r="BS191" s="24">
        <f t="shared" si="169"/>
        <v>2.883327629018654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160.22474733551678</v>
      </c>
      <c r="T192" s="62">
        <f t="shared" si="142"/>
        <v>272.72162271905523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3.4106051316484809E-13</v>
      </c>
      <c r="AJ192" s="14">
        <f>AI192*VLOOKUP('Données projet'!$B$10,Paramètres!$A$1:$I$89,3,0)*VLOOKUP('Données projet'!$B$10,Paramètres!$A$1:$I$89,5,0)</f>
        <v>1.9508661353029313E-13</v>
      </c>
      <c r="AK192" s="14">
        <f t="shared" si="164"/>
        <v>2.711421636700695E-12</v>
      </c>
      <c r="AL192" s="22">
        <f t="shared" si="165"/>
        <v>5.0621685358189711E-12</v>
      </c>
      <c r="AM192" s="62">
        <f t="shared" si="113"/>
        <v>293.33333333333837</v>
      </c>
      <c r="AN192" s="62">
        <f ca="1">AVERAGE(OFFSET($AM$3,0,0,'Données projet'!$E$10+1,1))-AVERAGE(OFFSET($H$3,0,0,'Données projet'!$E$10+1,1))</f>
        <v>227.80096215475777</v>
      </c>
      <c r="AO192" s="62">
        <f t="shared" si="144"/>
        <v>259.52807665663926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4.8032009633388321E-2</v>
      </c>
      <c r="AW192" s="23">
        <f>EXP(-LN(2)/2)*AW191+(1-EXP(-LN(2)/2))/(LN(2)/2)*AQ192*AT192*VLOOKUP('Données projet'!$B$10,Paramètres!$A$1:$I$89,3,0)*0.475*44/12</f>
        <v>4.0952037037876556E-23</v>
      </c>
      <c r="AX192" s="23">
        <f t="shared" si="166"/>
        <v>4.8032009633388321E-2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6.7984728957526396E-14</v>
      </c>
      <c r="BF192" s="14">
        <f t="shared" si="167"/>
        <v>1.0682447123141398E-12</v>
      </c>
      <c r="BG192" s="22">
        <f t="shared" si="168"/>
        <v>1.978932943548152E-12</v>
      </c>
      <c r="BH192" s="62">
        <f t="shared" si="116"/>
        <v>293.3333333333353</v>
      </c>
      <c r="BI192" s="62">
        <f ca="1">AVERAGE(OFFSET($BH$3,0,0,'Données projet'!$E$11+1,1))-AVERAGE(OFFSET($H$3,0,0,'Données projet'!$E$11+1,1))</f>
        <v>149.5086927376081</v>
      </c>
      <c r="BJ192" s="62">
        <f t="shared" si="146"/>
        <v>364.59164590134498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2.2874794885780965</v>
      </c>
      <c r="BQ192" s="23">
        <f>EXP(-LN(2)/25)*BQ191+(1-EXP(-LN(2)/25))/(LN(2)/25)*Calculateur!BL192*Calculateur!BN192*VLOOKUP('Données projet'!$B$11,Paramètres!$A$1:$I$89,3,0)*0.475*44/12</f>
        <v>0.53505249602584759</v>
      </c>
      <c r="BR192" s="23">
        <f>EXP(-LN(2)/2)*BR191+(1-EXP(-LN(2)/2))/(LN(2)/2)*BL192*BO192*VLOOKUP('Données projet'!$B$11,Paramètres!$A$1:$I$89,3,0)*0.475*44/12</f>
        <v>5.0965564187020428E-23</v>
      </c>
      <c r="BS192" s="24">
        <f t="shared" si="169"/>
        <v>2.8225319846039438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160.22474733551678</v>
      </c>
      <c r="T193" s="62">
        <f t="shared" si="142"/>
        <v>272.72162271905523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3.4106051316484809E-13</v>
      </c>
      <c r="AJ193" s="14">
        <f>AI193*VLOOKUP('Données projet'!$B$10,Paramètres!$A$1:$I$89,3,0)*VLOOKUP('Données projet'!$B$10,Paramètres!$A$1:$I$89,5,0)</f>
        <v>1.9508661353029313E-13</v>
      </c>
      <c r="AK193" s="14">
        <f t="shared" si="164"/>
        <v>2.711421636700695E-12</v>
      </c>
      <c r="AL193" s="22">
        <f t="shared" si="165"/>
        <v>5.0621685358189711E-12</v>
      </c>
      <c r="AM193" s="62">
        <f t="shared" si="113"/>
        <v>293.33333333333837</v>
      </c>
      <c r="AN193" s="62">
        <f ca="1">AVERAGE(OFFSET($AM$3,0,0,'Données projet'!$E$10+1,1))-AVERAGE(OFFSET($H$3,0,0,'Données projet'!$E$10+1,1))</f>
        <v>227.80096215475777</v>
      </c>
      <c r="AO193" s="62">
        <f t="shared" si="144"/>
        <v>259.52807665663926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4.6718571804069707E-2</v>
      </c>
      <c r="AW193" s="23">
        <f>EXP(-LN(2)/2)*AW192+(1-EXP(-LN(2)/2))/(LN(2)/2)*AQ193*AT193*VLOOKUP('Données projet'!$B$10,Paramètres!$A$1:$I$89,3,0)*0.475*44/12</f>
        <v>2.8957463092885167E-23</v>
      </c>
      <c r="AX193" s="23">
        <f t="shared" si="166"/>
        <v>4.6718571804069707E-2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6.7984728957526396E-14</v>
      </c>
      <c r="BF193" s="14">
        <f t="shared" si="167"/>
        <v>1.0682447123141398E-12</v>
      </c>
      <c r="BG193" s="22">
        <f t="shared" si="168"/>
        <v>1.978932943548152E-12</v>
      </c>
      <c r="BH193" s="62">
        <f t="shared" si="116"/>
        <v>293.3333333333353</v>
      </c>
      <c r="BI193" s="62">
        <f ca="1">AVERAGE(OFFSET($BH$3,0,0,'Données projet'!$E$11+1,1))-AVERAGE(OFFSET($H$3,0,0,'Données projet'!$E$11+1,1))</f>
        <v>149.5086927376081</v>
      </c>
      <c r="BJ193" s="62">
        <f t="shared" si="146"/>
        <v>364.59164590134498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2.2426234110318011</v>
      </c>
      <c r="BQ193" s="23">
        <f>EXP(-LN(2)/25)*BQ192+(1-EXP(-LN(2)/25))/(LN(2)/25)*Calculateur!BL193*Calculateur!BN193*VLOOKUP('Données projet'!$B$11,Paramètres!$A$1:$I$89,3,0)*0.475*44/12</f>
        <v>0.52042145738483292</v>
      </c>
      <c r="BR193" s="23">
        <f>EXP(-LN(2)/2)*BR192+(1-EXP(-LN(2)/2))/(LN(2)/2)*BL193*BO193*VLOOKUP('Données projet'!$B$11,Paramètres!$A$1:$I$89,3,0)*0.475*44/12</f>
        <v>3.6038096043640396E-23</v>
      </c>
      <c r="BS193" s="24">
        <f t="shared" si="169"/>
        <v>2.763044868416634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160.22474733551678</v>
      </c>
      <c r="T194" s="62">
        <f t="shared" si="142"/>
        <v>272.72162271905523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3.4106051316484809E-13</v>
      </c>
      <c r="AJ194" s="14">
        <f>AI194*VLOOKUP('Données projet'!$B$10,Paramètres!$A$1:$I$89,3,0)*VLOOKUP('Données projet'!$B$10,Paramètres!$A$1:$I$89,5,0)</f>
        <v>1.9508661353029313E-13</v>
      </c>
      <c r="AK194" s="14">
        <f t="shared" si="164"/>
        <v>2.711421636700695E-12</v>
      </c>
      <c r="AL194" s="22">
        <f t="shared" si="165"/>
        <v>5.0621685358189711E-12</v>
      </c>
      <c r="AM194" s="62">
        <f t="shared" si="113"/>
        <v>293.33333333333837</v>
      </c>
      <c r="AN194" s="62">
        <f ca="1">AVERAGE(OFFSET($AM$3,0,0,'Données projet'!$E$10+1,1))-AVERAGE(OFFSET($H$3,0,0,'Données projet'!$E$10+1,1))</f>
        <v>227.80096215475777</v>
      </c>
      <c r="AO194" s="62">
        <f t="shared" si="144"/>
        <v>259.52807665663926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4.5441050001264506E-2</v>
      </c>
      <c r="AW194" s="23">
        <f>EXP(-LN(2)/2)*AW193+(1-EXP(-LN(2)/2))/(LN(2)/2)*AQ194*AT194*VLOOKUP('Données projet'!$B$10,Paramètres!$A$1:$I$89,3,0)*0.475*44/12</f>
        <v>2.0476018518938278E-23</v>
      </c>
      <c r="AX194" s="23">
        <f t="shared" si="166"/>
        <v>4.5441050001264506E-2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6.7984728957526396E-14</v>
      </c>
      <c r="BF194" s="14">
        <f t="shared" si="167"/>
        <v>1.0682447123141398E-12</v>
      </c>
      <c r="BG194" s="22">
        <f t="shared" si="168"/>
        <v>1.978932943548152E-12</v>
      </c>
      <c r="BH194" s="62">
        <f t="shared" si="116"/>
        <v>293.3333333333353</v>
      </c>
      <c r="BI194" s="62">
        <f ca="1">AVERAGE(OFFSET($BH$3,0,0,'Données projet'!$E$11+1,1))-AVERAGE(OFFSET($H$3,0,0,'Données projet'!$E$11+1,1))</f>
        <v>149.5086927376081</v>
      </c>
      <c r="BJ194" s="62">
        <f t="shared" si="146"/>
        <v>364.59164590134498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2.1986469338066827</v>
      </c>
      <c r="BQ194" s="23">
        <f>EXP(-LN(2)/25)*BQ193+(1-EXP(-LN(2)/25))/(LN(2)/25)*Calculateur!BL194*Calculateur!BN194*VLOOKUP('Données projet'!$B$11,Paramètres!$A$1:$I$89,3,0)*0.475*44/12</f>
        <v>0.50619050526486964</v>
      </c>
      <c r="BR194" s="23">
        <f>EXP(-LN(2)/2)*BR193+(1-EXP(-LN(2)/2))/(LN(2)/2)*BL194*BO194*VLOOKUP('Données projet'!$B$11,Paramètres!$A$1:$I$89,3,0)*0.475*44/12</f>
        <v>2.5482782093510214E-23</v>
      </c>
      <c r="BS194" s="24">
        <f t="shared" si="169"/>
        <v>2.7048374390715524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160.22474733551678</v>
      </c>
      <c r="T195" s="62">
        <f t="shared" si="142"/>
        <v>272.72162271905523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3.4106051316484809E-13</v>
      </c>
      <c r="AJ195" s="14">
        <f>AI195*VLOOKUP('Données projet'!$B$10,Paramètres!$A$1:$I$89,3,0)*VLOOKUP('Données projet'!$B$10,Paramètres!$A$1:$I$89,5,0)</f>
        <v>1.9508661353029313E-13</v>
      </c>
      <c r="AK195" s="14">
        <f t="shared" si="164"/>
        <v>2.711421636700695E-12</v>
      </c>
      <c r="AL195" s="22">
        <f t="shared" si="165"/>
        <v>5.0621685358189711E-12</v>
      </c>
      <c r="AM195" s="62">
        <f t="shared" si="113"/>
        <v>293.33333333333837</v>
      </c>
      <c r="AN195" s="62">
        <f ca="1">AVERAGE(OFFSET($AM$3,0,0,'Données projet'!$E$10+1,1))-AVERAGE(OFFSET($H$3,0,0,'Données projet'!$E$10+1,1))</f>
        <v>227.80096215475777</v>
      </c>
      <c r="AO195" s="62">
        <f t="shared" si="144"/>
        <v>259.52807665663926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4.4198462099338968E-2</v>
      </c>
      <c r="AW195" s="23">
        <f>EXP(-LN(2)/2)*AW194+(1-EXP(-LN(2)/2))/(LN(2)/2)*AQ195*AT195*VLOOKUP('Données projet'!$B$10,Paramètres!$A$1:$I$89,3,0)*0.475*44/12</f>
        <v>1.4478731546442584E-23</v>
      </c>
      <c r="AX195" s="23">
        <f t="shared" si="166"/>
        <v>4.4198462099338968E-2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6.7984728957526396E-14</v>
      </c>
      <c r="BF195" s="14">
        <f t="shared" si="167"/>
        <v>1.0682447123141398E-12</v>
      </c>
      <c r="BG195" s="22">
        <f t="shared" si="168"/>
        <v>1.978932943548152E-12</v>
      </c>
      <c r="BH195" s="62">
        <f t="shared" si="116"/>
        <v>293.3333333333353</v>
      </c>
      <c r="BI195" s="62">
        <f ca="1">AVERAGE(OFFSET($BH$3,0,0,'Données projet'!$E$11+1,1))-AVERAGE(OFFSET($H$3,0,0,'Données projet'!$E$11+1,1))</f>
        <v>149.5086927376081</v>
      </c>
      <c r="BJ195" s="62">
        <f t="shared" si="146"/>
        <v>364.59164590134498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2.1555328084769463</v>
      </c>
      <c r="BQ195" s="23">
        <f>EXP(-LN(2)/25)*BQ194+(1-EXP(-LN(2)/25))/(LN(2)/25)*Calculateur!BL195*Calculateur!BN195*VLOOKUP('Données projet'!$B$11,Paramètres!$A$1:$I$89,3,0)*0.475*44/12</f>
        <v>0.49234869927900005</v>
      </c>
      <c r="BR195" s="23">
        <f>EXP(-LN(2)/2)*BR194+(1-EXP(-LN(2)/2))/(LN(2)/2)*BL195*BO195*VLOOKUP('Données projet'!$B$11,Paramètres!$A$1:$I$89,3,0)*0.475*44/12</f>
        <v>1.8019048021820198E-23</v>
      </c>
      <c r="BS195" s="24">
        <f t="shared" si="169"/>
        <v>2.6478815077559466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160.22474733551678</v>
      </c>
      <c r="T196" s="62">
        <f t="shared" si="142"/>
        <v>272.72162271905523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3.4106051316484809E-13</v>
      </c>
      <c r="AJ196" s="14">
        <f>AI196*VLOOKUP('Données projet'!$B$10,Paramètres!$A$1:$I$89,3,0)*VLOOKUP('Données projet'!$B$10,Paramètres!$A$1:$I$89,5,0)</f>
        <v>1.9508661353029313E-13</v>
      </c>
      <c r="AK196" s="14">
        <f t="shared" si="164"/>
        <v>2.711421636700695E-12</v>
      </c>
      <c r="AL196" s="22">
        <f t="shared" si="165"/>
        <v>5.0621685358189711E-12</v>
      </c>
      <c r="AM196" s="62">
        <f t="shared" ref="AM196:AM203" si="193">AL196+(AD196+AE196)*44/12</f>
        <v>293.33333333333837</v>
      </c>
      <c r="AN196" s="62">
        <f ca="1">AVERAGE(OFFSET($AM$3,0,0,'Données projet'!$E$10+1,1))-AVERAGE(OFFSET($H$3,0,0,'Données projet'!$E$10+1,1))</f>
        <v>227.80096215475777</v>
      </c>
      <c r="AO196" s="62">
        <f t="shared" si="144"/>
        <v>259.52807665663926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4.2989852828936442E-2</v>
      </c>
      <c r="AW196" s="23">
        <f>EXP(-LN(2)/2)*AW195+(1-EXP(-LN(2)/2))/(LN(2)/2)*AQ196*AT196*VLOOKUP('Données projet'!$B$10,Paramètres!$A$1:$I$89,3,0)*0.475*44/12</f>
        <v>1.0238009259469139E-23</v>
      </c>
      <c r="AX196" s="23">
        <f t="shared" si="166"/>
        <v>4.2989852828936442E-2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6.7984728957526396E-14</v>
      </c>
      <c r="BF196" s="14">
        <f t="shared" si="167"/>
        <v>1.0682447123141398E-12</v>
      </c>
      <c r="BG196" s="22">
        <f t="shared" si="168"/>
        <v>1.978932943548152E-12</v>
      </c>
      <c r="BH196" s="62">
        <f t="shared" ref="BH196:BH203" si="194">BG196+(AY196+AZ196)*44/12</f>
        <v>293.3333333333353</v>
      </c>
      <c r="BI196" s="62">
        <f ca="1">AVERAGE(OFFSET($BH$3,0,0,'Données projet'!$E$11+1,1))-AVERAGE(OFFSET($H$3,0,0,'Données projet'!$E$11+1,1))</f>
        <v>149.5086927376081</v>
      </c>
      <c r="BJ196" s="62">
        <f t="shared" si="146"/>
        <v>364.59164590134498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2.1132641248479063</v>
      </c>
      <c r="BQ196" s="23">
        <f>EXP(-LN(2)/25)*BQ195+(1-EXP(-LN(2)/25))/(LN(2)/25)*Calculateur!BL196*Calculateur!BN196*VLOOKUP('Données projet'!$B$11,Paramètres!$A$1:$I$89,3,0)*0.475*44/12</f>
        <v>0.47888539820572296</v>
      </c>
      <c r="BR196" s="23">
        <f>EXP(-LN(2)/2)*BR195+(1-EXP(-LN(2)/2))/(LN(2)/2)*BL196*BO196*VLOOKUP('Données projet'!$B$11,Paramètres!$A$1:$I$89,3,0)*0.475*44/12</f>
        <v>1.2741391046755107E-23</v>
      </c>
      <c r="BS196" s="24">
        <f t="shared" si="169"/>
        <v>2.5921495230536293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160.22474733551678</v>
      </c>
      <c r="T197" s="62">
        <f t="shared" ref="T197:T203" si="204">$T$3</f>
        <v>272.72162271905523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3.4106051316484809E-13</v>
      </c>
      <c r="AJ197" s="14">
        <f>AI197*VLOOKUP('Données projet'!$B$10,Paramètres!$A$1:$I$89,3,0)*VLOOKUP('Données projet'!$B$10,Paramètres!$A$1:$I$89,5,0)</f>
        <v>1.9508661353029313E-13</v>
      </c>
      <c r="AK197" s="14">
        <f t="shared" si="164"/>
        <v>2.711421636700695E-12</v>
      </c>
      <c r="AL197" s="22">
        <f t="shared" si="165"/>
        <v>5.0621685358189711E-12</v>
      </c>
      <c r="AM197" s="62">
        <f t="shared" si="193"/>
        <v>293.33333333333837</v>
      </c>
      <c r="AN197" s="62">
        <f ca="1">AVERAGE(OFFSET($AM$3,0,0,'Données projet'!$E$10+1,1))-AVERAGE(OFFSET($H$3,0,0,'Données projet'!$E$10+1,1))</f>
        <v>227.80096215475777</v>
      </c>
      <c r="AO197" s="62">
        <f t="shared" ref="AO197:AO203" si="205">$AO$3</f>
        <v>259.52807665663926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4.1814293042591072E-2</v>
      </c>
      <c r="AW197" s="23">
        <f>EXP(-LN(2)/2)*AW196+(1-EXP(-LN(2)/2))/(LN(2)/2)*AQ197*AT197*VLOOKUP('Données projet'!$B$10,Paramètres!$A$1:$I$89,3,0)*0.475*44/12</f>
        <v>7.2393657732212918E-24</v>
      </c>
      <c r="AX197" s="23">
        <f t="shared" si="166"/>
        <v>4.1814293042591072E-2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6.7984728957526396E-14</v>
      </c>
      <c r="BF197" s="14">
        <f t="shared" si="167"/>
        <v>1.0682447123141398E-12</v>
      </c>
      <c r="BG197" s="22">
        <f t="shared" si="168"/>
        <v>1.978932943548152E-12</v>
      </c>
      <c r="BH197" s="62">
        <f t="shared" si="194"/>
        <v>293.3333333333353</v>
      </c>
      <c r="BI197" s="62">
        <f ca="1">AVERAGE(OFFSET($BH$3,0,0,'Données projet'!$E$11+1,1))-AVERAGE(OFFSET($H$3,0,0,'Données projet'!$E$11+1,1))</f>
        <v>149.5086927376081</v>
      </c>
      <c r="BJ197" s="62">
        <f t="shared" ref="BJ197:BJ203" si="206">$BJ$3</f>
        <v>364.59164590134498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2.0718243043234805</v>
      </c>
      <c r="BQ197" s="23">
        <f>EXP(-LN(2)/25)*BQ196+(1-EXP(-LN(2)/25))/(LN(2)/25)*Calculateur!BL197*Calculateur!BN197*VLOOKUP('Données projet'!$B$11,Paramètres!$A$1:$I$89,3,0)*0.475*44/12</f>
        <v>0.46579025180829886</v>
      </c>
      <c r="BR197" s="23">
        <f>EXP(-LN(2)/2)*BR196+(1-EXP(-LN(2)/2))/(LN(2)/2)*BL197*BO197*VLOOKUP('Données projet'!$B$11,Paramètres!$A$1:$I$89,3,0)*0.475*44/12</f>
        <v>9.009524010910099E-24</v>
      </c>
      <c r="BS197" s="24">
        <f t="shared" si="169"/>
        <v>2.5376145561317793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160.22474733551678</v>
      </c>
      <c r="T198" s="62">
        <f t="shared" si="204"/>
        <v>272.72162271905523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3.4106051316484809E-13</v>
      </c>
      <c r="AJ198" s="14">
        <f>AI198*VLOOKUP('Données projet'!$B$10,Paramètres!$A$1:$I$89,3,0)*VLOOKUP('Données projet'!$B$10,Paramètres!$A$1:$I$89,5,0)</f>
        <v>1.9508661353029313E-13</v>
      </c>
      <c r="AK198" s="14">
        <f t="shared" si="164"/>
        <v>2.711421636700695E-12</v>
      </c>
      <c r="AL198" s="22">
        <f t="shared" si="165"/>
        <v>5.0621685358189711E-12</v>
      </c>
      <c r="AM198" s="62">
        <f t="shared" si="193"/>
        <v>293.33333333333837</v>
      </c>
      <c r="AN198" s="62">
        <f ca="1">AVERAGE(OFFSET($AM$3,0,0,'Données projet'!$E$10+1,1))-AVERAGE(OFFSET($H$3,0,0,'Données projet'!$E$10+1,1))</f>
        <v>227.80096215475777</v>
      </c>
      <c r="AO198" s="62">
        <f t="shared" si="205"/>
        <v>259.52807665663926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4.0670879000423314E-2</v>
      </c>
      <c r="AW198" s="23">
        <f>EXP(-LN(2)/2)*AW197+(1-EXP(-LN(2)/2))/(LN(2)/2)*AQ198*AT198*VLOOKUP('Données projet'!$B$10,Paramètres!$A$1:$I$89,3,0)*0.475*44/12</f>
        <v>5.1190046297345694E-24</v>
      </c>
      <c r="AX198" s="23">
        <f t="shared" si="166"/>
        <v>4.0670879000423314E-2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6.7984728957526396E-14</v>
      </c>
      <c r="BF198" s="14">
        <f t="shared" si="167"/>
        <v>1.0682447123141398E-12</v>
      </c>
      <c r="BG198" s="22">
        <f t="shared" si="168"/>
        <v>1.978932943548152E-12</v>
      </c>
      <c r="BH198" s="62">
        <f t="shared" si="194"/>
        <v>293.3333333333353</v>
      </c>
      <c r="BI198" s="62">
        <f ca="1">AVERAGE(OFFSET($BH$3,0,0,'Données projet'!$E$11+1,1))-AVERAGE(OFFSET($H$3,0,0,'Données projet'!$E$11+1,1))</f>
        <v>149.5086927376081</v>
      </c>
      <c r="BJ198" s="62">
        <f t="shared" si="206"/>
        <v>364.59164590134498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2.031197093403744</v>
      </c>
      <c r="BQ198" s="23">
        <f>EXP(-LN(2)/25)*BQ197+(1-EXP(-LN(2)/25))/(LN(2)/25)*Calculateur!BL198*Calculateur!BN198*VLOOKUP('Données projet'!$B$11,Paramètres!$A$1:$I$89,3,0)*0.475*44/12</f>
        <v>0.45305319287775614</v>
      </c>
      <c r="BR198" s="23">
        <f>EXP(-LN(2)/2)*BR197+(1-EXP(-LN(2)/2))/(LN(2)/2)*BL198*BO198*VLOOKUP('Données projet'!$B$11,Paramètres!$A$1:$I$89,3,0)*0.475*44/12</f>
        <v>6.3706955233775535E-24</v>
      </c>
      <c r="BS198" s="24">
        <f t="shared" si="169"/>
        <v>2.4842502862815001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160.22474733551678</v>
      </c>
      <c r="T199" s="62">
        <f t="shared" si="204"/>
        <v>272.72162271905523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3.4106051316484809E-13</v>
      </c>
      <c r="AJ199" s="14">
        <f>AI199*VLOOKUP('Données projet'!$B$10,Paramètres!$A$1:$I$89,3,0)*VLOOKUP('Données projet'!$B$10,Paramètres!$A$1:$I$89,5,0)</f>
        <v>1.9508661353029313E-13</v>
      </c>
      <c r="AK199" s="14">
        <f t="shared" si="164"/>
        <v>2.711421636700695E-12</v>
      </c>
      <c r="AL199" s="22">
        <f t="shared" si="165"/>
        <v>5.0621685358189711E-12</v>
      </c>
      <c r="AM199" s="62">
        <f t="shared" si="193"/>
        <v>293.33333333333837</v>
      </c>
      <c r="AN199" s="62">
        <f ca="1">AVERAGE(OFFSET($AM$3,0,0,'Données projet'!$E$10+1,1))-AVERAGE(OFFSET($H$3,0,0,'Données projet'!$E$10+1,1))</f>
        <v>227.80096215475777</v>
      </c>
      <c r="AO199" s="62">
        <f t="shared" si="205"/>
        <v>259.52807665663926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3.9558731675368164E-2</v>
      </c>
      <c r="AW199" s="23">
        <f>EXP(-LN(2)/2)*AW198+(1-EXP(-LN(2)/2))/(LN(2)/2)*AQ199*AT199*VLOOKUP('Données projet'!$B$10,Paramètres!$A$1:$I$89,3,0)*0.475*44/12</f>
        <v>3.6196828866106459E-24</v>
      </c>
      <c r="AX199" s="23">
        <f t="shared" si="166"/>
        <v>3.9558731675368164E-2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6.7984728957526396E-14</v>
      </c>
      <c r="BF199" s="14">
        <f t="shared" si="167"/>
        <v>1.0682447123141398E-12</v>
      </c>
      <c r="BG199" s="22">
        <f t="shared" si="168"/>
        <v>1.978932943548152E-12</v>
      </c>
      <c r="BH199" s="62">
        <f t="shared" si="194"/>
        <v>293.3333333333353</v>
      </c>
      <c r="BI199" s="62">
        <f ca="1">AVERAGE(OFFSET($BH$3,0,0,'Données projet'!$E$11+1,1))-AVERAGE(OFFSET($H$3,0,0,'Données projet'!$E$11+1,1))</f>
        <v>149.5086927376081</v>
      </c>
      <c r="BJ199" s="62">
        <f t="shared" si="206"/>
        <v>364.59164590134498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1.9913665573099915</v>
      </c>
      <c r="BQ199" s="23">
        <f>EXP(-LN(2)/25)*BQ198+(1-EXP(-LN(2)/25))/(LN(2)/25)*Calculateur!BL199*Calculateur!BN199*VLOOKUP('Données projet'!$B$11,Paramètres!$A$1:$I$89,3,0)*0.475*44/12</f>
        <v>0.44066442949348195</v>
      </c>
      <c r="BR199" s="23">
        <f>EXP(-LN(2)/2)*BR198+(1-EXP(-LN(2)/2))/(LN(2)/2)*BL199*BO199*VLOOKUP('Données projet'!$B$11,Paramètres!$A$1:$I$89,3,0)*0.475*44/12</f>
        <v>4.5047620054550495E-24</v>
      </c>
      <c r="BS199" s="24">
        <f t="shared" si="169"/>
        <v>2.4320309868034733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160.22474733551678</v>
      </c>
      <c r="T200" s="62">
        <f t="shared" si="204"/>
        <v>272.72162271905523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3.4106051316484809E-13</v>
      </c>
      <c r="AJ200" s="14">
        <f>AI200*VLOOKUP('Données projet'!$B$10,Paramètres!$A$1:$I$89,3,0)*VLOOKUP('Données projet'!$B$10,Paramètres!$A$1:$I$89,5,0)</f>
        <v>1.9508661353029313E-13</v>
      </c>
      <c r="AK200" s="14">
        <f t="shared" si="164"/>
        <v>2.711421636700695E-12</v>
      </c>
      <c r="AL200" s="22">
        <f t="shared" si="165"/>
        <v>5.0621685358189711E-12</v>
      </c>
      <c r="AM200" s="62">
        <f t="shared" si="193"/>
        <v>293.33333333333837</v>
      </c>
      <c r="AN200" s="62">
        <f ca="1">AVERAGE(OFFSET($AM$3,0,0,'Données projet'!$E$10+1,1))-AVERAGE(OFFSET($H$3,0,0,'Données projet'!$E$10+1,1))</f>
        <v>227.80096215475777</v>
      </c>
      <c r="AO200" s="62">
        <f t="shared" si="205"/>
        <v>259.52807665663926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3.8476996077401938E-2</v>
      </c>
      <c r="AW200" s="23">
        <f>EXP(-LN(2)/2)*AW199+(1-EXP(-LN(2)/2))/(LN(2)/2)*AQ200*AT200*VLOOKUP('Données projet'!$B$10,Paramètres!$A$1:$I$89,3,0)*0.475*44/12</f>
        <v>2.5595023148672847E-24</v>
      </c>
      <c r="AX200" s="23">
        <f t="shared" si="166"/>
        <v>3.8476996077401938E-2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6.7984728957526396E-14</v>
      </c>
      <c r="BF200" s="14">
        <f t="shared" si="167"/>
        <v>1.0682447123141398E-12</v>
      </c>
      <c r="BG200" s="22">
        <f t="shared" si="168"/>
        <v>1.978932943548152E-12</v>
      </c>
      <c r="BH200" s="62">
        <f t="shared" si="194"/>
        <v>293.3333333333353</v>
      </c>
      <c r="BI200" s="62">
        <f ca="1">AVERAGE(OFFSET($BH$3,0,0,'Données projet'!$E$11+1,1))-AVERAGE(OFFSET($H$3,0,0,'Données projet'!$E$11+1,1))</f>
        <v>149.5086927376081</v>
      </c>
      <c r="BJ200" s="62">
        <f t="shared" si="206"/>
        <v>364.59164590134498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1.9523170737348094</v>
      </c>
      <c r="BQ200" s="23">
        <f>EXP(-LN(2)/25)*BQ199+(1-EXP(-LN(2)/25))/(LN(2)/25)*Calculateur!BL200*Calculateur!BN200*VLOOKUP('Données projet'!$B$11,Paramètres!$A$1:$I$89,3,0)*0.475*44/12</f>
        <v>0.42861443749544748</v>
      </c>
      <c r="BR200" s="23">
        <f>EXP(-LN(2)/2)*BR199+(1-EXP(-LN(2)/2))/(LN(2)/2)*BL200*BO200*VLOOKUP('Données projet'!$B$11,Paramètres!$A$1:$I$89,3,0)*0.475*44/12</f>
        <v>3.1853477616887767E-24</v>
      </c>
      <c r="BS200" s="24">
        <f t="shared" si="169"/>
        <v>2.3809315112302567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160.22474733551678</v>
      </c>
      <c r="T201" s="62">
        <f t="shared" si="204"/>
        <v>272.72162271905523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3.4106051316484809E-13</v>
      </c>
      <c r="AJ201" s="14">
        <f>AI201*VLOOKUP('Données projet'!$B$10,Paramètres!$A$1:$I$89,3,0)*VLOOKUP('Données projet'!$B$10,Paramètres!$A$1:$I$89,5,0)</f>
        <v>1.9508661353029313E-13</v>
      </c>
      <c r="AK201" s="14">
        <f t="shared" si="164"/>
        <v>2.711421636700695E-12</v>
      </c>
      <c r="AL201" s="22">
        <f t="shared" si="165"/>
        <v>5.0621685358189711E-12</v>
      </c>
      <c r="AM201" s="62">
        <f t="shared" si="193"/>
        <v>293.33333333333837</v>
      </c>
      <c r="AN201" s="62">
        <f ca="1">AVERAGE(OFFSET($AM$3,0,0,'Données projet'!$E$10+1,1))-AVERAGE(OFFSET($H$3,0,0,'Données projet'!$E$10+1,1))</f>
        <v>227.80096215475777</v>
      </c>
      <c r="AO201" s="62">
        <f t="shared" si="205"/>
        <v>259.52807665663926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3.74248405962481E-2</v>
      </c>
      <c r="AW201" s="23">
        <f>EXP(-LN(2)/2)*AW200+(1-EXP(-LN(2)/2))/(LN(2)/2)*AQ201*AT201*VLOOKUP('Données projet'!$B$10,Paramètres!$A$1:$I$89,3,0)*0.475*44/12</f>
        <v>1.8098414433053229E-24</v>
      </c>
      <c r="AX201" s="23">
        <f t="shared" si="166"/>
        <v>3.74248405962481E-2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6.7984728957526396E-14</v>
      </c>
      <c r="BF201" s="14">
        <f t="shared" si="167"/>
        <v>1.0682447123141398E-12</v>
      </c>
      <c r="BG201" s="22">
        <f t="shared" si="168"/>
        <v>1.978932943548152E-12</v>
      </c>
      <c r="BH201" s="62">
        <f t="shared" si="194"/>
        <v>293.3333333333353</v>
      </c>
      <c r="BI201" s="62">
        <f ca="1">AVERAGE(OFFSET($BH$3,0,0,'Données projet'!$E$11+1,1))-AVERAGE(OFFSET($H$3,0,0,'Données projet'!$E$11+1,1))</f>
        <v>149.5086927376081</v>
      </c>
      <c r="BJ201" s="62">
        <f t="shared" si="206"/>
        <v>364.59164590134498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1.9140333267147034</v>
      </c>
      <c r="BQ201" s="23">
        <f>EXP(-LN(2)/25)*BQ200+(1-EXP(-LN(2)/25))/(LN(2)/25)*Calculateur!BL201*Calculateur!BN201*VLOOKUP('Données projet'!$B$11,Paramètres!$A$1:$I$89,3,0)*0.475*44/12</f>
        <v>0.41689395316228078</v>
      </c>
      <c r="BR201" s="23">
        <f>EXP(-LN(2)/2)*BR200+(1-EXP(-LN(2)/2))/(LN(2)/2)*BL201*BO201*VLOOKUP('Données projet'!$B$11,Paramètres!$A$1:$I$89,3,0)*0.475*44/12</f>
        <v>2.2523810027275247E-24</v>
      </c>
      <c r="BS201" s="24">
        <f t="shared" si="169"/>
        <v>2.3309272798769842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160.22474733551678</v>
      </c>
      <c r="T202" s="62">
        <f t="shared" si="204"/>
        <v>272.72162271905523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3.4106051316484809E-13</v>
      </c>
      <c r="AJ202" s="14">
        <f>AI202*VLOOKUP('Données projet'!$B$10,Paramètres!$A$1:$I$89,3,0)*VLOOKUP('Données projet'!$B$10,Paramètres!$A$1:$I$89,5,0)</f>
        <v>1.9508661353029313E-13</v>
      </c>
      <c r="AK202" s="14">
        <f t="shared" si="164"/>
        <v>2.711421636700695E-12</v>
      </c>
      <c r="AL202" s="22">
        <f t="shared" si="165"/>
        <v>5.0621685358189711E-12</v>
      </c>
      <c r="AM202" s="62">
        <f t="shared" si="193"/>
        <v>293.33333333333837</v>
      </c>
      <c r="AN202" s="62">
        <f ca="1">AVERAGE(OFFSET($AM$3,0,0,'Données projet'!$E$10+1,1))-AVERAGE(OFFSET($H$3,0,0,'Données projet'!$E$10+1,1))</f>
        <v>227.80096215475777</v>
      </c>
      <c r="AO202" s="62">
        <f t="shared" si="205"/>
        <v>259.52807665663926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3.6401456362056862E-2</v>
      </c>
      <c r="AW202" s="23">
        <f>EXP(-LN(2)/2)*AW201+(1-EXP(-LN(2)/2))/(LN(2)/2)*AQ202*AT202*VLOOKUP('Données projet'!$B$10,Paramètres!$A$1:$I$89,3,0)*0.475*44/12</f>
        <v>1.2797511574336424E-24</v>
      </c>
      <c r="AX202" s="23">
        <f t="shared" si="166"/>
        <v>3.6401456362056862E-2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6.7984728957526396E-14</v>
      </c>
      <c r="BF202" s="14">
        <f t="shared" si="167"/>
        <v>1.0682447123141398E-12</v>
      </c>
      <c r="BG202" s="22">
        <f t="shared" si="168"/>
        <v>1.978932943548152E-12</v>
      </c>
      <c r="BH202" s="62">
        <f t="shared" si="194"/>
        <v>293.3333333333353</v>
      </c>
      <c r="BI202" s="62">
        <f ca="1">AVERAGE(OFFSET($BH$3,0,0,'Données projet'!$E$11+1,1))-AVERAGE(OFFSET($H$3,0,0,'Données projet'!$E$11+1,1))</f>
        <v>149.5086927376081</v>
      </c>
      <c r="BJ202" s="62">
        <f t="shared" si="206"/>
        <v>364.59164590134498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1.8765003006228818</v>
      </c>
      <c r="BQ202" s="23">
        <f>EXP(-LN(2)/25)*BQ201+(1-EXP(-LN(2)/25))/(LN(2)/25)*Calculateur!BL202*Calculateur!BN202*VLOOKUP('Données projet'!$B$11,Paramètres!$A$1:$I$89,3,0)*0.475*44/12</f>
        <v>0.40549396608955807</v>
      </c>
      <c r="BR202" s="23">
        <f>EXP(-LN(2)/2)*BR201+(1-EXP(-LN(2)/2))/(LN(2)/2)*BL202*BO202*VLOOKUP('Données projet'!$B$11,Paramètres!$A$1:$I$89,3,0)*0.475*44/12</f>
        <v>1.5926738808443884E-24</v>
      </c>
      <c r="BS202" s="24">
        <f t="shared" si="169"/>
        <v>2.2819942667124398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160.22474733551678</v>
      </c>
      <c r="T203" s="62">
        <f t="shared" si="204"/>
        <v>272.72162271905523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3.4106051316484809E-13</v>
      </c>
      <c r="AJ203" s="14">
        <f>AI203*VLOOKUP('Données projet'!$B$10,Paramètres!$A$1:$I$89,3,0)*VLOOKUP('Données projet'!$B$10,Paramètres!$A$1:$I$89,5,0)</f>
        <v>1.9508661353029313E-13</v>
      </c>
      <c r="AK203" s="14">
        <f t="shared" si="164"/>
        <v>2.711421636700695E-12</v>
      </c>
      <c r="AL203" s="22">
        <f t="shared" si="165"/>
        <v>5.0621685358189711E-12</v>
      </c>
      <c r="AM203" s="62">
        <f t="shared" si="193"/>
        <v>293.33333333333837</v>
      </c>
      <c r="AN203" s="62">
        <f ca="1">AVERAGE(OFFSET($AM$3,0,0,'Données projet'!$E$10+1,1))-AVERAGE(OFFSET($H$3,0,0,'Données projet'!$E$10+1,1))</f>
        <v>227.80096215475777</v>
      </c>
      <c r="AO203" s="62">
        <f t="shared" si="205"/>
        <v>259.52807665663926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3.5406056623567023E-2</v>
      </c>
      <c r="AW203" s="23">
        <f>EXP(-LN(2)/2)*AW202+(1-EXP(-LN(2)/2))/(LN(2)/2)*AQ203*AT203*VLOOKUP('Données projet'!$B$10,Paramètres!$A$1:$I$89,3,0)*0.475*44/12</f>
        <v>9.0492072165266147E-25</v>
      </c>
      <c r="AX203" s="23">
        <f t="shared" si="166"/>
        <v>3.5406056623567023E-2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6.7984728957526396E-14</v>
      </c>
      <c r="BF203" s="14">
        <f t="shared" si="167"/>
        <v>1.0682447123141398E-12</v>
      </c>
      <c r="BG203" s="22">
        <f t="shared" si="168"/>
        <v>1.978932943548152E-12</v>
      </c>
      <c r="BH203" s="62">
        <f t="shared" si="194"/>
        <v>293.3333333333353</v>
      </c>
      <c r="BI203" s="62">
        <f ca="1">AVERAGE(OFFSET($BH$3,0,0,'Données projet'!$E$11+1,1))-AVERAGE(OFFSET($H$3,0,0,'Données projet'!$E$11+1,1))</f>
        <v>149.5086927376081</v>
      </c>
      <c r="BJ203" s="62">
        <f t="shared" si="206"/>
        <v>364.59164590134498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1.8397032742798354</v>
      </c>
      <c r="BQ203" s="23">
        <f>EXP(-LN(2)/25)*BQ202+(1-EXP(-LN(2)/25))/(LN(2)/25)*Calculateur!BL203*Calculateur!BN203*VLOOKUP('Données projet'!$B$11,Paramètres!$A$1:$I$89,3,0)*0.475*44/12</f>
        <v>0.39440571226283822</v>
      </c>
      <c r="BR203" s="23">
        <f>EXP(-LN(2)/2)*BR202+(1-EXP(-LN(2)/2))/(LN(2)/2)*BL203*BO203*VLOOKUP('Données projet'!$B$11,Paramètres!$A$1:$I$89,3,0)*0.475*44/12</f>
        <v>1.1261905013637624E-24</v>
      </c>
      <c r="BS203" s="24">
        <f t="shared" si="169"/>
        <v>2.2341089865426738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1.2589254117941673</v>
      </c>
      <c r="BA205" s="88">
        <f>EXP(LN('Données projet'!B88)/'Données projet'!A88)</f>
        <v>1.4749438547769935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34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35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34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36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36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35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34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35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8" sqref="C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38" t="s">
        <v>191</v>
      </c>
      <c r="C2" s="339"/>
      <c r="D2" s="339"/>
      <c r="E2" s="339"/>
      <c r="F2" s="339"/>
      <c r="G2" s="34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37"/>
      <c r="C4" s="337"/>
      <c r="D4" s="337"/>
      <c r="E4" s="337"/>
      <c r="F4" s="337"/>
      <c r="G4" s="33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L13" sqref="L1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38" t="s">
        <v>271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4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4.5030000000000001</v>
      </c>
      <c r="C6" s="156">
        <f ca="1">IF(OR('Données projet'!B9="",'Données projet'!C9="",'Données projet'!C9=0%),0,Calculateur!S3)</f>
        <v>160.22474733551678</v>
      </c>
      <c r="D6" s="156">
        <f>IF(OR('Données projet'!B9="",'Données projet'!C9="",'Données projet'!C9=0%),0,Calculateur!T3)</f>
        <v>272.72162271905523</v>
      </c>
      <c r="E6" s="156">
        <f ca="1">MIN(C6,D6)</f>
        <v>160.22474733551678</v>
      </c>
      <c r="F6" s="156">
        <f ca="1">E6*B6</f>
        <v>721.49203725183213</v>
      </c>
      <c r="G6" s="156">
        <f ca="1">F6*(100%-'Données projet'!$C$24)*(100%-'Données projet'!$C$25)*(100%-'Données projet'!$C$26)*(100%-'Données projet'!$C$27)</f>
        <v>649.34283352664897</v>
      </c>
      <c r="H6" s="157">
        <f>IF(OR('Données projet'!B9="",'Données projet'!C9="",'Données projet'!C9=0%),0,AVERAGE(Calculateur!$AC$3:$AC$33)*B6)</f>
        <v>36.866284692667449</v>
      </c>
      <c r="I6" s="158">
        <f>H6*(100%-'Données projet'!$C$24)*(100%-'Données projet'!$C$25)*(100%-'Données projet'!$C$26)*(100%-'Données projet'!$C$27)</f>
        <v>33.179656223400706</v>
      </c>
      <c r="J6" s="159">
        <f>IF(OR('Données projet'!B9="",'Données projet'!C9="",'Données projet'!C9=0%),0,SUM(Calculateur!$V$3:$V$33)*VLOOKUP('Données projet'!$B$9,Paramètres!$A$1:$I$89,9,0)*B6)</f>
        <v>289.58793000000003</v>
      </c>
      <c r="K6" s="160">
        <f>J6*(100%-'Données projet'!$C$24)*(100%-'Données projet'!$C$25)*(100%-'Données projet'!$C$26)*(100%-'Données projet'!$C$27)</f>
        <v>260.62913700000001</v>
      </c>
      <c r="L6" s="161">
        <f ca="1">G6+I6+K6</f>
        <v>943.15162675004967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sylvestre</v>
      </c>
      <c r="B7" s="163">
        <f>'Données projet'!D10</f>
        <v>1.1020000000000001</v>
      </c>
      <c r="C7" s="156">
        <f ca="1">IF(OR('Données projet'!B10="",'Données projet'!C10="",'Données projet'!C10=0%),0,Calculateur!AN3)</f>
        <v>227.80096215475777</v>
      </c>
      <c r="D7" s="156">
        <f>IF(OR('Données projet'!B10="",'Données projet'!C10="",'Données projet'!C10=0%),0,Calculateur!AO3)</f>
        <v>259.52807665663926</v>
      </c>
      <c r="E7" s="156">
        <f t="shared" ref="E7:E15" ca="1" si="0">MIN(C7,D7)</f>
        <v>227.80096215475777</v>
      </c>
      <c r="F7" s="156">
        <f t="shared" ref="F7:F15" ca="1" si="1">E7*B7</f>
        <v>251.03666029454308</v>
      </c>
      <c r="G7" s="156">
        <f ca="1">F7*(100%-'Données projet'!$C$24)*(100%-'Données projet'!$C$25)*(100%-'Données projet'!$C$26)*(100%-'Données projet'!$C$27)</f>
        <v>225.93299426508878</v>
      </c>
      <c r="H7" s="164">
        <f>IF(OR('Données projet'!B10="",'Données projet'!C10="",'Données projet'!C10=0%),0,AVERAGE(Calculateur!$AX$3:$AX$33)*B7)</f>
        <v>5.0276596490695491</v>
      </c>
      <c r="I7" s="158">
        <f>H7*(100%-'Données projet'!$C$24)*(100%-'Données projet'!$C$25)*(100%-'Données projet'!$C$26)*(100%-'Données projet'!$C$27)</f>
        <v>4.5248936841625946</v>
      </c>
      <c r="J7" s="159">
        <f>IF(OR('Données projet'!B10="",'Données projet'!C10="",'Données projet'!C10=0%),0,SUM(Calculateur!$AQ$3:$AQ$33)*VLOOKUP('Données projet'!$B$10,Paramètres!$A$1:$I$89,9,0)*B7)</f>
        <v>53.072319999999998</v>
      </c>
      <c r="K7" s="160">
        <f>J7*(100%-'Données projet'!$C$24)*(100%-'Données projet'!$C$25)*(100%-'Données projet'!$C$26)*(100%-'Données projet'!$C$27)</f>
        <v>47.765087999999999</v>
      </c>
      <c r="L7" s="161">
        <f t="shared" ref="L7:L15" ca="1" si="2">G7+I7+K7</f>
        <v>278.22297594925141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taeda</v>
      </c>
      <c r="B8" s="163">
        <f>'Données projet'!D11</f>
        <v>3.8949999999999996</v>
      </c>
      <c r="C8" s="156">
        <f ca="1">IF(OR('Données projet'!B11="",'Données projet'!C11="",'Données projet'!C11=0%),0,Calculateur!BI3)</f>
        <v>149.5086927376081</v>
      </c>
      <c r="D8" s="156">
        <f>IF(OR('Données projet'!B11="",'Données projet'!C11="",'Données projet'!C11=0%),0,Calculateur!BJ3)</f>
        <v>364.59164590134498</v>
      </c>
      <c r="E8" s="156">
        <f t="shared" ca="1" si="0"/>
        <v>149.5086927376081</v>
      </c>
      <c r="F8" s="156">
        <f t="shared" ca="1" si="1"/>
        <v>582.33635821298344</v>
      </c>
      <c r="G8" s="156">
        <f ca="1">F8*(100%-'Données projet'!$C$24)*(100%-'Données projet'!$C$25)*(100%-'Données projet'!$C$26)*(100%-'Données projet'!$C$27)</f>
        <v>524.10272239168512</v>
      </c>
      <c r="H8" s="164">
        <f>IF(OR('Données projet'!B11="",'Données projet'!C11="",'Données projet'!C11=0%),0,AVERAGE(Calculateur!$BS$3:$BS$33)*B8)</f>
        <v>58.553838649992692</v>
      </c>
      <c r="I8" s="158">
        <f>H8*(100%-'Données projet'!$C$24)*(100%-'Données projet'!$C$25)*(100%-'Données projet'!$C$26)*(100%-'Données projet'!$C$27)</f>
        <v>52.698454784993423</v>
      </c>
      <c r="J8" s="159">
        <f>IF(OR('Données projet'!B11="",'Données projet'!C11="",'Données projet'!C11=0%),0,SUM(Calculateur!$BL$3:$BL$33)*VLOOKUP('Données projet'!$B$11,Paramètres!$A$1:$I$89,9,0)*B8)</f>
        <v>740.28369999999995</v>
      </c>
      <c r="K8" s="160">
        <f>J8*(100%-'Données projet'!$C$24)*(100%-'Données projet'!$C$25)*(100%-'Données projet'!$C$26)*(100%-'Données projet'!$C$27)</f>
        <v>666.25532999999996</v>
      </c>
      <c r="L8" s="161">
        <f t="shared" ca="1" si="2"/>
        <v>1243.0565071766785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1554.8650557593587</v>
      </c>
      <c r="G16" s="175">
        <f t="shared" ca="1" si="3"/>
        <v>1399.3785501834229</v>
      </c>
      <c r="H16" s="176">
        <f t="shared" si="3"/>
        <v>100.4477829917297</v>
      </c>
      <c r="I16" s="176">
        <f t="shared" si="3"/>
        <v>90.403004692556721</v>
      </c>
      <c r="J16" s="177">
        <f t="shared" si="3"/>
        <v>1082.9439499999999</v>
      </c>
      <c r="K16" s="177">
        <f t="shared" si="3"/>
        <v>974.64955499999996</v>
      </c>
      <c r="L16" s="178">
        <f t="shared" ca="1" si="3"/>
        <v>2464.4311098759795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41" t="s">
        <v>246</v>
      </c>
      <c r="G17" s="342"/>
      <c r="H17" s="342"/>
      <c r="I17" s="342"/>
      <c r="J17" s="342"/>
      <c r="K17" s="342"/>
      <c r="L17" s="34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43"/>
      <c r="G18" s="343"/>
      <c r="H18" s="343"/>
      <c r="I18" s="343"/>
      <c r="J18" s="343"/>
      <c r="K18" s="343"/>
      <c r="L18" s="34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sylvestre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taeda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cellWatches>
    <cellWatch r="L16"/>
  </cellWatch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1" zoomScale="85" zoomScaleNormal="85" workbookViewId="0">
      <selection activeCell="T32" sqref="T3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38" t="s">
        <v>272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4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7" t="s">
        <v>315</v>
      </c>
      <c r="I4" s="347"/>
      <c r="K4" s="344" t="s">
        <v>253</v>
      </c>
      <c r="L4" s="34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55" t="s">
        <v>310</v>
      </c>
      <c r="S7" s="356"/>
      <c r="T7" s="356"/>
      <c r="U7" s="356"/>
      <c r="V7" s="35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3825.9899329012719</v>
      </c>
      <c r="U10" s="190">
        <f>'Données projet'!D9</f>
        <v>4.5030000000000001</v>
      </c>
      <c r="V10" s="189">
        <f>U10*T10</f>
        <v>17228.432667854428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sylvestre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2437.5274598443839</v>
      </c>
      <c r="U11" s="190">
        <f>'Données projet'!D10</f>
        <v>1.1020000000000001</v>
      </c>
      <c r="V11" s="189">
        <f t="shared" ref="V11" si="0">U11*T11</f>
        <v>2686.1552607485114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taeda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4749.9009382432268</v>
      </c>
      <c r="U12" s="190">
        <f>'Données projet'!D11</f>
        <v>3.8949999999999996</v>
      </c>
      <c r="V12" s="189">
        <f t="shared" ref="V12:V19" si="1">U12*T12</f>
        <v>18500.864154457366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8"/>
      <c r="H16" s="203"/>
      <c r="I16" s="204"/>
      <c r="J16" s="216"/>
      <c r="K16" s="225"/>
      <c r="L16" s="344" t="s">
        <v>254</v>
      </c>
      <c r="M16" s="345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8"/>
      <c r="J17" s="216"/>
      <c r="K17" s="225"/>
      <c r="L17" s="315" t="s">
        <v>289</v>
      </c>
      <c r="M17" s="317"/>
      <c r="N17" s="187">
        <f>VLOOKUP(N16,Calculateur!$A$2:$H$153,3,0)/VLOOKUP('Scénario référence'!$G$15,Paramètres!A1:I89,3,0)/VLOOKUP('Scénario référence'!$G$15,Paramètres!A1:I89,5,0)</f>
        <v>69.999999999999943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8"/>
      <c r="J18" s="216"/>
      <c r="K18" s="225"/>
      <c r="L18" s="315" t="s">
        <v>255</v>
      </c>
      <c r="M18" s="317"/>
      <c r="N18" s="205">
        <v>20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8"/>
      <c r="H19" s="232" t="s">
        <v>178</v>
      </c>
      <c r="I19" s="232" t="s">
        <v>287</v>
      </c>
      <c r="J19" s="260"/>
      <c r="K19" s="183"/>
      <c r="L19" s="344" t="s">
        <v>288</v>
      </c>
      <c r="M19" s="345"/>
      <c r="N19" s="191">
        <f>N17*N18</f>
        <v>1399.9999999999989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8"/>
      <c r="H20" s="203">
        <v>0</v>
      </c>
      <c r="I20" s="204">
        <f>39526/9.5</f>
        <v>4160.6315789473683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440+550</f>
        <v>990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f>460+550</f>
        <v>1010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>
        <v>10</v>
      </c>
      <c r="D23" s="194">
        <f>B23*C23</f>
        <v>150</v>
      </c>
      <c r="E23" s="206"/>
      <c r="F23" s="261"/>
      <c r="H23" s="203">
        <v>3</v>
      </c>
      <c r="I23" s="204">
        <v>1010</v>
      </c>
      <c r="K23" s="225"/>
      <c r="L23" s="346" t="s">
        <v>260</v>
      </c>
      <c r="M23" s="346"/>
      <c r="N23" s="346"/>
      <c r="O23" s="25"/>
      <c r="P23" s="25"/>
      <c r="Q23" s="265"/>
      <c r="R23" s="25"/>
      <c r="S23" s="185" t="s">
        <v>264</v>
      </c>
      <c r="T23" s="36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-43674.141306155871</v>
      </c>
      <c r="U23" s="360"/>
      <c r="V23" s="36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>
        <v>20</v>
      </c>
      <c r="D24" s="194">
        <f t="shared" ref="D24:D42" si="2">B24*C24</f>
        <v>800</v>
      </c>
      <c r="E24" s="206"/>
      <c r="F24" s="264"/>
      <c r="H24" s="203">
        <v>4</v>
      </c>
      <c r="I24" s="204">
        <f>480+570</f>
        <v>1050</v>
      </c>
      <c r="K24" s="225"/>
      <c r="O24" s="25"/>
      <c r="P24" s="25"/>
      <c r="Q24" s="265"/>
      <c r="R24" s="25"/>
      <c r="S24" s="185" t="s">
        <v>261</v>
      </c>
      <c r="T24" s="361">
        <f ca="1">'Scénario référence'!$B$8*$M$30*'Données projet'!$C$5+('Scénario référence'!B9+'Scénario référence'!B10+'Scénario référence'!F8+'Scénario référence'!F9)*$N$19/(1+M4)^N16*'Données projet'!$C$5</f>
        <v>610.53604589061661</v>
      </c>
      <c r="U24" s="361"/>
      <c r="V24" s="36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>
        <v>30</v>
      </c>
      <c r="D25" s="194">
        <f t="shared" si="2"/>
        <v>1620</v>
      </c>
      <c r="E25" s="206"/>
      <c r="F25" s="264"/>
      <c r="G25" s="1"/>
      <c r="H25" s="203">
        <v>5</v>
      </c>
      <c r="I25" s="204">
        <v>1050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62">
        <f ca="1">T23-T24</f>
        <v>-44284.677352046485</v>
      </c>
      <c r="U25" s="362"/>
      <c r="V25" s="36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49" t="s">
        <v>258</v>
      </c>
      <c r="M26" s="350"/>
      <c r="N26" s="350"/>
      <c r="O26" s="350"/>
      <c r="P26" s="351"/>
      <c r="Q26" s="265"/>
      <c r="R26" s="25"/>
      <c r="S26" s="198" t="s">
        <v>265</v>
      </c>
      <c r="T26" s="359" t="str">
        <f ca="1">IF(T25&lt;0,"Votre projet est additionnel","Votre projet n'est pas additionnel")</f>
        <v>Votre projet est additionnel</v>
      </c>
      <c r="U26" s="359"/>
      <c r="V26" s="35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38</v>
      </c>
      <c r="B27" s="193">
        <f>'Données projet'!D40</f>
        <v>338</v>
      </c>
      <c r="C27" s="206">
        <v>45</v>
      </c>
      <c r="D27" s="194">
        <f t="shared" si="2"/>
        <v>15210</v>
      </c>
      <c r="E27" s="206"/>
      <c r="F27" s="264"/>
      <c r="G27" s="259"/>
      <c r="H27" s="203"/>
      <c r="I27" s="204"/>
      <c r="K27" s="225"/>
      <c r="L27" s="352"/>
      <c r="M27" s="353"/>
      <c r="N27" s="353"/>
      <c r="O27" s="353"/>
      <c r="P27" s="354"/>
      <c r="Q27" s="265"/>
      <c r="R27" s="25"/>
      <c r="S27" s="358" t="s">
        <v>267</v>
      </c>
      <c r="T27" s="358"/>
      <c r="U27" s="358"/>
      <c r="V27" s="35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sylvestre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13</v>
      </c>
      <c r="C54" s="204">
        <v>10</v>
      </c>
      <c r="D54" s="191">
        <f>B54*C54</f>
        <v>130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41</v>
      </c>
      <c r="C55" s="204">
        <v>10</v>
      </c>
      <c r="D55" s="191">
        <f t="shared" ref="D55:D73" si="4">B55*C55</f>
        <v>410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58</v>
      </c>
      <c r="C56" s="204">
        <v>15</v>
      </c>
      <c r="D56" s="191">
        <f t="shared" si="4"/>
        <v>870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55</v>
      </c>
      <c r="C57" s="204">
        <v>20</v>
      </c>
      <c r="D57" s="191">
        <f t="shared" si="4"/>
        <v>1100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51</v>
      </c>
      <c r="C58" s="204">
        <v>25</v>
      </c>
      <c r="D58" s="191">
        <f t="shared" si="4"/>
        <v>1275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45</v>
      </c>
      <c r="C59" s="204">
        <v>30</v>
      </c>
      <c r="D59" s="191">
        <f t="shared" si="4"/>
        <v>1350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42</v>
      </c>
      <c r="C60" s="204">
        <v>35</v>
      </c>
      <c r="D60" s="191">
        <f t="shared" si="4"/>
        <v>1470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33</v>
      </c>
      <c r="C61" s="204">
        <v>38</v>
      </c>
      <c r="D61" s="191">
        <f t="shared" si="4"/>
        <v>1254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20</v>
      </c>
      <c r="C62" s="204">
        <v>40</v>
      </c>
      <c r="D62" s="191">
        <f t="shared" si="4"/>
        <v>800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458</v>
      </c>
      <c r="C63" s="204">
        <v>45</v>
      </c>
      <c r="D63" s="191">
        <f t="shared" si="4"/>
        <v>20610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taeda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12</v>
      </c>
      <c r="B85" s="193">
        <f>'Données projet'!D88</f>
        <v>34</v>
      </c>
      <c r="C85" s="204">
        <v>10</v>
      </c>
      <c r="D85" s="191">
        <f>B85*C85</f>
        <v>340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17</v>
      </c>
      <c r="B86" s="193">
        <f>'Données projet'!D89</f>
        <v>43</v>
      </c>
      <c r="C86" s="204">
        <v>15</v>
      </c>
      <c r="D86" s="191">
        <f t="shared" ref="D86:D104" si="6">B86*C86</f>
        <v>645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22</v>
      </c>
      <c r="B87" s="193">
        <f>'Données projet'!D90</f>
        <v>56</v>
      </c>
      <c r="C87" s="204">
        <v>25</v>
      </c>
      <c r="D87" s="191">
        <f t="shared" si="6"/>
        <v>1400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30</v>
      </c>
      <c r="B88" s="193">
        <f>'Données projet'!D91</f>
        <v>309</v>
      </c>
      <c r="C88" s="204">
        <v>45</v>
      </c>
      <c r="D88" s="191">
        <f t="shared" si="6"/>
        <v>13905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D9BA4-452E-4D8D-AC7D-78402E44DFD8}">
  <dimension ref="B1:M28"/>
  <sheetViews>
    <sheetView workbookViewId="0">
      <selection activeCell="D12" sqref="D12"/>
    </sheetView>
  </sheetViews>
  <sheetFormatPr baseColWidth="10" defaultColWidth="11.42578125" defaultRowHeight="15" x14ac:dyDescent="0.25"/>
  <cols>
    <col min="1" max="1" width="1.85546875" style="302" customWidth="1"/>
    <col min="2" max="2" width="23" style="302" bestFit="1" customWidth="1"/>
    <col min="3" max="12" width="16.7109375" style="302" customWidth="1"/>
    <col min="13" max="16384" width="11.42578125" style="302"/>
  </cols>
  <sheetData>
    <row r="1" spans="2:13" ht="30.75" customHeight="1" thickBot="1" x14ac:dyDescent="0.3">
      <c r="B1" s="363" t="s">
        <v>324</v>
      </c>
      <c r="C1" s="364"/>
      <c r="D1" s="365"/>
    </row>
    <row r="2" spans="2:13" ht="27.75" customHeight="1" thickBot="1" x14ac:dyDescent="0.3"/>
    <row r="3" spans="2:13" ht="24.95" customHeight="1" x14ac:dyDescent="0.25">
      <c r="B3" s="307" t="s">
        <v>325</v>
      </c>
      <c r="C3" s="292" t="str">
        <f>'Données projet'!B9</f>
        <v>pin maritime</v>
      </c>
      <c r="D3" s="292" t="str">
        <f>'Données projet'!B10</f>
        <v>pin sylvestre</v>
      </c>
      <c r="E3" s="292" t="str">
        <f>'Données projet'!B11</f>
        <v>pin taeda</v>
      </c>
      <c r="F3" s="292">
        <f>'Données projet'!B12</f>
        <v>0</v>
      </c>
      <c r="G3" s="292">
        <f>'Données projet'!B13</f>
        <v>0</v>
      </c>
      <c r="H3" s="292">
        <f>'Données projet'!B14</f>
        <v>0</v>
      </c>
      <c r="I3" s="292">
        <f>'Données projet'!B15</f>
        <v>0</v>
      </c>
      <c r="J3" s="292">
        <f>'Données projet'!B16</f>
        <v>0</v>
      </c>
      <c r="K3" s="292">
        <f>'Données projet'!B17</f>
        <v>0</v>
      </c>
      <c r="L3" s="295">
        <f>'Données projet'!B18</f>
        <v>0</v>
      </c>
      <c r="M3" s="298" t="s">
        <v>328</v>
      </c>
    </row>
    <row r="4" spans="2:13" ht="24.95" customHeight="1" x14ac:dyDescent="0.25">
      <c r="B4" s="308" t="s">
        <v>326</v>
      </c>
      <c r="C4" s="300">
        <f>'Données projet'!$D$9</f>
        <v>4.5030000000000001</v>
      </c>
      <c r="D4" s="300">
        <f>'Données projet'!$D$10</f>
        <v>1.1020000000000001</v>
      </c>
      <c r="E4" s="300">
        <f>'Données projet'!$D$11</f>
        <v>3.8949999999999996</v>
      </c>
      <c r="F4" s="300">
        <f>'Données projet'!$D$12</f>
        <v>0</v>
      </c>
      <c r="G4" s="300">
        <f>'Données projet'!$D$13</f>
        <v>0</v>
      </c>
      <c r="H4" s="300">
        <f>'Données projet'!$D$14</f>
        <v>0</v>
      </c>
      <c r="I4" s="300">
        <f>'Données projet'!$D$15</f>
        <v>0</v>
      </c>
      <c r="J4" s="300">
        <f>'Données projet'!$D$16</f>
        <v>0</v>
      </c>
      <c r="K4" s="300">
        <f>'Données projet'!$D$17</f>
        <v>0</v>
      </c>
      <c r="L4" s="301">
        <f>'Données projet'!$D$18</f>
        <v>0</v>
      </c>
      <c r="M4" s="304">
        <f>IF(SUM(C4:L4)=0,"",SUM(C4:L4))</f>
        <v>9.5</v>
      </c>
    </row>
    <row r="5" spans="2:13" ht="24.95" customHeight="1" x14ac:dyDescent="0.25">
      <c r="B5" s="308" t="s">
        <v>327</v>
      </c>
      <c r="C5" s="292"/>
      <c r="D5" s="293"/>
      <c r="E5" s="293"/>
      <c r="F5" s="293"/>
      <c r="G5" s="293"/>
      <c r="H5" s="293"/>
      <c r="I5" s="293"/>
      <c r="J5" s="293"/>
      <c r="K5" s="293"/>
      <c r="L5" s="296"/>
      <c r="M5" s="299"/>
    </row>
    <row r="6" spans="2:13" ht="24.95" customHeight="1" x14ac:dyDescent="0.25">
      <c r="B6" s="308" t="s">
        <v>329</v>
      </c>
      <c r="C6" s="288"/>
      <c r="D6" s="288"/>
      <c r="E6" s="288"/>
      <c r="F6" s="288"/>
      <c r="G6" s="288"/>
      <c r="H6" s="288"/>
      <c r="I6" s="288"/>
      <c r="J6" s="288"/>
      <c r="K6" s="288"/>
      <c r="L6" s="297"/>
      <c r="M6" s="305" t="str">
        <f>IF(SUM(C6:L6)=0,"",SUM(C6:L6))</f>
        <v/>
      </c>
    </row>
    <row r="7" spans="2:13" ht="24.95" customHeight="1" x14ac:dyDescent="0.25">
      <c r="B7" s="308" t="s">
        <v>249</v>
      </c>
      <c r="C7" s="288"/>
      <c r="D7" s="288"/>
      <c r="E7" s="288"/>
      <c r="F7" s="288"/>
      <c r="G7" s="288"/>
      <c r="H7" s="288"/>
      <c r="I7" s="288"/>
      <c r="J7" s="288"/>
      <c r="K7" s="288"/>
      <c r="L7" s="297"/>
      <c r="M7" s="306" t="str">
        <f>IF(SUM(C7:L7)=0,"",SUM(C7:L7))</f>
        <v/>
      </c>
    </row>
    <row r="8" spans="2:13" ht="24.95" customHeight="1" x14ac:dyDescent="0.25">
      <c r="B8" s="308" t="s">
        <v>330</v>
      </c>
      <c r="C8" s="294"/>
      <c r="D8" s="294"/>
      <c r="E8" s="294"/>
      <c r="F8" s="294"/>
      <c r="G8" s="294"/>
      <c r="H8" s="294"/>
      <c r="I8" s="288"/>
      <c r="J8" s="288"/>
      <c r="K8" s="288"/>
      <c r="L8" s="297"/>
      <c r="M8" s="306"/>
    </row>
    <row r="9" spans="2:13" ht="24.95" customHeight="1" thickBot="1" x14ac:dyDescent="0.3">
      <c r="B9" s="309" t="s">
        <v>331</v>
      </c>
      <c r="C9" s="310" t="str">
        <f>IF(C7=0,"",IFERROR((C7-C4)*REE!L6/REE!$B$6,""))</f>
        <v/>
      </c>
      <c r="D9" s="310" t="str">
        <f>IF(D7=0,"",IFERROR((D7-D4)*REE!L7/REE!$B$6,""))</f>
        <v/>
      </c>
      <c r="E9" s="310" t="str">
        <f>IF(E7=0,"",IFERROR((E7-E4)*REE!L8/REE!$B$6,""))</f>
        <v/>
      </c>
      <c r="F9" s="310" t="str">
        <f>IF(F7=0,"",IFERROR((F7-F4)*REE!L9/REE!$B$6,""))</f>
        <v/>
      </c>
      <c r="G9" s="310" t="str">
        <f>IF(G7=0,"",IFERROR((G7-G4)*REE!L10/REE!$B$6,""))</f>
        <v/>
      </c>
      <c r="H9" s="310" t="str">
        <f>IF(H7=0,"",IFERROR((H7-H4)*REE!L11/REE!$B$6,""))</f>
        <v/>
      </c>
      <c r="I9" s="310" t="str">
        <f>IF(I7=0,"",IFERROR((I7-I4)*REE!L12/REE!$B$6,""))</f>
        <v/>
      </c>
      <c r="J9" s="310" t="str">
        <f>IF(J7=0,"",IFERROR((J7-J4)*REE!L13/REE!$B$6,""))</f>
        <v/>
      </c>
      <c r="K9" s="310" t="str">
        <f>IF(K7=0,"",IFERROR((K7-K4)*REE!L14/REE!$B$6,""))</f>
        <v/>
      </c>
      <c r="L9" s="310" t="str">
        <f>IF(L7=0,"",IFERROR((L7-L4)*REE!L15/REE!$B$6,""))</f>
        <v/>
      </c>
      <c r="M9" s="311" t="str">
        <f>IF(SUM(C9:L9)=0,"",SUM(C9:L9))</f>
        <v/>
      </c>
    </row>
    <row r="12" spans="2:13" x14ac:dyDescent="0.25">
      <c r="D12" s="303"/>
    </row>
    <row r="13" spans="2:13" x14ac:dyDescent="0.25">
      <c r="D13" s="303"/>
    </row>
    <row r="14" spans="2:13" x14ac:dyDescent="0.25">
      <c r="D14" s="303"/>
    </row>
    <row r="15" spans="2:13" x14ac:dyDescent="0.25">
      <c r="D15" s="303"/>
    </row>
    <row r="16" spans="2:13" x14ac:dyDescent="0.25">
      <c r="D16" s="303"/>
    </row>
    <row r="17" spans="4:4" x14ac:dyDescent="0.25">
      <c r="D17" s="303"/>
    </row>
    <row r="18" spans="4:4" x14ac:dyDescent="0.25">
      <c r="D18" s="303"/>
    </row>
    <row r="19" spans="4:4" x14ac:dyDescent="0.25">
      <c r="D19" s="303"/>
    </row>
    <row r="20" spans="4:4" x14ac:dyDescent="0.25">
      <c r="D20" s="303"/>
    </row>
    <row r="21" spans="4:4" x14ac:dyDescent="0.25">
      <c r="D21" s="303"/>
    </row>
    <row r="22" spans="4:4" x14ac:dyDescent="0.25">
      <c r="D22" s="303"/>
    </row>
    <row r="23" spans="4:4" x14ac:dyDescent="0.25">
      <c r="D23" s="303"/>
    </row>
    <row r="24" spans="4:4" x14ac:dyDescent="0.25">
      <c r="D24" s="303"/>
    </row>
    <row r="25" spans="4:4" x14ac:dyDescent="0.25">
      <c r="D25" s="303"/>
    </row>
    <row r="26" spans="4:4" x14ac:dyDescent="0.25">
      <c r="D26" s="303"/>
    </row>
    <row r="27" spans="4:4" x14ac:dyDescent="0.25">
      <c r="D27" s="303"/>
    </row>
    <row r="28" spans="4:4" x14ac:dyDescent="0.25">
      <c r="D28" s="303"/>
    </row>
  </sheetData>
  <mergeCells count="1">
    <mergeCell ref="B1:D1"/>
  </mergeCells>
  <conditionalFormatting sqref="C9:M9">
    <cfRule type="cellIs" dxfId="0" priority="1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vérification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2025-05-07T08:16:20Z</dcterms:modified>
</cp:coreProperties>
</file>